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931CC38-F6BB-4E43-AFA9-530362ED6436}" xr6:coauthVersionLast="36" xr6:coauthVersionMax="36" xr10:uidLastSave="{00000000-0000-0000-0000-000000000000}"/>
  <bookViews>
    <workbookView xWindow="-28920" yWindow="-1545" windowWidth="29040" windowHeight="15840" tabRatio="80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D6" i="3" l="1"/>
  <c r="L11" i="179"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5" i="181" l="1"/>
  <c r="G25" i="181" s="1"/>
  <c r="F32" i="181"/>
  <c r="G32" i="181" s="1"/>
  <c r="F36" i="181"/>
  <c r="G36" i="181" s="1"/>
  <c r="F22" i="181"/>
  <c r="G22" i="181" s="1"/>
  <c r="F29" i="181"/>
  <c r="G29" i="181" s="1"/>
  <c r="F33" i="181"/>
  <c r="G33" i="181" s="1"/>
  <c r="F37" i="181"/>
  <c r="G37" i="181" s="1"/>
  <c r="F42" i="181"/>
  <c r="G42" i="181" s="1"/>
  <c r="F24" i="181"/>
  <c r="G24" i="181" s="1"/>
  <c r="F31" i="181"/>
  <c r="G31" i="181" s="1"/>
  <c r="F35" i="181"/>
  <c r="G35" i="181" s="1"/>
  <c r="F23" i="181"/>
  <c r="G23"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F46" i="34" l="1"/>
  <c r="F36" i="34"/>
  <c r="B1274" i="106"/>
  <c r="D1274" i="106" s="1"/>
  <c r="L367" i="29"/>
  <c r="L342" i="29"/>
  <c r="H342" i="29"/>
  <c r="J210" i="29"/>
  <c r="B7072" i="106" s="1"/>
  <c r="D7072" i="106" s="1"/>
  <c r="J129" i="29"/>
  <c r="B7038" i="106" s="1"/>
  <c r="D7038" i="106" s="1"/>
  <c r="I129" i="29"/>
  <c r="B7037" i="106" s="1"/>
  <c r="D7037" i="106" s="1"/>
  <c r="C129" i="29"/>
  <c r="G15" i="145"/>
  <c r="F50" i="34"/>
  <c r="C352" i="29"/>
  <c r="K76" i="4"/>
  <c r="B3586" i="106" s="1"/>
  <c r="D3586" i="106" s="1"/>
  <c r="E29" i="108"/>
  <c r="B3647" i="106"/>
  <c r="D3647" i="106" s="1"/>
  <c r="G35"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B7215" i="106"/>
  <c r="D7215" i="106" s="1"/>
  <c r="L114" i="29"/>
  <c r="B5770" i="106"/>
  <c r="D5770" i="106" s="1"/>
  <c r="D7250" i="106"/>
  <c r="F41" i="108"/>
  <c r="G43" i="108" s="1"/>
  <c r="L16" i="11"/>
  <c r="B2061" i="106" s="1"/>
  <c r="D2061" i="106" s="1"/>
  <c r="B2031" i="106"/>
  <c r="D2031" i="106" s="1"/>
  <c r="N23" i="3"/>
  <c r="B284" i="106" s="1"/>
  <c r="D284" i="106" s="1"/>
  <c r="D41" i="108"/>
  <c r="E43" i="108" s="1"/>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<sst xmlns="http://schemas.openxmlformats.org/spreadsheetml/2006/main" count="5182" uniqueCount="2142">
  <si>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</si>
  <si>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</si>
  <si>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</si>
  <si>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</si>
  <si>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</si>
  <si>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</si>
  <si>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</si>
  <si>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</si>
  <si>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</si>
  <si>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</si>
  <si>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</si>
  <si>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</si>
  <si>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</si>
  <si>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</si>
  <si>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</si>
  <si>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</si>
  <si>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</si>
  <si>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</si>
  <si>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</si>
  <si>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</si>
  <si>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</si>
  <si>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</si>
  <si>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</si>
  <si>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</si>
  <si>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</si>
  <si>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</si>
  <si>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</si>
  <si>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</si>
  <si>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</si>
  <si>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</si>
  <si>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</si>
  <si>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</si>
  <si>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</si>
  <si>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</si>
  <si>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</si>
  <si>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</si>
  <si>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</si>
  <si>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</si>
  <si>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</si>
  <si>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</si>
  <si>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</si>
  <si>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</si>
  <si>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</si>
  <si>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</si>
  <si>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</si>
  <si>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</si>
  <si>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</si>
  <si>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</si>
  <si>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</si>
  <si>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</si>
  <si>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</si>
  <si>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</si>
  <si>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</si>
  <si>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</si>
  <si>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</si>
  <si>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</si>
  <si>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</si>
  <si>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</si>
  <si>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</si>
  <si>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</si>
  <si>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</si>
  <si>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</si>
  <si>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</si>
  <si>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</si>
  <si>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</si>
  <si>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</si>
  <si>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</si>
  <si>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</si>
  <si>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</si>
  <si>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</si>
  <si>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</si>
  <si>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</si>
  <si>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</si>
  <si>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</si>
  <si>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</si>
  <si>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</si>
  <si>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</si>
  <si>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</si>
  <si>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</si>
  <si>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</si>
  <si>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</si>
  <si>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</si>
  <si>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</si>
  <si>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</si>
  <si>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</si>
  <si>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</si>
  <si>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</si>
  <si>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</si>
  <si>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</si>
  <si>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</si>
  <si>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</si>
  <si>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</si>
  <si>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</si>
  <si>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</si>
  <si>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</si>
  <si>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</si>
  <si>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</si>
  <si>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</si>
  <si>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</si>
  <si>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</si>
  <si>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</si>
  <si>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</si>
  <si>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</si>
  <si>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</si>
  <si>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</si>
  <si>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</si>
  <si>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</si>
  <si>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</si>
  <si>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</si>
  <si>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</si>
  <si>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</si>
  <si>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</si>
  <si>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</si>
  <si>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</si>
  <si>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</si>
  <si>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</si>
  <si>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</si>
  <si>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</si>
  <si>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</si>
  <si>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</si>
  <si>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</si>
  <si>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</si>
  <si>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</si>
  <si>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</si>
  <si>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</si>
  <si>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</si>
  <si>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</si>
  <si>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</si>
  <si>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</si>
  <si>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</si>
  <si>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</si>
  <si>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</si>
  <si>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</si>
  <si>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</si>
  <si>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</si>
  <si>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</si>
  <si>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</si>
  <si>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</si>
  <si>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</si>
  <si>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</si>
  <si>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</si>
  <si>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</si>
  <si>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</si>
  <si>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</si>
  <si>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</si>
  <si>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</si>
  <si>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</si>
  <si>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</si>
  <si>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</si>
  <si>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</si>
  <si>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</si>
  <si>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</si>
  <si>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</si>
  <si>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</si>
  <si>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</si>
  <si>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</si>
  <si>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</si>
  <si>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</si>
  <si>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</si>
  <si>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</si>
  <si>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</si>
  <si>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</si>
  <si>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</si>
  <si>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</si>
  <si>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</si>
  <si>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</si>
  <si>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</si>
  <si>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</si>
  <si>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</si>
  <si>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</si>
  <si>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</si>
  <si>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</si>
  <si>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</si>
  <si>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</si>
  <si>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</si>
  <si>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</si>
  <si>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</si>
  <si>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</si>
  <si>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</si>
  <si>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</si>
  <si>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</si>
  <si>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</si>
  <si>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</si>
  <si>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</si>
  <si>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</si>
  <si>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</si>
  <si>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</si>
  <si>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</si>
  <si>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</si>
  <si>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</si>
  <si>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</si>
  <si>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</si>
  <si>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</si>
  <si>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</si>
  <si>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</si>
  <si>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</si>
  <si>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</si>
  <si>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</si>
  <si>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</si>
  <si>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</si>
  <si>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</si>
  <si>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</si>
  <si>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</si>
  <si>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</si>
  <si>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</si>
  <si>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</si>
  <si>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</si>
  <si>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</si>
  <si>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</si>
  <si>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</si>
  <si>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</si>
  <si>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</si>
  <si>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</si>
  <si>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</si>
  <si>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</si>
  <si>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</si>
  <si>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</si>
  <si>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</si>
  <si>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</si>
  <si>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</si>
  <si>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</si>
  <si>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</si>
  <si>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</si>
  <si>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</si>
  <si>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</si>
  <si>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</si>
  <si>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</si>
  <si>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</si>
  <si>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</si>
  <si>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</si>
  <si>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</si>
  <si>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</si>
  <si>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</si>
  <si>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</si>
  <si>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</si>
  <si>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</si>
  <si>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</si>
  <si>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</si>
  <si>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</si>
  <si>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</si>
  <si>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</si>
  <si>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</si>
  <si>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</si>
  <si>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</si>
  <si>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</si>
  <si>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</si>
  <si>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</si>
  <si>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</si>
  <si>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</si>
  <si>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</si>
  <si>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</si>
  <si>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</si>
  <si>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</si>
  <si>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</si>
  <si>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</si>
  <si>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</si>
  <si>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</si>
  <si>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</si>
  <si>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</si>
  <si>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</si>
  <si>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</si>
  <si>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</si>
  <si>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</si>
  <si>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</si>
  <si>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</si>
  <si>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</si>
  <si>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</si>
  <si>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</si>
  <si>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</si>
  <si>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</si>
  <si>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</si>
  <si>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</si>
  <si>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</si>
  <si>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</si>
  <si>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</si>
  <si>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</si>
  <si>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</si>
  <si>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</si>
  <si>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</si>
  <si>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</si>
  <si>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</si>
  <si>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</si>
  <si>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</si>
  <si>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</si>
  <si>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</si>
  <si>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</si>
  <si>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</si>
  <si>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</si>
  <si>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</si>
  <si>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</si>
  <si>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</si>
  <si>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</si>
  <si>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</si>
  <si>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</si>
  <si>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</si>
  <si>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</si>
  <si>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</si>
  <si>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</si>
  <si>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</si>
  <si>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</si>
  <si>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</si>
  <si>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</si>
  <si>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</si>
  <si>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</si>
  <si>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</si>
  <si>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</si>
  <si>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</si>
  <si>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</si>
  <si>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</si>
  <si>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</si>
  <si>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</si>
  <si>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</si>
  <si>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</si>
  <si>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</si>
  <si>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</si>
  <si>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</si>
  <si>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</si>
  <si>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</si>
  <si>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</si>
  <si>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</si>
  <si>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</si>
  <si>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</si>
  <si>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</si>
  <si>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</si>
  <si>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</si>
  <si>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</si>
  <si>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</si>
  <si>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</si>
  <si>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</si>
  <si>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</si>
  <si>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</si>
  <si>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</si>
  <si>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</si>
  <si>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</si>
  <si>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</si>
  <si>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</si>
  <si>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</si>
  <si>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</si>
  <si>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</si>
  <si>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</si>
  <si>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</si>
  <si>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</si>
  <si>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</si>
  <si>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</si>
  <si>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</si>
  <si>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</si>
  <si>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</si>
  <si>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</si>
  <si>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</si>
  <si>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</si>
  <si>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</si>
  <si>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</si>
  <si>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</si>
  <si>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</si>
  <si>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</si>
  <si>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</si>
  <si>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</si>
  <si>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</si>
  <si>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</si>
  <si>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</si>
  <si>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</si>
  <si>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</si>
  <si>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</si>
  <si>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</si>
  <si>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</si>
  <si>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</si>
  <si>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</si>
  <si>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</si>
  <si>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</si>
  <si>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</si>
  <si>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</si>
  <si>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</si>
  <si>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</si>
  <si>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</si>
  <si>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</si>
  <si>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</si>
  <si>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</si>
  <si>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</si>
  <si>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</si>
  <si>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</si>
  <si>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</si>
  <si>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</si>
  <si>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</si>
  <si>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</si>
  <si>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</si>
  <si>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</si>
  <si>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</si>
  <si>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</si>
  <si>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</si>
  <si>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</si>
  <si>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</si>
  <si>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</si>
  <si>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</si>
  <si>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</si>
  <si>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</si>
  <si>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</si>
  <si>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</si>
  <si>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</si>
  <si>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</si>
  <si>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</si>
  <si>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</si>
  <si>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</si>
  <si>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</si>
  <si>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</si>
  <si>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</si>
  <si>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</si>
  <si>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</si>
  <si>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</si>
  <si>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</si>
  <si>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</si>
  <si>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</si>
  <si>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</si>
  <si>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</si>
  <si>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</si>
  <si>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</si>
  <si>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</si>
  <si>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</si>
  <si>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</si>
  <si>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</si>
  <si>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</si>
  <si>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</si>
  <si>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</si>
  <si>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</si>
  <si>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</si>
  <si>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</si>
  <si>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</si>
  <si>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</si>
  <si>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</si>
  <si>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</si>
  <si>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</si>
  <si>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</si>
  <si>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</si>
  <si>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</si>
  <si>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</si>
  <si>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</si>
  <si>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</si>
  <si>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</si>
  <si>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</si>
  <si>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</si>
  <si>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</si>
  <si>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</si>
  <si>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</si>
  <si>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</si>
  <si>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</si>
  <si>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</si>
  <si>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</si>
  <si>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</si>
  <si>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</si>
  <si>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</si>
  <si>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</si>
  <si>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</si>
  <si>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</si>
  <si>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</si>
  <si>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</si>
  <si>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</si>
  <si>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</si>
  <si>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</si>
  <si>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</si>
  <si>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</si>
  <si>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</si>
  <si>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</si>
  <si>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</si>
  <si>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</si>
  <si>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</si>
  <si>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</si>
  <si>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</si>
  <si>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</si>
  <si>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</si>
  <si>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</si>
  <si>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</si>
  <si>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</si>
  <si>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</si>
  <si>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</si>
  <si>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</si>
  <si>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</si>
  <si>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</si>
  <si>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</si>
  <si>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</si>
  <si>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</si>
  <si>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</si>
  <si>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</si>
  <si>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</si>
  <si>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</si>
  <si>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</si>
  <si>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</si>
  <si>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</si>
  <si>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</si>
  <si>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</si>
  <si>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</si>
  <si>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</si>
  <si>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</si>
  <si>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</si>
  <si>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</si>
  <si>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</si>
  <si>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</si>
  <si>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</si>
  <si>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</si>
  <si>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</si>
  <si>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</si>
  <si>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</si>
  <si>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</si>
  <si>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</si>
  <si>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</si>
  <si>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</si>
  <si>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</si>
  <si>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</si>
  <si>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</si>
  <si>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</si>
  <si>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</si>
  <si>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</si>
  <si>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</si>
  <si>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</si>
  <si>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</si>
  <si>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</si>
  <si>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</si>
  <si>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</si>
  <si>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</si>
  <si>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</si>
  <si>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</si>
  <si>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</si>
  <si>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</si>
  <si>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</si>
  <si>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</si>
  <si>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</si>
  <si>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</si>
  <si>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</si>
  <si>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</si>
  <si>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</si>
  <si>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</si>
  <si>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</si>
  <si>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</si>
  <si>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</si>
  <si>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</si>
  <si>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</si>
  <si>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</si>
  <si>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</si>
  <si>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</si>
  <si>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</si>
  <si>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</si>
  <si>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</si>
  <si>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</si>
  <si>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</si>
  <si>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</si>
  <si>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</si>
  <si>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</si>
  <si>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</si>
  <si>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</si>
  <si>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</si>
  <si>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</si>
  <si>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</si>
  <si>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</si>
  <si>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</si>
  <si>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</si>
  <si>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</si>
  <si>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</si>
  <si>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</si>
  <si>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</si>
  <si>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</si>
  <si>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</si>
  <si>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</si>
  <si>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</si>
  <si>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</si>
  <si>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</si>
  <si>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</si>
  <si>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</si>
  <si>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</si>
  <si>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</si>
  <si>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</si>
  <si>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</si>
  <si>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</si>
  <si>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</si>
  <si>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</si>
  <si>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</si>
  <si>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</si>
  <si>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</si>
  <si>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</si>
  <si>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</si>
  <si>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</si>
  <si>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</si>
  <si>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</si>
  <si>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</si>
  <si>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</si>
  <si>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</si>
  <si>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</si>
  <si>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</si>
  <si>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</si>
  <si>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</si>
  <si>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</si>
  <si>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</si>
  <si>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</si>
  <si>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</si>
  <si>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</si>
  <si>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</si>
  <si>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</si>
  <si>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</si>
  <si>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</si>
  <si>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</si>
  <si>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</si>
  <si>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</si>
  <si>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</si>
  <si>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</si>
  <si>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</si>
  <si>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</si>
  <si>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</si>
  <si>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</si>
  <si>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</si>
  <si>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</si>
  <si>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</si>
  <si>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</si>
  <si>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</si>
  <si>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</si>
  <si>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</si>
  <si>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</si>
  <si>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</si>
  <si>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</si>
  <si>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</si>
  <si>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</si>
  <si>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</si>
  <si>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</si>
  <si>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</si>
  <si>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</si>
  <si>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</si>
  <si>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</si>
  <si>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</si>
  <si>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</si>
  <si>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</si>
  <si>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</si>
  <si>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</si>
  <si>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</si>
  <si>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</si>
  <si>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</si>
  <si>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</si>
  <si>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</si>
  <si>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</si>
  <si>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</si>
  <si>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</si>
  <si>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</si>
  <si>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</si>
  <si>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</si>
  <si>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</si>
  <si>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</si>
  <si>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</si>
  <si>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</si>
  <si>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</si>
  <si>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</si>
  <si>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</si>
  <si>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</si>
  <si>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</si>
  <si>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</si>
  <si>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</si>
  <si>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</si>
  <si>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</si>
  <si>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</si>
  <si>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</si>
  <si>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</si>
  <si>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</si>
  <si>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</si>
  <si>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</si>
  <si>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</si>
  <si>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</si>
  <si>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</si>
  <si>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</si>
  <si>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</si>
  <si>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</si>
  <si>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</si>
  <si>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</si>
  <si>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</si>
  <si>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</si>
  <si>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</si>
  <si>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</si>
  <si>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</si>
  <si>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</si>
  <si>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</si>
  <si>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</si>
  <si>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</si>
  <si>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</si>
  <si>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</si>
  <si>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</si>
  <si>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</si>
  <si>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</si>
  <si>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</si>
  <si>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</si>
  <si>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</si>
  <si>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</si>
  <si>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</si>
  <si>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</si>
  <si>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</si>
  <si>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</si>
  <si>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</si>
  <si>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</si>
  <si>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</si>
  <si>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</si>
  <si>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</si>
  <si>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</si>
  <si>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</si>
  <si>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</si>
  <si>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</si>
  <si>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</si>
  <si>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</si>
  <si>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</si>
  <si>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</si>
  <si>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</si>
  <si>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</si>
  <si>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</si>
  <si>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</si>
  <si>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</si>
  <si>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</si>
  <si>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</si>
  <si>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</si>
  <si>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</si>
  <si>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</si>
  <si>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</si>
  <si>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</si>
  <si>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</si>
  <si>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</si>
  <si>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</si>
  <si>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</si>
  <si>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</si>
  <si>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</si>
  <si>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</si>
  <si>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</si>
  <si>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</si>
  <si>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</si>
  <si>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</si>
  <si>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</si>
  <si>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</si>
  <si>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</si>
  <si>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</si>
  <si>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</si>
  <si>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</si>
  <si>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</si>
  <si>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</si>
  <si>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</si>
  <si>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</si>
  <si>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</si>
  <si>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</si>
  <si>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</si>
  <si>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</si>
  <si>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</si>
  <si>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</si>
  <si>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</si>
  <si>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</si>
  <si>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</si>
  <si>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</si>
  <si>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</si>
  <si>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</si>
  <si>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</si>
  <si>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</si>
  <si>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</si>
  <si>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</si>
  <si>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</si>
  <si>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</si>
  <si>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</si>
  <si>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</si>
  <si>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</si>
  <si>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</si>
  <si>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</si>
  <si>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</si>
  <si>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</si>
  <si>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</si>
  <si>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</si>
  <si>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</si>
  <si>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</si>
  <si>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</si>
  <si>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</si>
  <si>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</si>
  <si>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</si>
  <si>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</si>
  <si>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</si>
  <si>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</si>
  <si>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</si>
  <si>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</si>
  <si>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</si>
  <si>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</si>
  <si>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</si>
  <si>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</si>
  <si>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</si>
  <si>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</si>
  <si>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</si>
  <si>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</si>
  <si>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</si>
  <si>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</si>
  <si>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</si>
  <si>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</si>
  <si>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</si>
  <si>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</si>
  <si>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</si>
  <si>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</si>
  <si>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</si>
  <si>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</si>
  <si>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</si>
  <si>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</si>
  <si>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</si>
  <si>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</si>
  <si>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</si>
  <si>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</si>
  <si>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</si>
  <si>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</si>
  <si>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</si>
  <si>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</si>
  <si>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</si>
  <si>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</si>
  <si>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</si>
  <si>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</si>
  <si>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</si>
  <si>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</si>
  <si>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</si>
  <si>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</si>
  <si>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</si>
  <si>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</si>
  <si>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</si>
  <si>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</si>
  <si>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</si>
  <si>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</si>
  <si>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</si>
  <si>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</si>
  <si>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</si>
  <si>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</si>
  <si>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</si>
  <si>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</si>
  <si>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</si>
  <si>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</si>
  <si>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</si>
  <si>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</si>
  <si>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</si>
  <si>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</si>
  <si>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</si>
  <si>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</si>
  <si>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</si>
  <si>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</si>
  <si>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</si>
  <si>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</si>
  <si>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</si>
  <si>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</si>
  <si>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</si>
  <si>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</si>
  <si>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</si>
  <si>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</si>
  <si>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</si>
  <si>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</si>
  <si>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</si>
  <si>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</si>
  <si>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</si>
  <si>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</si>
  <si>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</si>
  <si>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</si>
  <si>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</si>
  <si>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</si>
  <si>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</si>
  <si>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</si>
  <si>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</si>
  <si>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</si>
  <si>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</si>
  <si>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</si>
  <si>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</si>
  <si>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</si>
  <si>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</si>
  <si>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</si>
  <si>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</si>
  <si>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</si>
  <si>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</si>
  <si>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</si>
  <si>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</si>
  <si>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</si>
  <si>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</si>
  <si>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</si>
  <si>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</si>
  <si>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</si>
  <si>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</si>
  <si>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</si>
  <si>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</si>
  <si>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</si>
  <si>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</si>
  <si>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</si>
  <si>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</si>
  <si>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</si>
  <si>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</si>
  <si>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</si>
  <si>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</si>
  <si>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</si>
  <si>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</si>
  <si>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</si>
  <si>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</si>
  <si>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</si>
  <si>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</si>
  <si>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</si>
  <si>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</si>
  <si>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</si>
  <si>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</si>
  <si>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</si>
  <si>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</si>
  <si>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</si>
  <si>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</si>
  <si>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</si>
  <si>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</si>
  <si>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</si>
  <si>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</si>
  <si>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</si>
  <si>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</si>
  <si>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</si>
  <si>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</si>
  <si>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</si>
  <si>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</si>
  <si>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</si>
  <si>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</si>
  <si>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</si>
  <si>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</si>
  <si>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</si>
  <si>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</si>
  <si>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</si>
  <si>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</si>
  <si>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</si>
  <si>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</si>
  <si>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</si>
  <si>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</si>
  <si>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</si>
  <si>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</si>
  <si>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</si>
  <si>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</si>
  <si>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</si>
  <si>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</si>
  <si>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</si>
  <si>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</si>
  <si>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</si>
  <si>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</si>
  <si>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</si>
  <si>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</si>
  <si>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</si>
  <si>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</si>
  <si>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</si>
  <si>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</si>
  <si>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</si>
  <si>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</si>
  <si>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</si>
  <si>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</si>
  <si>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</si>
  <si>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</si>
  <si>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</si>
  <si>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</si>
  <si>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</si>
  <si>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</si>
  <si>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</si>
  <si>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</si>
  <si>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</si>
  <si>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</si>
  <si>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</si>
  <si>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</si>
  <si>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</si>
  <si>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</si>
  <si>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</si>
  <si>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</si>
  <si>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</si>
  <si>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</si>
  <si>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</si>
  <si>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</si>
  <si>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</si>
  <si>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</si>
  <si>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</si>
  <si>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</si>
  <si>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</si>
  <si>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</si>
  <si>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</si>
  <si>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</si>
  <si>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</si>
  <si>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</si>
  <si>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</si>
  <si>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</si>
  <si>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</si>
  <si>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</si>
  <si>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</si>
  <si>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</si>
  <si>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</si>
  <si>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</si>
  <si>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</si>
  <si>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</si>
  <si>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</si>
  <si>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</si>
  <si>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</si>
  <si>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</si>
  <si>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</si>
  <si>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</si>
  <si>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</si>
  <si>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</si>
  <si>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</si>
  <si>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</si>
  <si>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</si>
  <si>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</si>
  <si>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</si>
  <si>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</si>
  <si>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</si>
  <si>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</si>
  <si>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</si>
  <si>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</si>
  <si>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</si>
  <si>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</si>
  <si>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</si>
  <si>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</si>
  <si>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</si>
  <si>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</si>
  <si>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</si>
  <si>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</si>
  <si>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</si>
  <si>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</si>
  <si>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</si>
  <si>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</si>
  <si>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</si>
  <si>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</si>
  <si>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</si>
  <si>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</si>
  <si>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</si>
  <si>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</si>
  <si>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</si>
  <si>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</si>
  <si>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</si>
  <si>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</si>
  <si>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</si>
  <si>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</si>
  <si>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</si>
  <si>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</si>
  <si>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</si>
  <si>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</si>
  <si>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</si>
  <si>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</si>
  <si>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</si>
  <si>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</si>
  <si>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</si>
  <si>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</si>
  <si>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</si>
  <si>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</si>
  <si>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</si>
  <si>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</si>
  <si>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</si>
  <si>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</si>
  <si>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</si>
  <si>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</si>
  <si>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</si>
  <si>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</si>
  <si>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</si>
  <si>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</si>
  <si>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</si>
  <si>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</si>
  <si>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</si>
  <si>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</si>
  <si>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</si>
  <si>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</si>
  <si>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</si>
  <si>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</si>
  <si>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</si>
  <si>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</si>
  <si>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</si>
  <si>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</si>
  <si>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</si>
  <si>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</si>
  <si>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</si>
  <si>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</si>
  <si>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</si>
  <si>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</si>
  <si>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</si>
  <si>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</si>
  <si>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</si>
  <si>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</si>
  <si>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</si>
  <si>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</si>
  <si>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</si>
  <si>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</si>
  <si>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</si>
  <si>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</si>
  <si>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</si>
  <si>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</si>
  <si>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</si>
  <si>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</si>
  <si>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</si>
  <si>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</si>
  <si>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</si>
  <si>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</si>
  <si>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</si>
  <si>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</si>
  <si>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</si>
  <si>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</si>
  <si>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</si>
  <si>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</si>
  <si>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</si>
  <si>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</si>
  <si>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</si>
  <si>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</si>
  <si>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</si>
  <si>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</si>
  <si>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</si>
  <si>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</si>
  <si>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</si>
  <si>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</si>
  <si>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</si>
  <si>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</si>
  <si>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</si>
  <si>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</si>
  <si>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</si>
  <si>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</si>
  <si>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</si>
  <si>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</si>
  <si>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</si>
  <si>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</si>
  <si>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</si>
  <si>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</si>
  <si>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</si>
  <si>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</si>
  <si>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</si>
  <si>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</si>
  <si>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</si>
  <si>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</si>
  <si>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</si>
  <si>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</si>
  <si>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</si>
  <si>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</si>
  <si>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</si>
  <si>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</si>
  <si>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</si>
  <si>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</si>
  <si>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</si>
  <si>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</si>
  <si>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</si>
  <si>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</si>
  <si>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</si>
  <si>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</si>
  <si>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</si>
  <si>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</si>
  <si>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</si>
  <si>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</si>
  <si>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</si>
  <si>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</si>
  <si>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</si>
  <si>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</si>
  <si>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</si>
  <si>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</si>
  <si>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</si>
  <si>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</si>
  <si>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</si>
  <si>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</si>
  <si>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</si>
  <si>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</si>
  <si>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</si>
  <si>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</si>
  <si>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</si>
  <si>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</si>
  <si>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</si>
  <si>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</si>
  <si>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</si>
  <si>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</si>
  <si>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</si>
  <si>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</si>
  <si>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</si>
  <si>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</si>
  <si>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</si>
  <si>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</si>
  <si>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</si>
  <si>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</si>
  <si>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</si>
  <si>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</si>
  <si>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</si>
  <si>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</si>
  <si>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</si>
  <si>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</si>
  <si>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</si>
  <si>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</si>
  <si>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</si>
  <si>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</si>
  <si>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</si>
  <si>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</si>
  <si>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</si>
  <si>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</si>
  <si>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</si>
  <si>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</si>
  <si>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</si>
  <si>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</si>
  <si>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</si>
  <si>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</si>
  <si>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</si>
  <si>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</si>
  <si>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</si>
  <si>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</si>
  <si>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</si>
  <si>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</si>
  <si>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</si>
  <si>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</si>
  <si>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</si>
  <si>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</si>
  <si>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</si>
  <si>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</si>
  <si>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</si>
  <si>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</si>
  <si>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</si>
  <si>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</si>
  <si>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</si>
  <si>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</si>
  <si>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</si>
  <si>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</si>
  <si>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</si>
  <si>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</si>
  <si>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</si>
  <si>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</si>
  <si>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</si>
  <si>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</si>
  <si>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</si>
  <si>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</si>
  <si>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</si>
  <si>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</si>
  <si>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</si>
  <si>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</si>
  <si>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</si>
  <si>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</si>
  <si>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</si>
  <si>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</si>
  <si>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</si>
  <si>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</si>
  <si>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</si>
  <si>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</si>
  <si>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</si>
  <si>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</si>
  <si>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</si>
  <si>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</si>
  <si>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</si>
  <si>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</si>
  <si>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</si>
  <si>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</si>
  <si>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</si>
  <si>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</si>
  <si>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</si>
  <si>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</si>
  <si>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</si>
  <si>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</si>
  <si>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</si>
  <si>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</si>
  <si>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</si>
  <si>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</si>
  <si>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</si>
  <si>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</si>
  <si>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</si>
  <si>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</si>
  <si>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</si>
  <si>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</si>
  <si>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</si>
  <si>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</si>
  <si>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</si>
  <si>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</si>
  <si>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</si>
  <si>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</si>
  <si>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</si>
  <si>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</si>
  <si>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</si>
  <si>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</si>
  <si>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</si>
  <si>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</si>
  <si>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</si>
  <si>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</si>
  <si>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</si>
  <si>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</si>
  <si>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</si>
  <si>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</si>
  <si>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</si>
  <si>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</si>
  <si>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</si>
  <si>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</si>
  <si>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</si>
  <si>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</si>
  <si>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</si>
  <si>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</si>
  <si>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</si>
  <si>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</si>
  <si>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</si>
  <si>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</si>
  <si>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</si>
  <si>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</si>
  <si>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</si>
  <si>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</si>
  <si>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</si>
  <si>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</si>
  <si>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</si>
  <si>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</si>
  <si>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</si>
  <si>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</si>
  <si>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</si>
  <si>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</si>
  <si>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</si>
  <si>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</si>
  <si>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</si>
  <si>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</si>
  <si>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</si>
  <si>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</si>
  <si>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</si>
  <si>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</si>
  <si>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</si>
  <si>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</si>
  <si>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</si>
  <si>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</si>
  <si>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</si>
  <si>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</si>
  <si>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</si>
  <si>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</si>
  <si>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</si>
  <si>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</si>
  <si>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</si>
  <si>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</si>
  <si>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</si>
  <si>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</si>
  <si>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</si>
  <si>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</si>
  <si>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</si>
  <si>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</si>
  <si>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</si>
  <si>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</si>
  <si>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</si>
  <si>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</si>
  <si>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</si>
  <si>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</si>
  <si>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</si>
  <si>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</si>
  <si>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</si>
  <si>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</si>
  <si>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</si>
  <si>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</si>
  <si>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</si>
  <si>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</si>
  <si>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</si>
  <si>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</si>
  <si>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</si>
  <si>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</si>
  <si>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</si>
  <si>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</si>
  <si>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</si>
  <si>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</si>
  <si>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</si>
  <si>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</si>
  <si>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</si>
  <si>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</si>
  <si>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</si>
  <si>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</si>
  <si>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</si>
  <si>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</si>
  <si>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</si>
  <si>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</si>
  <si>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</si>
  <si>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</si>
  <si>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</si>
  <si>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</si>
  <si>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</si>
  <si>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</si>
  <si>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</si>
  <si>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</si>
  <si>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</si>
  <si>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</si>
  <si>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</si>
  <si>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</si>
  <si>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</si>
  <si>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</si>
  <si>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</si>
  <si>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</si>
  <si>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</si>
  <si>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</si>
  <si>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</si>
  <si>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</si>
  <si>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</si>
  <si>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</si>
  <si>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</si>
  <si>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</si>
  <si>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</si>
  <si>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</si>
  <si>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</si>
  <si>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</si>
  <si>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</si>
  <si>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</si>
  <si>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</si>
  <si>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</si>
  <si>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</si>
  <si>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</si>
  <si>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</si>
  <si>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</si>
  <si>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</si>
  <si>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</si>
  <si>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</si>
  <si>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</si>
  <si>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</si>
  <si>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</si>
  <si>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</si>
  <si>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</si>
  <si>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</si>
  <si>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</si>
  <si>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</si>
  <si>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</si>
  <si>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</si>
  <si>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</si>
  <si>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</si>
  <si>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</si>
  <si>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</si>
  <si>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</si>
  <si>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</si>
  <si>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</si>
  <si>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</si>
  <si>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</si>
  <si>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</si>
  <si>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</si>
  <si>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</si>
  <si>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</si>
  <si>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</si>
  <si>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</si>
  <si>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</si>
  <si>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</si>
  <si>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</si>
  <si>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</si>
  <si>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</si>
  <si>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</si>
  <si>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</si>
  <si>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</si>
  <si>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</si>
  <si>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</si>
  <si>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</si>
  <si>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</si>
  <si>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</si>
  <si>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</si>
  <si>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</si>
  <si>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</si>
  <si>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</si>
  <si>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</si>
  <si>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</si>
  <si>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</si>
  <si>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</si>
  <si>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</si>
  <si>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</si>
  <si>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</si>
  <si>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</si>
  <si>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</si>
  <si>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</si>
  <si>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</si>
  <si>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</si>
  <si>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</si>
  <si>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</si>
  <si>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</si>
  <si>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</si>
  <si>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</si>
  <si>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</si>
  <si>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</si>
  <si>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</si>
  <si>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</si>
  <si>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</si>
  <si>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</si>
  <si>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</si>
  <si>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</si>
  <si>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</si>
  <si>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</si>
  <si>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</si>
  <si>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</si>
  <si>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</si>
  <si>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</si>
  <si>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</si>
  <si>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</si>
  <si>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</si>
  <si>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</si>
  <si>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</si>
  <si>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</si>
  <si>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</si>
  <si>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</si>
  <si>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</si>
  <si>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</si>
  <si>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</si>
  <si>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</si>
  <si>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</si>
  <si>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</si>
  <si>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</si>
  <si>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</si>
  <si>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</si>
  <si>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</si>
  <si>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</si>
  <si>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</si>
  <si>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</si>
  <si>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</si>
  <si>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</si>
  <si>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</si>
  <si>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</si>
  <si>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</si>
  <si>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</si>
  <si>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</si>
  <si>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</si>
  <si>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</si>
  <si>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</si>
  <si>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</si>
  <si>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</si>
  <si>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</si>
  <si>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</si>
  <si>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</si>
  <si>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</si>
  <si>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</si>
  <si>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</si>
  <si>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</si>
  <si>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</si>
  <si>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</si>
  <si>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</si>
  <si>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</si>
  <si>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</si>
  <si>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</si>
  <si>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</si>
  <si>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</si>
  <si>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</si>
  <si>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</si>
  <si>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</si>
  <si>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</si>
  <si>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</si>
  <si>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</si>
  <si>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</si>
  <si>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</si>
  <si>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</si>
  <si>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</si>
  <si>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</si>
  <si>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</si>
  <si>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</si>
  <si>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</si>
  <si>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</si>
  <si>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</si>
  <si>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</si>
  <si>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</si>
  <si>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</si>
  <si>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</si>
  <si>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</si>
  <si>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</si>
  <si>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</si>
  <si>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</si>
  <si>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</si>
  <si>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</si>
  <si>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</si>
  <si>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</si>
  <si>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</si>
  <si>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</si>
  <si>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</si>
  <si>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</si>
  <si>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</si>
  <si>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</si>
  <si>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</si>
  <si>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</si>
  <si>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</si>
  <si>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</si>
  <si>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</si>
  <si>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</si>
  <si>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</si>
  <si>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</si>
  <si>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</si>
  <si>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</si>
  <si>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</si>
  <si>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</si>
  <si>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</si>
  <si>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</si>
  <si>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</si>
  <si>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</si>
  <si>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</si>
  <si>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</si>
  <si>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</si>
  <si>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</si>
  <si>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</si>
  <si>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</si>
  <si>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</si>
  <si>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</si>
  <si>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</si>
  <si>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</si>
  <si>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</si>
  <si>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</si>
  <si>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</si>
  <si>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</si>
  <si>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</si>
  <si>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</si>
  <si>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</si>
  <si>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</si>
  <si>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</si>
  <si>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</si>
  <si>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</si>
  <si>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</si>
  <si>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</si>
  <si>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</si>
  <si>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</si>
  <si>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</si>
  <si>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</si>
  <si>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</si>
  <si>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</si>
  <si>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</si>
  <si>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</si>
  <si>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</si>
  <si>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</si>
  <si>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</si>
  <si>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</si>
  <si>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</si>
  <si>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</si>
  <si>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</si>
  <si>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</si>
  <si>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</si>
  <si>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</si>
  <si>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</si>
  <si>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</si>
  <si>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</si>
  <si>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</si>
  <si>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</si>
  <si>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</si>
  <si>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</si>
  <si>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</si>
  <si>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</si>
  <si>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</si>
  <si>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</si>
  <si>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</si>
  <si>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</si>
  <si>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</si>
  <si>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</si>
  <si>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</si>
  <si>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</si>
  <si>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</si>
  <si>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</si>
  <si>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</si>
  <si>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</si>
  <si>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</si>
  <si>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</si>
  <si>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</si>
  <si>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</si>
  <si>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</si>
  <si>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</si>
  <si>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</si>
  <si>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</si>
  <si>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</si>
  <si>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</si>
  <si>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</si>
  <si>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</si>
  <si>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</si>
  <si>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</si>
  <si>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</si>
  <si>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</si>
  <si>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</si>
  <si>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</si>
  <si>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</si>
  <si>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</si>
  <si>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</si>
  <si>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</si>
  <si>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</si>
  <si>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</si>
  <si>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</si>
  <si>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</si>
  <si>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</si>
  <si>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</si>
  <si>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</si>
  <si>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</si>
  <si>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</si>
  <si>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</si>
  <si>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</si>
  <si>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</si>
  <si>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</si>
  <si>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</si>
  <si>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</si>
  <si>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</si>
  <si>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</si>
  <si>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</si>
  <si>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</si>
  <si>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</si>
  <si>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</si>
  <si>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</si>
  <si>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</si>
  <si>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</si>
  <si>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</si>
  <si>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</si>
  <si>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</si>
  <si>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</si>
  <si>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</si>
  <si>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</si>
  <si>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</si>
  <si>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</si>
  <si>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</si>
  <si>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</si>
  <si>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</si>
  <si>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</si>
  <si>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</si>
  <si>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</si>
  <si>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</si>
  <si>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</si>
  <si>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</si>
  <si>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</si>
  <si>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</si>
  <si>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</si>
  <si>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</si>
  <si>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</si>
  <si>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</si>
  <si>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</si>
  <si>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</si>
  <si>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</si>
  <si>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</si>
  <si>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</si>
  <si>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</si>
  <si>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</si>
  <si>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</si>
  <si>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</si>
  <si>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</si>
  <si>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</si>
  <si>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</si>
  <si>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</si>
  <si>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</si>
  <si>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</si>
  <si>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</si>
  <si>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</si>
  <si>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</si>
  <si>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</si>
  <si>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</si>
  <si>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</si>
  <si>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</si>
  <si>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</si>
  <si>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</si>
  <si>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</si>
  <si>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</si>
  <si>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</si>
  <si>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</si>
  <si>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</si>
  <si>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</si>
  <si>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</si>
  <si>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</si>
  <si>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</si>
  <si>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</si>
  <si>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</si>
  <si>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</si>
  <si>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</si>
  <si>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</si>
  <si>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</si>
  <si>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</si>
  <si>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</si>
  <si>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</si>
  <si>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</si>
  <si>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</si>
  <si>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</si>
  <si>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</si>
  <si>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</si>
  <si>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</si>
  <si>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</si>
  <si>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</si>
  <si>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</si>
  <si>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</si>
  <si>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</si>
  <si>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</si>
  <si>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</si>
  <si>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</si>
  <si>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</si>
  <si>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</si>
  <si>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</si>
  <si>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</si>
  <si>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</si>
  <si>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</si>
  <si>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</si>
  <si>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</si>
  <si>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</si>
  <si>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</si>
  <si>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</si>
  <si>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</si>
  <si>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</si>
  <si>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</si>
  <si>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</si>
  <si>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</si>
  <si>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</si>
  <si>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</si>
  <si>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</si>
  <si>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</si>
  <si>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</si>
  <si>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</si>
  <si>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</si>
  <si>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</si>
  <si>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</si>
  <si>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</si>
  <si>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</si>
  <si>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</si>
  <si>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</si>
  <si>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</si>
  <si>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</si>
  <si>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</si>
  <si>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</si>
  <si>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</si>
  <si>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</si>
  <si>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</si>
  <si>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</si>
  <si>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</si>
  <si>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</si>
  <si>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</si>
  <si>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</si>
  <si>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</si>
  <si>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</si>
  <si>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</si>
  <si>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</si>
  <si>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</si>
  <si>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</si>
  <si>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</si>
  <si>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</si>
  <si>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</si>
  <si>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</si>
  <si>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</si>
  <si>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</si>
  <si>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</si>
  <si>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</si>
  <si>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</si>
  <si>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</si>
  <si>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</si>
  <si>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</si>
  <si>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</si>
  <si>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</si>
  <si>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</si>
  <si>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</si>
  <si>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</si>
  <si>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</si>
  <si>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</si>
  <si>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</si>
  <si>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</si>
  <si>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</si>
  <si>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</si>
  <si>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</si>
  <si>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</si>
  <si>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</si>
  <si>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</si>
  <si>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</si>
  <si>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</si>
  <si>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</si>
  <si>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</si>
  <si>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</si>
  <si>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</si>
  <si>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</si>
  <si>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</si>
  <si>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</si>
  <si>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</si>
  <si>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</si>
  <si>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</si>
  <si>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</si>
  <si>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</si>
  <si>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</si>
  <si>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</si>
  <si>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</si>
  <si>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</si>
  <si>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</si>
  <si>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</si>
  <si>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</si>
  <si>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</si>
  <si>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</si>
  <si>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</si>
  <si>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</si>
  <si>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</si>
  <si>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</si>
  <si>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</si>
  <si>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</si>
  <si>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</si>
  <si>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</si>
  <si>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</si>
  <si>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</si>
  <si>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</si>
  <si>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</si>
  <si>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</si>
  <si>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</si>
  <si>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</si>
  <si>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</si>
  <si>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</si>
  <si>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</si>
  <si>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</si>
  <si>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</si>
  <si>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</si>
  <si>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</si>
  <si>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</si>
  <si>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</si>
  <si>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</si>
  <si>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</si>
  <si>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</si>
  <si>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</si>
  <si>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</si>
  <si>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</si>
  <si>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</si>
  <si>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</si>
  <si>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</si>
  <si>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</si>
  <si>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</si>
  <si>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</si>
  <si>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</si>
  <si>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</si>
  <si>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</si>
  <si>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</si>
  <si>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</si>
  <si>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</si>
  <si>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</si>
  <si>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</si>
  <si>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</si>
  <si>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</si>
  <si>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</si>
  <si>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</si>
  <si>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</si>
  <si>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</si>
  <si>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</si>
  <si>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</si>
  <si>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</si>
  <si>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</si>
  <si>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</si>
  <si>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</si>
  <si>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</si>
  <si>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</si>
  <si>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</si>
  <si>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</si>
  <si>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</si>
  <si>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</si>
  <si>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</si>
  <si>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</si>
  <si>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</si>
  <si>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</si>
  <si>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</si>
  <si>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</si>
  <si>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</si>
  <si>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</si>
  <si>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</si>
  <si>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</si>
  <si>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</si>
  <si>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</si>
  <si>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</si>
  <si>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</si>
  <si>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</si>
  <si>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</si>
  <si>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</si>
  <si>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</si>
  <si>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</si>
  <si>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</si>
  <si>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</si>
  <si>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</si>
  <si>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</si>
  <si>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</si>
  <si>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</si>
  <si>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</si>
  <si>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</si>
  <si>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</si>
  <si>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</si>
  <si>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</si>
  <si>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</si>
  <si>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</si>
  <si>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</si>
  <si>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</si>
  <si>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</si>
  <si>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</si>
  <si>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</si>
  <si>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</si>
  <si>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</si>
  <si>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</si>
  <si>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</si>
  <si>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</si>
  <si>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</si>
  <si>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</si>
  <si>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</si>
  <si>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</si>
  <si>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</si>
  <si>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</si>
  <si>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</si>
  <si>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</si>
  <si>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</si>
  <si>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</si>
  <si>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</si>
  <si>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</si>
  <si>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</si>
  <si>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</si>
  <si>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</si>
  <si>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</si>
  <si>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</si>
  <si>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</si>
  <si>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</si>
  <si>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</si>
  <si>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</si>
  <si>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</si>
  <si>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</si>
  <si>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</si>
  <si>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</si>
  <si>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</si>
  <si>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</si>
  <si>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</si>
  <si>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</si>
  <si>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</si>
  <si>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</si>
  <si>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</si>
  <si>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</si>
  <si>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</si>
  <si>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</si>
  <si>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</si>
  <si>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</si>
  <si>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</si>
  <si>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</si>
  <si>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</si>
  <si>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</si>
  <si>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</si>
  <si>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</si>
  <si>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</si>
  <si>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</si>
  <si>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</si>
  <si>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</si>
  <si>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</si>
  <si>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</si>
  <si>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</si>
  <si>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</si>
  <si>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</si>
  <si>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</si>
  <si>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</si>
  <si>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</si>
  <si>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</si>
  <si>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</si>
  <si>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</si>
  <si>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</si>
  <si>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</si>
  <si>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</si>
  <si>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</si>
  <si>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</si>
  <si>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</si>
  <si>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</si>
  <si>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</si>
  <si>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</si>
  <si>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</si>
  <si>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</si>
  <si>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</si>
  <si>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</si>
  <si>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</si>
  <si>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</si>
  <si>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</si>
  <si>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</si>
  <si>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</si>
  <si>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</si>
  <si>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</si>
  <si>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</si>
  <si>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</si>
  <si>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</si>
  <si>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</si>
  <si>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</si>
  <si>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</si>
  <si>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</si>
  <si>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</si>
  <si>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</si>
  <si>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</si>
  <si>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</si>
  <si>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</si>
  <si>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</si>
  <si>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</si>
  <si>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</si>
  <si>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</si>
  <si>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</si>
  <si>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</si>
  <si>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</si>
  <si>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</si>
  <si>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</si>
  <si>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</si>
  <si>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</si>
  <si>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</si>
  <si>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</si>
  <si>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</si>
  <si>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</si>
  <si>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</si>
  <si>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</si>
  <si>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</si>
  <si>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</si>
  <si>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</si>
  <si>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</si>
  <si>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</si>
  <si>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</si>
  <si>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</si>
  <si>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</si>
  <si>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</si>
  <si>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</si>
  <si>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</si>
  <si>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</si>
  <si>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</si>
  <si>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</si>
  <si>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</si>
  <si>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</si>
  <si>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</si>
  <si>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</si>
  <si>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</si>
  <si>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</si>
  <si>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</si>
  <si>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</si>
  <si>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</si>
  <si>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160 RIDGEWOOD ROAD</t>
  </si>
  <si>
    <t>RIVERSIDE</t>
  </si>
  <si>
    <t>SMETANAK@RBHS208.NET</t>
  </si>
  <si>
    <t>PROVISO</t>
  </si>
  <si>
    <t>EVANS, MARSHALL &amp; PEASE, P.C.</t>
  </si>
  <si>
    <t>CHRISTOPHER M. SCALET, CPA</t>
  </si>
  <si>
    <t>1875 HICKS ROAD</t>
  </si>
  <si>
    <t>ROLLING MEADOWS</t>
  </si>
  <si>
    <t>IL</t>
  </si>
  <si>
    <t>847-221-5700</t>
  </si>
  <si>
    <t>847-221-5701</t>
  </si>
  <si>
    <t>CHRIS@EMPCPA.COM</t>
  </si>
  <si>
    <t>GENERAL OBLIGATION LIMITED TAX SCHOOL BONDS SERIES 2015A</t>
  </si>
  <si>
    <t>GENERAL OBLIGATION REFUNDING SCHOOL BONDS SERIES 2015B</t>
  </si>
  <si>
    <t>GENERAL OBLIGATION LIMITED TAX SCHOOL BONDS SERIES 2017A</t>
  </si>
  <si>
    <t>GENERAL OBLIGATION LIMITED TAX SCHOOL BONDS SERIES 2017B</t>
  </si>
  <si>
    <t>GENERAL OBLIGATION REFUNDING SCHOOL BONDS SERIES 2017C</t>
  </si>
  <si>
    <t>CAPITAL LEASES</t>
  </si>
  <si>
    <t>VARIOUS</t>
  </si>
  <si>
    <t>GENERAL OBLIGATION BONDS</t>
  </si>
  <si>
    <t>ARAMARK</t>
  </si>
  <si>
    <t>EBC</t>
  </si>
  <si>
    <t>QUEST</t>
  </si>
  <si>
    <t>ISIC AND SELF</t>
  </si>
  <si>
    <t>PROVISO TOWNSHIP SCHOOL TREASURER</t>
  </si>
  <si>
    <t>PROPERTY TAX APPEALS GROUP - FRANZCEK</t>
  </si>
  <si>
    <t>LADSE</t>
  </si>
  <si>
    <t>SPECIAL EDUCATION TRANSPORTATION THROUGH LADSE</t>
  </si>
  <si>
    <t>DVR</t>
  </si>
  <si>
    <t>TCPN (THE COOPERATING PURCHASING NETWORK)</t>
  </si>
  <si>
    <t>THE TOTAL LONG-TERM DEBT RETIRED DOESN'T EQUAL DEBT SERVICE - LONG-TERM DEBT RETIRED BECAUSE OF THE TRANSPORTATION</t>
  </si>
  <si>
    <t xml:space="preserve">  CAPITAL LEASE PAYMENTS.</t>
  </si>
  <si>
    <t>O&amp;M-Support Services-Purchased Services</t>
  </si>
  <si>
    <t>20-2540-300</t>
  </si>
  <si>
    <t>Aramark</t>
  </si>
  <si>
    <t>Brookfield Zoo</t>
  </si>
  <si>
    <t>Call One</t>
  </si>
  <si>
    <t>Comcast</t>
  </si>
  <si>
    <t>ED-Instruction-Employee Benefits</t>
  </si>
  <si>
    <t>10-1000-200</t>
  </si>
  <si>
    <t>Educational Benefit Cooperative (EBC)</t>
  </si>
  <si>
    <t>ED-Support Services-Purchased Services</t>
  </si>
  <si>
    <t>10-2620-300</t>
  </si>
  <si>
    <t>ECRA</t>
  </si>
  <si>
    <t>Transportation-Support Services-Purchased Services</t>
  </si>
  <si>
    <t>40-2550-300</t>
  </si>
  <si>
    <t>First Student</t>
  </si>
  <si>
    <t>10-2100-300</t>
  </si>
  <si>
    <t>Hero K12</t>
  </si>
  <si>
    <t>ED-Instruction-Purchased Services</t>
  </si>
  <si>
    <t>10-1000-300</t>
  </si>
  <si>
    <t>Gordon Flesch Company</t>
  </si>
  <si>
    <t>ATT</t>
  </si>
  <si>
    <t>RE Walsh and Associates</t>
  </si>
  <si>
    <t>Midwest Transit/Santander Lease</t>
  </si>
  <si>
    <t>10-2300-300</t>
  </si>
  <si>
    <t>Wordstorm</t>
  </si>
  <si>
    <t>Pitney Bowes</t>
  </si>
  <si>
    <t>Technology Management Revolving Fund</t>
  </si>
  <si>
    <t>10-2510-300</t>
  </si>
  <si>
    <t>TSA</t>
  </si>
  <si>
    <t>10-2520-300</t>
  </si>
  <si>
    <t>Evans, Marshall, &amp; Pease</t>
  </si>
  <si>
    <t>Village of Brookfield</t>
  </si>
  <si>
    <t>Anderson Pest Control</t>
  </si>
  <si>
    <t>Anderson Elevator</t>
  </si>
  <si>
    <t>Arrigo Enterprises</t>
  </si>
  <si>
    <t>County Wide Detective</t>
  </si>
  <si>
    <t>O&amp;M-Support Services-Supplies</t>
  </si>
  <si>
    <t>20-2540-400</t>
  </si>
  <si>
    <t>TruGreen</t>
  </si>
  <si>
    <t>Cummins Npower</t>
  </si>
  <si>
    <t>Verizon</t>
  </si>
  <si>
    <t>066.005340</t>
  </si>
  <si>
    <t>Riverside-Brookfield Twp SD 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</si>
</sst>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8" fontId="1" fillId="0" borderId="157" xfId="20" applyNumberFormat="1" applyBorder="1" applyAlignment="1" applyProtection="1">
      <alignment horizontal="right" vertical="top"/>
      <protection locked="0"/>
    </xf>
    <xf numFmtId="0" fontId="1" fillId="0" borderId="157" xfId="20" applyFont="1" applyBorder="1" applyAlignment="1" applyProtection="1">
      <alignment vertical="top"/>
      <protection locked="0"/>
    </xf>
    <xf numFmtId="0" fontId="1" fillId="0" borderId="157" xfId="20" applyFont="1" applyBorder="1" applyAlignment="1" applyProtection="1">
      <alignment horizontal="left" vertical="top" wrapText="1"/>
      <protection locked="0"/>
    </xf>
    <xf numFmtId="49" fontId="1" fillId="0" borderId="157" xfId="20" applyNumberFormat="1" applyFont="1" applyBorder="1" applyAlignment="1" applyProtection="1">
      <alignment horizontal="center" vertical="top"/>
      <protection locked="0"/>
    </xf>
    <xf numFmtId="49" fontId="1" fillId="0" borderId="157" xfId="20"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1" xr:uid="{D801AB79-C571-4454-AB51-F176704823F1}"/>
    <cellStyle name="Normal 4" xfId="16" xr:uid="{00000000-0005-0000-0000-000008000000}"/>
    <cellStyle name="Normal 5" xfId="17" xr:uid="{00000000-0005-0000-0000-000009000000}"/>
    <cellStyle name="Normal 5 2" xfId="20" xr:uid="{51325CB7-5E2E-48D0-8A4D-42F4F42AFD6A}"/>
    <cellStyle name="Normal 6" xfId="19" xr:uid="{AB880A14-4624-4472-A2CE-AE824ED6B5E1}"/>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199159</xdr:colOff>
          <xdr:row>1</xdr:row>
          <xdr:rowOff>147204</xdr:rowOff>
        </xdr:from>
        <xdr:to>
          <xdr:col>1</xdr:col>
          <xdr:colOff>1110096</xdr:colOff>
          <xdr:row>6</xdr:row>
          <xdr:rowOff>20782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1291936</xdr:colOff>
          <xdr:row>1</xdr:row>
          <xdr:rowOff>148070</xdr:rowOff>
        </xdr:from>
        <xdr:to>
          <xdr:col>1</xdr:col>
          <xdr:colOff>2202872</xdr:colOff>
          <xdr:row>6</xdr:row>
          <xdr:rowOff>21648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5" t="s">
        <v>405</v>
      </c>
      <c r="J1" s="1986"/>
      <c r="K1" s="1986"/>
      <c r="L1" s="1986"/>
      <c r="M1" s="1986"/>
      <c r="N1" s="1986"/>
      <c r="O1" s="1986"/>
      <c r="P1" s="1986"/>
      <c r="Q1" s="1986"/>
      <c r="R1" s="1986"/>
      <c r="S1" s="1986"/>
    </row>
    <row r="2" spans="1:28" ht="12" customHeight="1" x14ac:dyDescent="0.2">
      <c r="A2" s="47" t="s">
        <v>1991</v>
      </c>
      <c r="D2" s="48"/>
      <c r="I2" s="1987" t="s">
        <v>979</v>
      </c>
      <c r="J2" s="1986"/>
      <c r="K2" s="1986"/>
      <c r="L2" s="1986"/>
      <c r="M2" s="1986"/>
      <c r="N2" s="1986"/>
      <c r="O2" s="1986"/>
      <c r="P2" s="1986"/>
      <c r="Q2" s="1986"/>
      <c r="R2" s="1986"/>
      <c r="S2" s="1986"/>
    </row>
    <row r="3" spans="1:28" ht="12" customHeight="1" x14ac:dyDescent="0.2">
      <c r="A3" s="154" t="s">
        <v>1943</v>
      </c>
      <c r="B3" s="155"/>
      <c r="C3" s="155"/>
      <c r="D3" s="156"/>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3" t="s">
        <v>2065</v>
      </c>
      <c r="C5" s="26" t="s">
        <v>910</v>
      </c>
      <c r="D5" s="84"/>
      <c r="E5" s="84"/>
      <c r="H5" s="38"/>
      <c r="I5" s="1995" t="s">
        <v>680</v>
      </c>
      <c r="J5" s="1994"/>
      <c r="K5" s="1994"/>
      <c r="L5" s="1994"/>
      <c r="M5" s="1994"/>
      <c r="N5" s="1994"/>
      <c r="O5" s="1994"/>
      <c r="P5" s="1994"/>
      <c r="Q5" s="1994"/>
      <c r="R5" s="1994"/>
      <c r="S5" s="1994"/>
    </row>
    <row r="6" spans="1:28" ht="14.1" customHeight="1" x14ac:dyDescent="0.2">
      <c r="B6" s="103"/>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7"/>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8" t="s">
        <v>2065</v>
      </c>
      <c r="P12" s="100" t="s">
        <v>202</v>
      </c>
      <c r="Q12" s="74"/>
      <c r="R12" s="30"/>
      <c r="S12" s="30"/>
      <c r="T12" s="85" t="s">
        <v>265</v>
      </c>
      <c r="U12" s="51"/>
      <c r="V12" s="51"/>
      <c r="W12" s="51"/>
      <c r="X12" s="51"/>
      <c r="Y12" s="45"/>
      <c r="Z12" s="45"/>
      <c r="AA12" s="46"/>
    </row>
    <row r="13" spans="1:28" ht="13.5" customHeight="1" x14ac:dyDescent="0.2">
      <c r="A13" s="2020">
        <v>6016208017</v>
      </c>
      <c r="B13" s="2021"/>
      <c r="C13" s="2021"/>
      <c r="D13" s="2021"/>
      <c r="E13" s="2021"/>
      <c r="F13" s="2021"/>
      <c r="G13" s="2021"/>
      <c r="H13" s="2022"/>
      <c r="I13" s="31"/>
      <c r="J13" s="30"/>
      <c r="K13" s="28"/>
      <c r="L13" s="30"/>
      <c r="M13" s="30"/>
      <c r="N13" s="30"/>
      <c r="O13" s="30"/>
      <c r="P13" s="30"/>
      <c r="Q13" s="30"/>
      <c r="R13" s="30"/>
      <c r="S13" s="30"/>
      <c r="T13" s="2025" t="s">
        <v>2071</v>
      </c>
      <c r="U13" s="2026"/>
      <c r="V13" s="2026"/>
      <c r="W13" s="2026"/>
      <c r="X13" s="2026"/>
      <c r="Y13" s="2027"/>
      <c r="Z13" s="2027"/>
      <c r="AA13" s="2028"/>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19" t="s">
        <v>2066</v>
      </c>
      <c r="B15" s="2023"/>
      <c r="C15" s="2023"/>
      <c r="D15" s="2023"/>
      <c r="E15" s="2023"/>
      <c r="F15" s="2023"/>
      <c r="G15" s="2023"/>
      <c r="H15" s="2024"/>
      <c r="T15" s="2029" t="s">
        <v>2072</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2141</v>
      </c>
      <c r="B17" s="1980"/>
      <c r="C17" s="1980"/>
      <c r="D17" s="1980"/>
      <c r="E17" s="1980"/>
      <c r="F17" s="1980"/>
      <c r="G17" s="1980"/>
      <c r="H17" s="2005"/>
      <c r="T17" s="2036" t="s">
        <v>2073</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8" t="s">
        <v>677</v>
      </c>
      <c r="AA18" s="46"/>
    </row>
    <row r="19" spans="1:27" ht="13.5" customHeight="1" x14ac:dyDescent="0.2">
      <c r="A19" s="2019" t="s">
        <v>2067</v>
      </c>
      <c r="B19" s="1965"/>
      <c r="C19" s="1965"/>
      <c r="D19" s="1965"/>
      <c r="E19" s="1965"/>
      <c r="F19" s="1965"/>
      <c r="G19" s="1965"/>
      <c r="H19" s="1945"/>
      <c r="I19" s="30"/>
      <c r="J19" s="99"/>
      <c r="K19" s="40"/>
      <c r="L19" s="38"/>
      <c r="M19" s="111" t="s">
        <v>315</v>
      </c>
      <c r="P19" s="27"/>
      <c r="Q19" s="27"/>
      <c r="R19" s="27"/>
      <c r="S19" s="31"/>
      <c r="T19" s="2019" t="s">
        <v>2074</v>
      </c>
      <c r="U19" s="1944"/>
      <c r="V19" s="1944"/>
      <c r="W19" s="1945"/>
      <c r="X19" s="2034" t="s">
        <v>2075</v>
      </c>
      <c r="Y19" s="2035"/>
      <c r="Z19" s="2032">
        <v>60008</v>
      </c>
      <c r="AA19" s="2033"/>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43" t="s">
        <v>2068</v>
      </c>
      <c r="B21" s="1944"/>
      <c r="C21" s="1944"/>
      <c r="D21" s="1944"/>
      <c r="E21" s="1944"/>
      <c r="F21" s="1944"/>
      <c r="G21" s="1944"/>
      <c r="H21" s="1945"/>
      <c r="I21" s="1999" t="s">
        <v>678</v>
      </c>
      <c r="J21" s="1994"/>
      <c r="K21" s="1994"/>
      <c r="L21" s="1994"/>
      <c r="M21" s="1994"/>
      <c r="N21" s="1994"/>
      <c r="O21" s="1994"/>
      <c r="P21" s="1994"/>
      <c r="Q21" s="1994"/>
      <c r="R21" s="1994"/>
      <c r="S21" s="2000"/>
      <c r="T21" s="2044" t="s">
        <v>2076</v>
      </c>
      <c r="U21" s="2045"/>
      <c r="V21" s="2045"/>
      <c r="W21" s="2045"/>
      <c r="X21" s="2050" t="s">
        <v>2077</v>
      </c>
      <c r="Y21" s="2051"/>
      <c r="Z21" s="2051"/>
      <c r="AA21" s="2052"/>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59" t="s">
        <v>1318</v>
      </c>
      <c r="Z22" s="45"/>
      <c r="AA22" s="46"/>
    </row>
    <row r="23" spans="1:27" ht="13.5" customHeight="1" x14ac:dyDescent="0.2">
      <c r="A23" s="1996" t="s">
        <v>2069</v>
      </c>
      <c r="B23" s="1997"/>
      <c r="C23" s="1997"/>
      <c r="D23" s="1997"/>
      <c r="E23" s="1997"/>
      <c r="F23" s="1997"/>
      <c r="G23" s="1997"/>
      <c r="H23" s="1998"/>
      <c r="T23" s="2042" t="s">
        <v>2140</v>
      </c>
      <c r="U23" s="2043"/>
      <c r="V23" s="2043"/>
      <c r="W23" s="2043"/>
      <c r="X23" s="2047">
        <v>44530</v>
      </c>
      <c r="Y23" s="2048"/>
      <c r="Z23" s="2048"/>
      <c r="AA23" s="2049"/>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4" t="s">
        <v>531</v>
      </c>
      <c r="U24" s="105"/>
      <c r="V24" s="105"/>
      <c r="W24" s="105"/>
      <c r="X24" s="106"/>
      <c r="Y24" s="106"/>
      <c r="Z24" s="106"/>
      <c r="AA24" s="107"/>
    </row>
    <row r="25" spans="1:27" ht="14.1" customHeight="1" x14ac:dyDescent="0.2">
      <c r="A25" s="1943">
        <v>60546</v>
      </c>
      <c r="B25" s="1944"/>
      <c r="C25" s="1944"/>
      <c r="D25" s="1944"/>
      <c r="E25" s="1944"/>
      <c r="F25" s="1944"/>
      <c r="G25" s="1944"/>
      <c r="H25" s="1945"/>
      <c r="I25" s="112"/>
      <c r="J25" s="1968"/>
      <c r="K25" s="1968"/>
      <c r="L25" s="1968"/>
      <c r="M25" s="1968"/>
      <c r="N25" s="1968"/>
      <c r="O25" s="1968"/>
      <c r="P25" s="1968"/>
      <c r="Q25" s="1968"/>
      <c r="R25" s="1968"/>
      <c r="S25" s="1969"/>
      <c r="T25" s="2039" t="s">
        <v>2078</v>
      </c>
      <c r="U25" s="2040"/>
      <c r="V25" s="2040"/>
      <c r="W25" s="2040"/>
      <c r="X25" s="2040"/>
      <c r="Y25" s="2040"/>
      <c r="Z25" s="2040"/>
      <c r="AA25" s="2041"/>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54" t="s">
        <v>1511</v>
      </c>
      <c r="J27" s="1955"/>
      <c r="K27" s="1955"/>
      <c r="L27" s="1955"/>
      <c r="M27" s="1955"/>
      <c r="N27" s="1955"/>
      <c r="O27" s="1955"/>
      <c r="P27" s="1955"/>
      <c r="Q27" s="1955"/>
      <c r="R27" s="1955"/>
      <c r="S27" s="1956"/>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2065</v>
      </c>
      <c r="F29" s="140" t="s">
        <v>1316</v>
      </c>
      <c r="G29" s="113"/>
      <c r="I29" s="54"/>
      <c r="J29" s="101"/>
      <c r="K29" s="28" t="s">
        <v>576</v>
      </c>
      <c r="L29" s="147" t="s">
        <v>2065</v>
      </c>
      <c r="M29" s="40" t="s">
        <v>99</v>
      </c>
      <c r="N29" s="32" t="s">
        <v>1523</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01"/>
      <c r="K30" s="28" t="s">
        <v>576</v>
      </c>
      <c r="L30" s="147" t="s">
        <v>2065</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2065</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542</v>
      </c>
      <c r="D34" s="31"/>
      <c r="E34" s="31"/>
      <c r="F34" s="31"/>
      <c r="G34" s="31"/>
      <c r="H34" s="31"/>
      <c r="I34" s="54"/>
      <c r="J34" s="83"/>
      <c r="L34" s="148" t="s">
        <v>2065</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t="s">
        <v>2070</v>
      </c>
      <c r="Q35" s="1944"/>
      <c r="R35" s="1944"/>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79"/>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c r="B40" s="1958"/>
      <c r="C40" s="1959"/>
      <c r="D40" s="1959"/>
      <c r="E40" s="1959"/>
      <c r="F40" s="1960"/>
      <c r="G40" s="1960"/>
      <c r="H40" s="1961"/>
      <c r="I40" s="1982"/>
      <c r="J40" s="1983"/>
      <c r="K40" s="1983"/>
      <c r="L40" s="1983"/>
      <c r="M40" s="1983"/>
      <c r="N40" s="1983"/>
      <c r="O40" s="1983"/>
      <c r="P40" s="1983"/>
      <c r="Q40" s="1983"/>
      <c r="R40" s="1983"/>
      <c r="S40" s="1984"/>
      <c r="T40" s="1982"/>
      <c r="U40" s="2046"/>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c r="B42" s="1963"/>
      <c r="C42" s="1964"/>
      <c r="D42" s="1962"/>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C17" sqref="C17"/>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6" t="s">
        <v>1802</v>
      </c>
      <c r="B2" s="1527" t="s">
        <v>1949</v>
      </c>
      <c r="C2" s="713" t="s">
        <v>1950</v>
      </c>
      <c r="D2" s="713" t="s">
        <v>1951</v>
      </c>
      <c r="E2" s="713" t="s">
        <v>1952</v>
      </c>
      <c r="F2" s="713" t="s">
        <v>1953</v>
      </c>
    </row>
    <row r="3" spans="1:6" ht="12" customHeight="1" x14ac:dyDescent="0.2">
      <c r="A3" s="2187"/>
      <c r="B3" s="1524"/>
      <c r="C3" s="1525"/>
      <c r="D3" s="1526" t="s">
        <v>256</v>
      </c>
      <c r="E3" s="1525"/>
      <c r="F3" s="1526" t="s">
        <v>257</v>
      </c>
    </row>
    <row r="4" spans="1:6" ht="13.7" customHeight="1" x14ac:dyDescent="0.2">
      <c r="A4" s="714" t="s">
        <v>1155</v>
      </c>
      <c r="B4" s="1748">
        <f>'Revenues 9-14'!C5</f>
        <v>16895166</v>
      </c>
      <c r="C4" s="1523">
        <v>9033398</v>
      </c>
      <c r="D4" s="1751">
        <f>B4-C4</f>
        <v>7861768</v>
      </c>
      <c r="E4" s="1523">
        <v>17325725</v>
      </c>
      <c r="F4" s="1751">
        <f>E4-C4</f>
        <v>8292327</v>
      </c>
    </row>
    <row r="5" spans="1:6" ht="13.7" customHeight="1" x14ac:dyDescent="0.2">
      <c r="A5" s="714" t="s">
        <v>870</v>
      </c>
      <c r="B5" s="1749">
        <f>'Revenues 9-14'!D5</f>
        <v>1893343</v>
      </c>
      <c r="C5" s="584">
        <v>1012638</v>
      </c>
      <c r="D5" s="1752">
        <f t="shared" ref="D5:D18" si="0">B5-C5</f>
        <v>880705</v>
      </c>
      <c r="E5" s="584">
        <v>1941439</v>
      </c>
      <c r="F5" s="1752">
        <f>E5-C5</f>
        <v>928801</v>
      </c>
    </row>
    <row r="6" spans="1:6" ht="13.7" customHeight="1" x14ac:dyDescent="0.2">
      <c r="A6" s="714" t="s">
        <v>411</v>
      </c>
      <c r="B6" s="1749">
        <f>'Revenues 9-14'!E5</f>
        <v>5837514</v>
      </c>
      <c r="C6" s="584">
        <v>3114105</v>
      </c>
      <c r="D6" s="1752">
        <f t="shared" si="0"/>
        <v>2723409</v>
      </c>
      <c r="E6" s="584">
        <f>4847326+1124498</f>
        <v>5971824</v>
      </c>
      <c r="F6" s="1752">
        <f t="shared" ref="F6:F18" si="1">E6-C6</f>
        <v>2857719</v>
      </c>
    </row>
    <row r="7" spans="1:6" ht="13.7" customHeight="1" x14ac:dyDescent="0.2">
      <c r="A7" s="714" t="s">
        <v>155</v>
      </c>
      <c r="B7" s="1749">
        <f>'Revenues 9-14'!F5</f>
        <v>589848</v>
      </c>
      <c r="C7" s="584">
        <v>314458</v>
      </c>
      <c r="D7" s="1752">
        <f t="shared" si="0"/>
        <v>275390</v>
      </c>
      <c r="E7" s="584">
        <v>601777</v>
      </c>
      <c r="F7" s="1752">
        <f t="shared" si="1"/>
        <v>287319</v>
      </c>
    </row>
    <row r="8" spans="1:6" ht="13.7" customHeight="1" x14ac:dyDescent="0.2">
      <c r="A8" s="714" t="s">
        <v>1179</v>
      </c>
      <c r="B8" s="1749">
        <f>'Revenues 9-14'!G5</f>
        <v>212404</v>
      </c>
      <c r="C8" s="584">
        <v>113593</v>
      </c>
      <c r="D8" s="1752">
        <f t="shared" si="0"/>
        <v>98811</v>
      </c>
      <c r="E8" s="584">
        <v>216571</v>
      </c>
      <c r="F8" s="1752">
        <f t="shared" si="1"/>
        <v>102978</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0</v>
      </c>
      <c r="C10" s="584"/>
      <c r="D10" s="1752">
        <f t="shared" si="0"/>
        <v>0</v>
      </c>
      <c r="E10" s="584"/>
      <c r="F10" s="1752">
        <f t="shared" si="1"/>
        <v>0</v>
      </c>
    </row>
    <row r="11" spans="1:6" x14ac:dyDescent="0.2">
      <c r="A11" s="714" t="s">
        <v>409</v>
      </c>
      <c r="B11" s="1749">
        <f>'Revenues 9-14'!J5</f>
        <v>0</v>
      </c>
      <c r="C11" s="584"/>
      <c r="D11" s="1752">
        <f t="shared" si="0"/>
        <v>0</v>
      </c>
      <c r="E11" s="584"/>
      <c r="F11" s="1752">
        <f t="shared" si="1"/>
        <v>0</v>
      </c>
    </row>
    <row r="12" spans="1:6" ht="13.7" customHeight="1" x14ac:dyDescent="0.2">
      <c r="A12" s="714" t="s">
        <v>157</v>
      </c>
      <c r="B12" s="1749">
        <f>'Revenues 9-14'!K5</f>
        <v>0</v>
      </c>
      <c r="C12" s="584"/>
      <c r="D12" s="1752">
        <f t="shared" si="0"/>
        <v>0</v>
      </c>
      <c r="E12" s="584"/>
      <c r="F12" s="1752">
        <f t="shared" si="1"/>
        <v>0</v>
      </c>
    </row>
    <row r="13" spans="1:6" ht="13.7" customHeight="1" x14ac:dyDescent="0.2">
      <c r="A13" s="714" t="s">
        <v>936</v>
      </c>
      <c r="B13" s="1749">
        <f>SUM('Revenues 9-14'!C6:D6)</f>
        <v>0</v>
      </c>
      <c r="C13" s="584"/>
      <c r="D13" s="1752">
        <f t="shared" si="0"/>
        <v>0</v>
      </c>
      <c r="E13" s="584"/>
      <c r="F13" s="1752">
        <f t="shared" si="1"/>
        <v>0</v>
      </c>
    </row>
    <row r="14" spans="1:6" ht="13.7" customHeight="1" x14ac:dyDescent="0.2">
      <c r="A14" s="714" t="s">
        <v>410</v>
      </c>
      <c r="B14" s="1749">
        <f>SUM('Revenues 9-14'!C7:D7,'Revenues 9-14'!F7:H7)</f>
        <v>158017</v>
      </c>
      <c r="C14" s="584">
        <v>84502</v>
      </c>
      <c r="D14" s="1752">
        <f t="shared" si="0"/>
        <v>73515</v>
      </c>
      <c r="E14" s="584">
        <v>160930</v>
      </c>
      <c r="F14" s="1752">
        <f t="shared" si="1"/>
        <v>76428</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336804</v>
      </c>
      <c r="C16" s="584">
        <v>180086</v>
      </c>
      <c r="D16" s="1752">
        <f t="shared" si="0"/>
        <v>156718</v>
      </c>
      <c r="E16" s="584">
        <v>344973</v>
      </c>
      <c r="F16" s="1752">
        <f t="shared" si="1"/>
        <v>164887</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25923096</v>
      </c>
      <c r="C19" s="1750">
        <f>SUM(C4:C18)</f>
        <v>13852780</v>
      </c>
      <c r="D19" s="1750">
        <f>SUM(D4:D18)</f>
        <v>12070316</v>
      </c>
      <c r="E19" s="1750">
        <f>SUM(E4:E18)</f>
        <v>26563239</v>
      </c>
      <c r="F19" s="1750">
        <f>SUM(F4:F18)</f>
        <v>12710459</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9" colorId="8" zoomScale="110" zoomScaleNormal="110" workbookViewId="0">
      <selection activeCell="J38" sqref="J38"/>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8" t="s">
        <v>629</v>
      </c>
      <c r="B1" s="2206"/>
      <c r="C1" s="720"/>
    </row>
    <row r="2" spans="1:7" ht="33.75" x14ac:dyDescent="0.2">
      <c r="A2" s="2213" t="s">
        <v>1802</v>
      </c>
      <c r="B2" s="2214"/>
      <c r="C2" s="1883" t="s">
        <v>1954</v>
      </c>
      <c r="D2" s="722" t="s">
        <v>1955</v>
      </c>
      <c r="E2" s="722" t="s">
        <v>1956</v>
      </c>
      <c r="F2" s="1883" t="s">
        <v>1957</v>
      </c>
    </row>
    <row r="3" spans="1:7" ht="15.75" customHeight="1" x14ac:dyDescent="0.2">
      <c r="A3" s="2215" t="s">
        <v>1114</v>
      </c>
      <c r="B3" s="2216"/>
      <c r="C3" s="2209"/>
      <c r="D3" s="2210"/>
      <c r="E3" s="2210"/>
      <c r="F3" s="2211"/>
    </row>
    <row r="4" spans="1:7" ht="12.75" customHeight="1" thickBot="1" x14ac:dyDescent="0.25">
      <c r="A4" s="2203" t="s">
        <v>630</v>
      </c>
      <c r="B4" s="2204"/>
      <c r="C4" s="580"/>
      <c r="D4" s="580"/>
      <c r="E4" s="580"/>
      <c r="F4" s="1754">
        <f>SUM(C4+D4)-E4</f>
        <v>0</v>
      </c>
    </row>
    <row r="5" spans="1:7" ht="15.75" customHeight="1" thickTop="1" x14ac:dyDescent="0.2">
      <c r="A5" s="2207" t="s">
        <v>1110</v>
      </c>
      <c r="B5" s="2202"/>
      <c r="C5" s="2196"/>
      <c r="D5" s="2197"/>
      <c r="E5" s="2197"/>
      <c r="F5" s="2198"/>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199" t="s">
        <v>631</v>
      </c>
      <c r="B15" s="2200"/>
      <c r="C15" s="1754">
        <f>SUM(C6:C14)</f>
        <v>0</v>
      </c>
      <c r="D15" s="1754">
        <f>SUM(D6:D14)</f>
        <v>0</v>
      </c>
      <c r="E15" s="1754">
        <f>SUM(E6:E14)</f>
        <v>0</v>
      </c>
      <c r="F15" s="1754">
        <f>SUM(F6:F14)</f>
        <v>0</v>
      </c>
      <c r="G15" s="551"/>
    </row>
    <row r="16" spans="1:7" s="201" customFormat="1" ht="15.75" customHeight="1" thickTop="1" x14ac:dyDescent="0.2">
      <c r="A16" s="2212" t="s">
        <v>1111</v>
      </c>
      <c r="B16" s="2202"/>
      <c r="C16" s="2196"/>
      <c r="D16" s="2197"/>
      <c r="E16" s="2197"/>
      <c r="F16" s="2198"/>
    </row>
    <row r="17" spans="1:11" ht="12.75" customHeight="1" thickBot="1" x14ac:dyDescent="0.25">
      <c r="A17" s="2194" t="s">
        <v>64</v>
      </c>
      <c r="B17" s="2195"/>
      <c r="C17" s="725"/>
      <c r="D17" s="584"/>
      <c r="E17" s="725"/>
      <c r="F17" s="1754">
        <f>SUM(C17+D17)-E17</f>
        <v>0</v>
      </c>
    </row>
    <row r="18" spans="1:11" ht="12.75" customHeight="1" thickTop="1" thickBot="1" x14ac:dyDescent="0.25">
      <c r="A18" s="2194" t="s">
        <v>6</v>
      </c>
      <c r="B18" s="2195"/>
      <c r="C18" s="725"/>
      <c r="D18" s="584"/>
      <c r="E18" s="725"/>
      <c r="F18" s="1754">
        <f>SUM(C18+D18)-E18</f>
        <v>0</v>
      </c>
    </row>
    <row r="19" spans="1:11" ht="12.75" customHeight="1" thickTop="1" thickBot="1" x14ac:dyDescent="0.25">
      <c r="A19" s="2194" t="s">
        <v>388</v>
      </c>
      <c r="B19" s="2195"/>
      <c r="C19" s="725"/>
      <c r="D19" s="584"/>
      <c r="E19" s="725"/>
      <c r="F19" s="1754">
        <f>SUM(C19+D19)-E19</f>
        <v>0</v>
      </c>
    </row>
    <row r="20" spans="1:11" ht="12.75" customHeight="1" thickTop="1" thickBot="1" x14ac:dyDescent="0.25">
      <c r="A20" s="2194" t="s">
        <v>448</v>
      </c>
      <c r="B20" s="2195"/>
      <c r="C20" s="725"/>
      <c r="D20" s="584"/>
      <c r="E20" s="725"/>
      <c r="F20" s="1754">
        <f>SUM(C20+D20)-E20</f>
        <v>0</v>
      </c>
    </row>
    <row r="21" spans="1:11" ht="14.25" thickTop="1" thickBot="1" x14ac:dyDescent="0.25">
      <c r="A21" s="2199" t="s">
        <v>632</v>
      </c>
      <c r="B21" s="2200"/>
      <c r="C21" s="1754">
        <f>SUM(C17:C20)</f>
        <v>0</v>
      </c>
      <c r="D21" s="1754">
        <f>SUM(D17:D20)</f>
        <v>0</v>
      </c>
      <c r="E21" s="1754">
        <f>SUM(E17:E20)</f>
        <v>0</v>
      </c>
      <c r="F21" s="1754">
        <f>SUM(F17:F20)</f>
        <v>0</v>
      </c>
      <c r="G21" s="551"/>
    </row>
    <row r="22" spans="1:11" ht="15.75" customHeight="1" thickTop="1" x14ac:dyDescent="0.2">
      <c r="A22" s="2201" t="s">
        <v>1112</v>
      </c>
      <c r="B22" s="2202"/>
      <c r="C22" s="2196"/>
      <c r="D22" s="2197"/>
      <c r="E22" s="2197"/>
      <c r="F22" s="2198"/>
    </row>
    <row r="23" spans="1:11" ht="13.5" thickBot="1" x14ac:dyDescent="0.25">
      <c r="A23" s="2203" t="s">
        <v>633</v>
      </c>
      <c r="B23" s="2204"/>
      <c r="C23" s="580"/>
      <c r="D23" s="580"/>
      <c r="E23" s="580"/>
      <c r="F23" s="1754">
        <f>SUM(C23+D23)-E23</f>
        <v>0</v>
      </c>
      <c r="G23" s="551"/>
    </row>
    <row r="24" spans="1:11" ht="15.75" customHeight="1" thickTop="1" x14ac:dyDescent="0.2">
      <c r="A24" s="2201" t="s">
        <v>1113</v>
      </c>
      <c r="B24" s="2202"/>
      <c r="C24" s="2196"/>
      <c r="D24" s="2197"/>
      <c r="E24" s="2197"/>
      <c r="F24" s="2198"/>
    </row>
    <row r="25" spans="1:11" ht="13.5" thickBot="1" x14ac:dyDescent="0.25">
      <c r="A25" s="2203" t="s">
        <v>634</v>
      </c>
      <c r="B25" s="2204"/>
      <c r="C25" s="580"/>
      <c r="D25" s="580"/>
      <c r="E25" s="580"/>
      <c r="F25" s="1754">
        <f>SUM(C25+D25)-E25</f>
        <v>0</v>
      </c>
      <c r="G25" s="551"/>
    </row>
    <row r="26" spans="1:11" ht="15.75" customHeight="1" thickTop="1" x14ac:dyDescent="0.2">
      <c r="A26" s="2207" t="s">
        <v>657</v>
      </c>
      <c r="B26" s="2202"/>
      <c r="C26" s="726"/>
      <c r="D26" s="726"/>
      <c r="E26" s="726"/>
      <c r="F26" s="727"/>
    </row>
    <row r="27" spans="1:11" ht="13.5" thickBot="1" x14ac:dyDescent="0.25">
      <c r="A27" s="2199" t="s">
        <v>1070</v>
      </c>
      <c r="B27" s="2200"/>
      <c r="C27" s="584"/>
      <c r="D27" s="584"/>
      <c r="E27" s="584"/>
      <c r="F27" s="1754">
        <f>SUM(C27+D27)-E27</f>
        <v>0</v>
      </c>
      <c r="G27" s="551"/>
    </row>
    <row r="28" spans="1:11" ht="7.5" customHeight="1" thickTop="1" x14ac:dyDescent="0.2">
      <c r="A28" s="592"/>
    </row>
    <row r="29" spans="1:11" ht="23.25" customHeight="1" x14ac:dyDescent="0.2">
      <c r="A29" s="2205" t="s">
        <v>582</v>
      </c>
      <c r="B29" s="2206"/>
      <c r="C29" s="728"/>
      <c r="D29" s="728"/>
      <c r="E29" s="728"/>
      <c r="F29" s="728"/>
      <c r="G29" s="728"/>
      <c r="H29" s="728"/>
      <c r="I29" s="728"/>
      <c r="J29" s="728"/>
    </row>
    <row r="30" spans="1:11" ht="33.75" x14ac:dyDescent="0.2">
      <c r="A30" s="1528" t="s">
        <v>1071</v>
      </c>
      <c r="B30" s="729" t="s">
        <v>1124</v>
      </c>
      <c r="C30" s="1884" t="s">
        <v>583</v>
      </c>
      <c r="D30" s="1884" t="s">
        <v>1673</v>
      </c>
      <c r="E30" s="1884" t="s">
        <v>1958</v>
      </c>
      <c r="F30" s="1884" t="s">
        <v>1959</v>
      </c>
      <c r="G30" s="1884" t="s">
        <v>1910</v>
      </c>
      <c r="H30" s="1884" t="s">
        <v>1960</v>
      </c>
      <c r="I30" s="1884" t="s">
        <v>1961</v>
      </c>
      <c r="J30" s="1885" t="s">
        <v>2</v>
      </c>
      <c r="K30" s="730"/>
    </row>
    <row r="31" spans="1:11" ht="12" customHeight="1" x14ac:dyDescent="0.2">
      <c r="A31" s="731" t="s">
        <v>2079</v>
      </c>
      <c r="B31" s="732">
        <v>42223</v>
      </c>
      <c r="C31" s="733">
        <v>6035000</v>
      </c>
      <c r="D31" s="734">
        <v>7</v>
      </c>
      <c r="E31" s="733">
        <v>4495000</v>
      </c>
      <c r="F31" s="733"/>
      <c r="G31" s="733"/>
      <c r="H31" s="733">
        <v>840000</v>
      </c>
      <c r="I31" s="1755">
        <f>((E31+F31)-H31)+G31</f>
        <v>3655000</v>
      </c>
      <c r="J31" s="733">
        <v>3116101</v>
      </c>
      <c r="K31" s="735"/>
    </row>
    <row r="32" spans="1:11" ht="12" customHeight="1" x14ac:dyDescent="0.2">
      <c r="A32" s="731" t="s">
        <v>2080</v>
      </c>
      <c r="B32" s="732">
        <v>42284</v>
      </c>
      <c r="C32" s="733">
        <v>13635000</v>
      </c>
      <c r="D32" s="734">
        <v>3</v>
      </c>
      <c r="E32" s="733">
        <v>11495000</v>
      </c>
      <c r="F32" s="733"/>
      <c r="G32" s="733"/>
      <c r="H32" s="733">
        <v>1210000</v>
      </c>
      <c r="I32" s="1755">
        <f>((E32+F32)-H32)+G32</f>
        <v>10285000</v>
      </c>
      <c r="J32" s="733">
        <v>8768563</v>
      </c>
      <c r="K32" s="735"/>
    </row>
    <row r="33" spans="1:11" ht="12" customHeight="1" x14ac:dyDescent="0.2">
      <c r="A33" s="731" t="s">
        <v>2081</v>
      </c>
      <c r="B33" s="732">
        <v>43047</v>
      </c>
      <c r="C33" s="733">
        <v>1710000</v>
      </c>
      <c r="D33" s="734">
        <v>7</v>
      </c>
      <c r="E33" s="733">
        <v>1710000</v>
      </c>
      <c r="F33" s="733"/>
      <c r="G33" s="733"/>
      <c r="H33" s="733"/>
      <c r="I33" s="1755">
        <f t="shared" ref="I33:I48" si="1">((E33+F33)-H33)+G33</f>
        <v>1710000</v>
      </c>
      <c r="J33" s="733">
        <v>1457875</v>
      </c>
      <c r="K33" s="735"/>
    </row>
    <row r="34" spans="1:11" ht="12" customHeight="1" x14ac:dyDescent="0.2">
      <c r="A34" s="731" t="s">
        <v>2082</v>
      </c>
      <c r="B34" s="732">
        <v>43047</v>
      </c>
      <c r="C34" s="733">
        <v>3000000</v>
      </c>
      <c r="D34" s="734">
        <v>7</v>
      </c>
      <c r="E34" s="733">
        <v>3000000</v>
      </c>
      <c r="F34" s="733"/>
      <c r="G34" s="733"/>
      <c r="H34" s="733">
        <v>620000</v>
      </c>
      <c r="I34" s="1755">
        <f t="shared" si="1"/>
        <v>2380000</v>
      </c>
      <c r="J34" s="733">
        <v>2029089</v>
      </c>
      <c r="K34" s="736"/>
    </row>
    <row r="35" spans="1:11" ht="12" customHeight="1" x14ac:dyDescent="0.2">
      <c r="A35" s="731" t="s">
        <v>2083</v>
      </c>
      <c r="B35" s="732">
        <v>43047</v>
      </c>
      <c r="C35" s="737">
        <v>19090000</v>
      </c>
      <c r="D35" s="734">
        <v>3</v>
      </c>
      <c r="E35" s="737">
        <v>19090000</v>
      </c>
      <c r="F35" s="737"/>
      <c r="G35" s="737"/>
      <c r="H35" s="737">
        <v>1155000</v>
      </c>
      <c r="I35" s="1755">
        <f t="shared" si="1"/>
        <v>17935000</v>
      </c>
      <c r="J35" s="737">
        <v>15290634</v>
      </c>
      <c r="K35" s="736"/>
    </row>
    <row r="36" spans="1:11" ht="12" customHeight="1" x14ac:dyDescent="0.2">
      <c r="A36" s="731"/>
      <c r="B36" s="732"/>
      <c r="C36" s="733"/>
      <c r="D36" s="734"/>
      <c r="E36" s="733"/>
      <c r="F36" s="733"/>
      <c r="G36" s="733"/>
      <c r="H36" s="733"/>
      <c r="I36" s="1755">
        <f t="shared" si="1"/>
        <v>0</v>
      </c>
      <c r="J36" s="733"/>
      <c r="K36" s="738"/>
    </row>
    <row r="37" spans="1:11" ht="12" customHeight="1" x14ac:dyDescent="0.2">
      <c r="A37" s="731" t="s">
        <v>2084</v>
      </c>
      <c r="B37" s="732" t="s">
        <v>2085</v>
      </c>
      <c r="C37" s="466"/>
      <c r="D37" s="739">
        <v>8</v>
      </c>
      <c r="E37" s="466">
        <v>186591</v>
      </c>
      <c r="F37" s="466"/>
      <c r="G37" s="466"/>
      <c r="H37" s="466">
        <v>47557</v>
      </c>
      <c r="I37" s="1755">
        <f t="shared" si="1"/>
        <v>139034</v>
      </c>
      <c r="J37" s="466">
        <v>118534</v>
      </c>
      <c r="K37" s="736"/>
    </row>
    <row r="38" spans="1:11" ht="12" customHeight="1" x14ac:dyDescent="0.2">
      <c r="A38" s="731"/>
      <c r="B38" s="732"/>
      <c r="C38" s="733"/>
      <c r="D38" s="740"/>
      <c r="E38" s="741"/>
      <c r="F38" s="741"/>
      <c r="G38" s="741"/>
      <c r="H38" s="741"/>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43470000</v>
      </c>
      <c r="D49" s="744"/>
      <c r="E49" s="1755">
        <f t="shared" ref="E49:J49" si="2">SUM(E31:E48)</f>
        <v>39976591</v>
      </c>
      <c r="F49" s="1755">
        <f t="shared" si="2"/>
        <v>0</v>
      </c>
      <c r="G49" s="1755">
        <f t="shared" si="2"/>
        <v>0</v>
      </c>
      <c r="H49" s="1755">
        <f t="shared" si="2"/>
        <v>3872557</v>
      </c>
      <c r="I49" s="1755">
        <f t="shared" si="2"/>
        <v>36104034</v>
      </c>
      <c r="J49" s="1755">
        <f t="shared" si="2"/>
        <v>30780796</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188" t="s">
        <v>584</v>
      </c>
      <c r="C52" s="2189"/>
      <c r="D52" s="2189"/>
      <c r="E52" s="748" t="s">
        <v>845</v>
      </c>
      <c r="F52" s="2190" t="s">
        <v>2086</v>
      </c>
      <c r="G52" s="2191"/>
      <c r="H52" s="735"/>
      <c r="I52" s="735"/>
      <c r="J52" s="745"/>
    </row>
    <row r="53" spans="1:11" ht="11.25" customHeight="1" x14ac:dyDescent="0.2">
      <c r="A53" s="749" t="s">
        <v>913</v>
      </c>
      <c r="B53" s="750" t="s">
        <v>951</v>
      </c>
      <c r="C53" s="745"/>
      <c r="D53" s="736"/>
      <c r="E53" s="748" t="s">
        <v>497</v>
      </c>
      <c r="F53" s="2192" t="s">
        <v>2084</v>
      </c>
      <c r="G53" s="2193"/>
      <c r="H53" s="735"/>
      <c r="I53" s="735"/>
      <c r="J53" s="745"/>
    </row>
    <row r="54" spans="1:11" ht="11.25" customHeight="1" x14ac:dyDescent="0.2">
      <c r="A54" s="751" t="s">
        <v>914</v>
      </c>
      <c r="B54" s="746" t="s">
        <v>952</v>
      </c>
      <c r="C54" s="745"/>
      <c r="D54" s="736"/>
      <c r="E54" s="748" t="s">
        <v>498</v>
      </c>
      <c r="F54" s="2192"/>
      <c r="G54" s="219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C25" colorId="8" zoomScale="110" zoomScaleNormal="110" workbookViewId="0">
      <selection activeCell="K23" sqref="K23"/>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17" t="s">
        <v>856</v>
      </c>
      <c r="B1" s="2218"/>
      <c r="C1" s="2218"/>
      <c r="D1" s="2218"/>
      <c r="E1" s="2218"/>
      <c r="F1" s="2218"/>
      <c r="G1" s="2219"/>
      <c r="H1" s="1529"/>
      <c r="I1" s="759"/>
      <c r="J1" s="432"/>
    </row>
    <row r="2" spans="1:11" ht="26.25" x14ac:dyDescent="0.2">
      <c r="A2" s="2236" t="s">
        <v>1677</v>
      </c>
      <c r="B2" s="2237"/>
      <c r="C2" s="2237"/>
      <c r="D2" s="2237"/>
      <c r="E2" s="2238"/>
      <c r="F2" s="760" t="s">
        <v>904</v>
      </c>
      <c r="G2" s="761" t="s">
        <v>1674</v>
      </c>
      <c r="H2" s="761" t="s">
        <v>410</v>
      </c>
      <c r="I2" s="761" t="s">
        <v>1158</v>
      </c>
      <c r="J2" s="761" t="s">
        <v>1812</v>
      </c>
      <c r="K2" s="761" t="s">
        <v>138</v>
      </c>
    </row>
    <row r="3" spans="1:11" x14ac:dyDescent="0.2">
      <c r="A3" s="2239" t="s">
        <v>1962</v>
      </c>
      <c r="B3" s="2240"/>
      <c r="C3" s="2240"/>
      <c r="D3" s="2240"/>
      <c r="E3" s="2241"/>
      <c r="F3" s="762"/>
      <c r="G3" s="763"/>
      <c r="H3" s="763"/>
      <c r="I3" s="763"/>
      <c r="J3" s="764"/>
      <c r="K3" s="764"/>
    </row>
    <row r="4" spans="1:11" x14ac:dyDescent="0.2">
      <c r="A4" s="2242" t="s">
        <v>369</v>
      </c>
      <c r="B4" s="2243"/>
      <c r="C4" s="2243"/>
      <c r="D4" s="2243"/>
      <c r="E4" s="2189"/>
      <c r="F4" s="765"/>
      <c r="G4" s="766"/>
      <c r="H4" s="767"/>
      <c r="I4" s="766"/>
      <c r="J4" s="768"/>
      <c r="K4" s="768"/>
    </row>
    <row r="5" spans="1:11" x14ac:dyDescent="0.2">
      <c r="A5" s="2220" t="s">
        <v>1069</v>
      </c>
      <c r="B5" s="2221"/>
      <c r="C5" s="2221"/>
      <c r="D5" s="2221"/>
      <c r="E5" s="2222"/>
      <c r="F5" s="769" t="s">
        <v>848</v>
      </c>
      <c r="G5" s="770"/>
      <c r="H5" s="763">
        <v>158017</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v>41621</v>
      </c>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v>27392</v>
      </c>
    </row>
    <row r="10" spans="1:11" x14ac:dyDescent="0.2">
      <c r="A10" s="2220" t="s">
        <v>1813</v>
      </c>
      <c r="B10" s="2221"/>
      <c r="C10" s="2221"/>
      <c r="D10" s="2221"/>
      <c r="E10" s="2223"/>
      <c r="F10" s="782" t="s">
        <v>862</v>
      </c>
      <c r="G10" s="781"/>
      <c r="H10" s="783"/>
      <c r="I10" s="763"/>
      <c r="J10" s="764"/>
      <c r="K10" s="764"/>
    </row>
    <row r="11" spans="1:11" x14ac:dyDescent="0.2">
      <c r="A11" s="2220" t="s">
        <v>160</v>
      </c>
      <c r="B11" s="2221"/>
      <c r="C11" s="2221"/>
      <c r="D11" s="2221"/>
      <c r="E11" s="2222"/>
      <c r="F11" s="769" t="s">
        <v>852</v>
      </c>
      <c r="G11" s="770"/>
      <c r="H11" s="763"/>
      <c r="I11" s="763"/>
      <c r="J11" s="764"/>
      <c r="K11" s="772"/>
    </row>
    <row r="12" spans="1:11" ht="13.5" thickBot="1" x14ac:dyDescent="0.25">
      <c r="A12" s="2247" t="s">
        <v>905</v>
      </c>
      <c r="B12" s="2248"/>
      <c r="C12" s="2248"/>
      <c r="D12" s="2248"/>
      <c r="E12" s="2249"/>
      <c r="F12" s="1756"/>
      <c r="G12" s="1757">
        <f>SUM(G5:G11)</f>
        <v>0</v>
      </c>
      <c r="H12" s="1757">
        <f>SUM(H5:H11)</f>
        <v>158017</v>
      </c>
      <c r="I12" s="1757">
        <f>SUM(I5:I11)</f>
        <v>0</v>
      </c>
      <c r="J12" s="1757">
        <f>SUM(J5:J11)</f>
        <v>0</v>
      </c>
      <c r="K12" s="1757">
        <f>SUM(K5:K11)</f>
        <v>69013</v>
      </c>
    </row>
    <row r="13" spans="1:11" ht="13.5" thickTop="1" x14ac:dyDescent="0.2">
      <c r="A13" s="2244" t="s">
        <v>370</v>
      </c>
      <c r="B13" s="2245"/>
      <c r="C13" s="2245"/>
      <c r="D13" s="2245"/>
      <c r="E13" s="2246"/>
      <c r="F13" s="784"/>
      <c r="G13" s="785"/>
      <c r="H13" s="786"/>
      <c r="I13" s="787"/>
      <c r="J13" s="787"/>
      <c r="K13" s="787"/>
    </row>
    <row r="14" spans="1:11" x14ac:dyDescent="0.2">
      <c r="A14" s="2227" t="s">
        <v>456</v>
      </c>
      <c r="B14" s="2227"/>
      <c r="C14" s="2227"/>
      <c r="D14" s="2227"/>
      <c r="E14" s="2228"/>
      <c r="F14" s="788" t="s">
        <v>854</v>
      </c>
      <c r="G14" s="781"/>
      <c r="H14" s="763"/>
      <c r="I14" s="770"/>
      <c r="J14" s="772"/>
      <c r="K14" s="764"/>
    </row>
    <row r="15" spans="1:11" x14ac:dyDescent="0.2">
      <c r="A15" s="2221" t="s">
        <v>4</v>
      </c>
      <c r="B15" s="2221"/>
      <c r="C15" s="2221"/>
      <c r="D15" s="2221"/>
      <c r="E15" s="2222"/>
      <c r="F15" s="788" t="s">
        <v>855</v>
      </c>
      <c r="G15" s="770"/>
      <c r="H15" s="763"/>
      <c r="I15" s="763"/>
      <c r="J15" s="764"/>
      <c r="K15" s="764"/>
    </row>
    <row r="16" spans="1:11" x14ac:dyDescent="0.2">
      <c r="A16" s="2221" t="s">
        <v>298</v>
      </c>
      <c r="B16" s="2221"/>
      <c r="C16" s="2221"/>
      <c r="D16" s="2221"/>
      <c r="E16" s="2222"/>
      <c r="F16" s="788" t="s">
        <v>923</v>
      </c>
      <c r="G16" s="771"/>
      <c r="H16" s="766"/>
      <c r="I16" s="766"/>
      <c r="J16" s="768"/>
      <c r="K16" s="768"/>
    </row>
    <row r="17" spans="1:11" x14ac:dyDescent="0.2">
      <c r="A17" s="2252" t="s">
        <v>935</v>
      </c>
      <c r="B17" s="2252"/>
      <c r="C17" s="2252"/>
      <c r="D17" s="2252"/>
      <c r="E17" s="2253"/>
      <c r="F17" s="789"/>
      <c r="G17" s="790"/>
      <c r="H17" s="791"/>
      <c r="I17" s="791"/>
      <c r="J17" s="792"/>
      <c r="K17" s="793"/>
    </row>
    <row r="18" spans="1:11" x14ac:dyDescent="0.2">
      <c r="A18" s="2231" t="s">
        <v>368</v>
      </c>
      <c r="B18" s="2232"/>
      <c r="C18" s="2232"/>
      <c r="D18" s="2232"/>
      <c r="E18" s="2233"/>
      <c r="F18" s="788" t="s">
        <v>932</v>
      </c>
      <c r="G18" s="781"/>
      <c r="H18" s="781"/>
      <c r="I18" s="781"/>
      <c r="J18" s="764"/>
      <c r="K18" s="794"/>
    </row>
    <row r="19" spans="1:11" ht="21.75" customHeight="1" x14ac:dyDescent="0.2">
      <c r="A19" s="2229" t="s">
        <v>1809</v>
      </c>
      <c r="B19" s="2229"/>
      <c r="C19" s="2229"/>
      <c r="D19" s="2229"/>
      <c r="E19" s="2230"/>
      <c r="F19" s="788" t="s">
        <v>933</v>
      </c>
      <c r="G19" s="781"/>
      <c r="H19" s="781"/>
      <c r="I19" s="781"/>
      <c r="J19" s="764"/>
      <c r="K19" s="794"/>
    </row>
    <row r="20" spans="1:11" x14ac:dyDescent="0.2">
      <c r="A20" s="2231" t="s">
        <v>1814</v>
      </c>
      <c r="B20" s="2232"/>
      <c r="C20" s="2232"/>
      <c r="D20" s="2232"/>
      <c r="E20" s="2233"/>
      <c r="F20" s="788" t="s">
        <v>934</v>
      </c>
      <c r="G20" s="781"/>
      <c r="H20" s="781"/>
      <c r="I20" s="781"/>
      <c r="J20" s="764"/>
      <c r="K20" s="794"/>
    </row>
    <row r="21" spans="1:11" ht="13.5" thickBot="1" x14ac:dyDescent="0.25">
      <c r="A21" s="2250" t="s">
        <v>638</v>
      </c>
      <c r="B21" s="2250"/>
      <c r="C21" s="2250"/>
      <c r="D21" s="2250"/>
      <c r="E21" s="2250"/>
      <c r="F21" s="1758"/>
      <c r="G21" s="791"/>
      <c r="H21" s="795"/>
      <c r="I21" s="795"/>
      <c r="J21" s="1759">
        <f>SUM(J18:J20)</f>
        <v>0</v>
      </c>
      <c r="K21" s="792"/>
    </row>
    <row r="22" spans="1:11" ht="13.5" thickTop="1" x14ac:dyDescent="0.2">
      <c r="A22" s="2221" t="s">
        <v>1815</v>
      </c>
      <c r="B22" s="2221"/>
      <c r="C22" s="2221"/>
      <c r="D22" s="2221"/>
      <c r="E22" s="2222"/>
      <c r="F22" s="788" t="s">
        <v>862</v>
      </c>
      <c r="G22" s="781"/>
      <c r="H22" s="763">
        <v>158017</v>
      </c>
      <c r="I22" s="763"/>
      <c r="J22" s="796"/>
      <c r="K22" s="764">
        <v>69013</v>
      </c>
    </row>
    <row r="23" spans="1:11" ht="13.5" thickBot="1" x14ac:dyDescent="0.25">
      <c r="A23" s="2251" t="s">
        <v>906</v>
      </c>
      <c r="B23" s="2250"/>
      <c r="C23" s="2250"/>
      <c r="D23" s="2250"/>
      <c r="E23" s="2250"/>
      <c r="F23" s="1760"/>
      <c r="G23" s="1757">
        <f>SUM(G14:G16,G21,G22)</f>
        <v>0</v>
      </c>
      <c r="H23" s="1757">
        <f>SUM(H14:H16,H21,H22)</f>
        <v>158017</v>
      </c>
      <c r="I23" s="1757">
        <f>SUM(I14:I16,I21,I22)</f>
        <v>0</v>
      </c>
      <c r="J23" s="1757">
        <f>SUM(J14:J16,J21,J22)</f>
        <v>0</v>
      </c>
      <c r="K23" s="1757">
        <f>SUM(K14:K16,K21,K22)</f>
        <v>69013</v>
      </c>
    </row>
    <row r="24" spans="1:11" ht="14.25" thickTop="1" thickBot="1" x14ac:dyDescent="0.25">
      <c r="A24" s="2251" t="s">
        <v>1963</v>
      </c>
      <c r="B24" s="2250"/>
      <c r="C24" s="2250"/>
      <c r="D24" s="2250"/>
      <c r="E24" s="2250"/>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1909</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224"/>
      <c r="I31" s="2225"/>
      <c r="J31" s="2225"/>
      <c r="K31" s="2225"/>
    </row>
    <row r="32" spans="1:11" x14ac:dyDescent="0.2">
      <c r="A32" s="808"/>
      <c r="B32" s="236"/>
      <c r="C32" s="236"/>
      <c r="D32" s="236"/>
      <c r="E32" s="804"/>
      <c r="F32" s="810" t="s">
        <v>540</v>
      </c>
      <c r="G32" s="763"/>
      <c r="H32" s="2226"/>
      <c r="I32" s="2225"/>
      <c r="J32" s="2225"/>
      <c r="K32" s="2225"/>
    </row>
    <row r="33" spans="1:11" ht="1.5" customHeight="1" x14ac:dyDescent="0.2">
      <c r="A33" s="811" t="s">
        <v>1169</v>
      </c>
      <c r="B33" s="363"/>
      <c r="C33" s="363"/>
      <c r="D33" s="363"/>
      <c r="E33" s="363"/>
      <c r="F33" s="363"/>
      <c r="G33" s="812"/>
      <c r="H33" s="2226"/>
      <c r="I33" s="2225"/>
      <c r="J33" s="2225"/>
      <c r="K33" s="2225"/>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21" t="s">
        <v>541</v>
      </c>
      <c r="B41" s="2234"/>
      <c r="C41" s="2234"/>
      <c r="D41" s="2234"/>
      <c r="E41" s="2234"/>
      <c r="F41" s="2235"/>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5" colorId="8" zoomScale="110" zoomScaleNormal="110" workbookViewId="0">
      <selection activeCell="I13" sqref="I13"/>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6" t="s">
        <v>1908</v>
      </c>
      <c r="B1" s="2257"/>
      <c r="C1" s="2258"/>
      <c r="D1" s="825"/>
      <c r="E1" s="826"/>
      <c r="F1" s="826"/>
      <c r="G1" s="827"/>
      <c r="H1" s="828"/>
      <c r="I1" s="829"/>
      <c r="J1" s="2254"/>
      <c r="K1" s="2255"/>
      <c r="L1" s="2255"/>
    </row>
    <row r="2" spans="1:14" ht="69.75" customHeight="1" x14ac:dyDescent="0.2">
      <c r="A2" s="830" t="s">
        <v>1678</v>
      </c>
      <c r="B2" s="831" t="s">
        <v>378</v>
      </c>
      <c r="C2" s="832" t="s">
        <v>1964</v>
      </c>
      <c r="D2" s="832" t="s">
        <v>1965</v>
      </c>
      <c r="E2" s="832" t="s">
        <v>1966</v>
      </c>
      <c r="F2" s="832" t="s">
        <v>1967</v>
      </c>
      <c r="G2" s="832" t="s">
        <v>605</v>
      </c>
      <c r="H2" s="832" t="s">
        <v>1968</v>
      </c>
      <c r="I2" s="832" t="s">
        <v>1969</v>
      </c>
      <c r="J2" s="832" t="s">
        <v>1970</v>
      </c>
      <c r="K2" s="832" t="s">
        <v>1971</v>
      </c>
      <c r="L2" s="832" t="s">
        <v>1972</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500000</v>
      </c>
      <c r="D5" s="840"/>
      <c r="E5" s="840"/>
      <c r="F5" s="1759">
        <f>(C5+D5)-E5</f>
        <v>500000</v>
      </c>
      <c r="G5" s="836"/>
      <c r="H5" s="841"/>
      <c r="I5" s="841"/>
      <c r="J5" s="841"/>
      <c r="K5" s="792"/>
      <c r="L5" s="1768">
        <f>F5-K5</f>
        <v>500000</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81619381</v>
      </c>
      <c r="D8" s="843">
        <v>90130</v>
      </c>
      <c r="E8" s="843"/>
      <c r="F8" s="1759">
        <f>(C8+D8)-E8</f>
        <v>81709511</v>
      </c>
      <c r="G8" s="842">
        <v>50</v>
      </c>
      <c r="H8" s="764">
        <v>19109783</v>
      </c>
      <c r="I8" s="764">
        <v>1735800</v>
      </c>
      <c r="J8" s="764"/>
      <c r="K8" s="1768">
        <f>(H8+I8)-J8</f>
        <v>20845583</v>
      </c>
      <c r="L8" s="1768">
        <f>F8-K8</f>
        <v>60863928</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7335584</v>
      </c>
      <c r="D10" s="845">
        <v>86997</v>
      </c>
      <c r="E10" s="845"/>
      <c r="F10" s="1763">
        <f>(C10+D10)-E10</f>
        <v>7422581</v>
      </c>
      <c r="G10" s="842">
        <v>20</v>
      </c>
      <c r="H10" s="846">
        <v>1766014</v>
      </c>
      <c r="I10" s="846">
        <v>321141</v>
      </c>
      <c r="J10" s="846"/>
      <c r="K10" s="1768">
        <f>(H10+I10)-J10</f>
        <v>2087155</v>
      </c>
      <c r="L10" s="1768">
        <f>F10-K10</f>
        <v>5335426</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2446438</v>
      </c>
      <c r="D12" s="843">
        <v>68210</v>
      </c>
      <c r="E12" s="843"/>
      <c r="F12" s="1759">
        <f>(C12+D12)-E12</f>
        <v>2514648</v>
      </c>
      <c r="G12" s="842">
        <v>10</v>
      </c>
      <c r="H12" s="764">
        <v>2079063</v>
      </c>
      <c r="I12" s="764">
        <v>188152</v>
      </c>
      <c r="J12" s="764"/>
      <c r="K12" s="1768">
        <f>(H12+I12)-J12</f>
        <v>2267215</v>
      </c>
      <c r="L12" s="1768">
        <f>F12-K12</f>
        <v>247433</v>
      </c>
    </row>
    <row r="13" spans="1:14" ht="14.25" thickTop="1" thickBot="1" x14ac:dyDescent="0.25">
      <c r="A13" s="847" t="s">
        <v>1122</v>
      </c>
      <c r="B13" s="839">
        <v>252</v>
      </c>
      <c r="C13" s="843"/>
      <c r="D13" s="843"/>
      <c r="E13" s="843"/>
      <c r="F13" s="1759">
        <f>(C13+D13)-E13</f>
        <v>0</v>
      </c>
      <c r="G13" s="842">
        <v>5</v>
      </c>
      <c r="H13" s="764"/>
      <c r="I13" s="764"/>
      <c r="J13" s="764"/>
      <c r="K13" s="1768">
        <f>(H13+I13)-J13</f>
        <v>0</v>
      </c>
      <c r="L13" s="1768">
        <f>F13-K13</f>
        <v>0</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c r="D15" s="843">
        <v>754060</v>
      </c>
      <c r="E15" s="843"/>
      <c r="F15" s="1759">
        <f>(C15+D15)-E15</f>
        <v>754060</v>
      </c>
      <c r="G15" s="848" t="s">
        <v>862</v>
      </c>
      <c r="H15" s="780"/>
      <c r="I15" s="780"/>
      <c r="J15" s="780"/>
      <c r="K15" s="780"/>
      <c r="L15" s="1768">
        <f>F15-K15</f>
        <v>754060</v>
      </c>
    </row>
    <row r="16" spans="1:14" ht="15" customHeight="1" thickTop="1" thickBot="1" x14ac:dyDescent="0.25">
      <c r="A16" s="1764" t="s">
        <v>643</v>
      </c>
      <c r="B16" s="1765">
        <v>200</v>
      </c>
      <c r="C16" s="1759">
        <f>SUM(C3,C5:C6,C8:C10,C12:C15)</f>
        <v>91901403</v>
      </c>
      <c r="D16" s="1759">
        <f>SUM(D3,D5:D6,D8:D10,D12:D15)</f>
        <v>999397</v>
      </c>
      <c r="E16" s="1759">
        <f>SUM(E3,E5:E6,E8:E10,E12:E15)</f>
        <v>0</v>
      </c>
      <c r="F16" s="1759">
        <f>SUM(F3,F5:F6,F8:F10,F12:F15)</f>
        <v>92900800</v>
      </c>
      <c r="G16" s="842"/>
      <c r="H16" s="1759">
        <f>SUM(H3,H6,H8:H10,H12:H14,)</f>
        <v>22954860</v>
      </c>
      <c r="I16" s="1759">
        <f>SUM(I3,I6,I8:I10,I12:I14,)</f>
        <v>2245093</v>
      </c>
      <c r="J16" s="1759">
        <f>SUM(J3,J6,J8:J10,J12:J14,)</f>
        <v>0</v>
      </c>
      <c r="K16" s="1759">
        <f>(H16+I16)-J16</f>
        <v>25199953</v>
      </c>
      <c r="L16" s="1759">
        <f>F16-K16</f>
        <v>67700847</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229963</v>
      </c>
      <c r="G17" s="836">
        <v>10</v>
      </c>
      <c r="H17" s="768"/>
      <c r="I17" s="1768">
        <f>F17/G17</f>
        <v>22996.3</v>
      </c>
      <c r="J17" s="768"/>
      <c r="K17" s="794"/>
      <c r="L17" s="794"/>
    </row>
    <row r="18" spans="1:12" ht="14.25" thickTop="1" thickBot="1" x14ac:dyDescent="0.25">
      <c r="A18" s="1766" t="s">
        <v>685</v>
      </c>
      <c r="B18" s="1767"/>
      <c r="C18" s="770"/>
      <c r="D18" s="770"/>
      <c r="E18" s="770"/>
      <c r="F18" s="849"/>
      <c r="G18" s="850"/>
      <c r="H18" s="772"/>
      <c r="I18" s="1759">
        <f>SUM(I16,I17)</f>
        <v>2268089.2999999998</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5" activePane="bottomLeft" state="frozen"/>
      <selection activeCell="A47" sqref="A47"/>
      <selection pane="bottomLeft" activeCell="F79" sqref="F7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2" t="s">
        <v>1973</v>
      </c>
      <c r="B1" s="2263"/>
      <c r="C1" s="2263"/>
      <c r="D1" s="2263"/>
      <c r="E1" s="2263"/>
      <c r="F1" s="2264"/>
      <c r="G1" s="854"/>
    </row>
    <row r="2" spans="1:7" ht="15" customHeight="1" thickBot="1" x14ac:dyDescent="0.25">
      <c r="A2" s="2265" t="s">
        <v>477</v>
      </c>
      <c r="B2" s="2266"/>
      <c r="C2" s="2266"/>
      <c r="D2" s="2266"/>
      <c r="E2" s="2266"/>
      <c r="F2" s="2267"/>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21663518</v>
      </c>
      <c r="G8" s="864"/>
    </row>
    <row r="9" spans="1:7" x14ac:dyDescent="0.2">
      <c r="A9" s="868" t="s">
        <v>460</v>
      </c>
      <c r="B9" s="869" t="s">
        <v>1876</v>
      </c>
      <c r="C9" s="870"/>
      <c r="D9" s="868" t="s">
        <v>501</v>
      </c>
      <c r="E9" s="867"/>
      <c r="F9" s="1908">
        <f>'Expenditures 15-22'!K151</f>
        <v>2548610</v>
      </c>
      <c r="G9" s="871"/>
    </row>
    <row r="10" spans="1:7" x14ac:dyDescent="0.2">
      <c r="A10" s="868" t="s">
        <v>499</v>
      </c>
      <c r="B10" s="869" t="s">
        <v>1877</v>
      </c>
      <c r="C10" s="870"/>
      <c r="D10" s="868" t="s">
        <v>501</v>
      </c>
      <c r="E10" s="867"/>
      <c r="F10" s="1908">
        <f>'Expenditures 15-22'!K174</f>
        <v>5555900</v>
      </c>
      <c r="G10" s="871"/>
    </row>
    <row r="11" spans="1:7" x14ac:dyDescent="0.2">
      <c r="A11" s="868" t="s">
        <v>461</v>
      </c>
      <c r="B11" s="869" t="s">
        <v>1878</v>
      </c>
      <c r="C11" s="870"/>
      <c r="D11" s="868" t="s">
        <v>501</v>
      </c>
      <c r="E11" s="867"/>
      <c r="F11" s="1908">
        <f>'Expenditures 15-22'!K210</f>
        <v>717951</v>
      </c>
      <c r="G11" s="871"/>
    </row>
    <row r="12" spans="1:7" x14ac:dyDescent="0.2">
      <c r="A12" s="868" t="s">
        <v>462</v>
      </c>
      <c r="B12" s="869" t="s">
        <v>1879</v>
      </c>
      <c r="C12" s="870"/>
      <c r="D12" s="868" t="s">
        <v>501</v>
      </c>
      <c r="E12" s="867"/>
      <c r="F12" s="1908">
        <f>'Expenditures 15-22'!K295</f>
        <v>520670</v>
      </c>
      <c r="G12" s="871"/>
    </row>
    <row r="13" spans="1:7" x14ac:dyDescent="0.2">
      <c r="A13" s="868" t="s">
        <v>106</v>
      </c>
      <c r="B13" s="869" t="s">
        <v>1880</v>
      </c>
      <c r="C13" s="870"/>
      <c r="D13" s="868" t="s">
        <v>501</v>
      </c>
      <c r="E13" s="867"/>
      <c r="F13" s="1908">
        <f>'Expenditures 15-22'!K342</f>
        <v>0</v>
      </c>
      <c r="G13" s="872"/>
    </row>
    <row r="14" spans="1:7" ht="12" customHeight="1" thickBot="1" x14ac:dyDescent="0.25">
      <c r="A14" s="1769"/>
      <c r="B14" s="1770"/>
      <c r="C14" s="1771"/>
      <c r="D14" s="1772" t="s">
        <v>501</v>
      </c>
      <c r="E14" s="1773" t="s">
        <v>958</v>
      </c>
      <c r="F14" s="1774">
        <f>SUM(F8:F13)</f>
        <v>31006649</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1997</v>
      </c>
      <c r="C30" s="879">
        <f>'Revenues 9-14'!B150</f>
        <v>3499</v>
      </c>
      <c r="D30" s="880" t="str">
        <f>'Revenues 9-14'!A150</f>
        <v>Adult Ed - Other (Describe &amp; Itemize)</v>
      </c>
      <c r="E30" s="867"/>
      <c r="F30" s="1913">
        <f>('Revenues 9-14'!D150+'Revenues 9-14'!F150)</f>
        <v>0</v>
      </c>
      <c r="G30" s="864"/>
    </row>
    <row r="31" spans="1:7" x14ac:dyDescent="0.2">
      <c r="A31" s="868" t="s">
        <v>1097</v>
      </c>
      <c r="B31" s="869" t="s">
        <v>1998</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1999</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2000</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0</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146143</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1338736</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124035</v>
      </c>
      <c r="G52" s="864"/>
    </row>
    <row r="53" spans="1:7" x14ac:dyDescent="0.2">
      <c r="A53" s="868" t="s">
        <v>459</v>
      </c>
      <c r="B53" s="868" t="s">
        <v>1475</v>
      </c>
      <c r="C53" s="888">
        <f>'Expenditures 15-22'!B102</f>
        <v>4000</v>
      </c>
      <c r="D53" s="887" t="str">
        <f>'Expenditures 15-22'!A102</f>
        <v>Total Payments to Other Govt Units</v>
      </c>
      <c r="E53" s="867"/>
      <c r="F53" s="1912">
        <f>'Expenditures 15-22'!K102</f>
        <v>611942</v>
      </c>
      <c r="G53" s="864"/>
    </row>
    <row r="54" spans="1:7" x14ac:dyDescent="0.2">
      <c r="A54" s="868" t="s">
        <v>459</v>
      </c>
      <c r="B54" s="868" t="s">
        <v>1476</v>
      </c>
      <c r="C54" s="888" t="s">
        <v>982</v>
      </c>
      <c r="D54" s="884" t="s">
        <v>1095</v>
      </c>
      <c r="E54" s="867"/>
      <c r="F54" s="1912">
        <f>'Expenditures 15-22'!G114</f>
        <v>46538</v>
      </c>
      <c r="G54" s="864"/>
    </row>
    <row r="55" spans="1:7" x14ac:dyDescent="0.2">
      <c r="A55" s="868" t="s">
        <v>459</v>
      </c>
      <c r="B55" s="868" t="s">
        <v>1477</v>
      </c>
      <c r="C55" s="888" t="s">
        <v>982</v>
      </c>
      <c r="D55" s="884" t="s">
        <v>291</v>
      </c>
      <c r="E55" s="867"/>
      <c r="F55" s="1912">
        <f>'Expenditures 15-22'!I114</f>
        <v>222231</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1881</v>
      </c>
      <c r="C57" s="888">
        <f>'Expenditures 15-22'!B139</f>
        <v>4000</v>
      </c>
      <c r="D57" s="886" t="str">
        <f>'Expenditures 15-22'!A139</f>
        <v>Total Payments to Other Govt Units</v>
      </c>
      <c r="E57" s="867"/>
      <c r="F57" s="1912">
        <f>'Expenditures 15-22'!K139</f>
        <v>0</v>
      </c>
      <c r="G57" s="864"/>
    </row>
    <row r="58" spans="1:7" x14ac:dyDescent="0.2">
      <c r="A58" s="868" t="s">
        <v>460</v>
      </c>
      <c r="B58" s="868" t="s">
        <v>1882</v>
      </c>
      <c r="C58" s="885" t="s">
        <v>982</v>
      </c>
      <c r="D58" s="884" t="s">
        <v>1095</v>
      </c>
      <c r="E58" s="867"/>
      <c r="F58" s="1914">
        <f>'Expenditures 15-22'!G151</f>
        <v>80231</v>
      </c>
      <c r="G58" s="864"/>
    </row>
    <row r="59" spans="1:7" x14ac:dyDescent="0.2">
      <c r="A59" s="892" t="s">
        <v>460</v>
      </c>
      <c r="B59" s="855" t="s">
        <v>1883</v>
      </c>
      <c r="C59" s="893" t="s">
        <v>982</v>
      </c>
      <c r="D59" s="855" t="s">
        <v>291</v>
      </c>
      <c r="F59" s="1915">
        <f>'Expenditures 15-22'!I151</f>
        <v>7732</v>
      </c>
      <c r="G59" s="864"/>
    </row>
    <row r="60" spans="1:7" x14ac:dyDescent="0.2">
      <c r="A60" s="892" t="s">
        <v>499</v>
      </c>
      <c r="B60" s="855" t="s">
        <v>1884</v>
      </c>
      <c r="C60" s="893">
        <v>4000</v>
      </c>
      <c r="D60" s="855" t="s">
        <v>312</v>
      </c>
      <c r="F60" s="1913">
        <f>'Expenditures 15-22'!K160</f>
        <v>0</v>
      </c>
      <c r="G60" s="864"/>
    </row>
    <row r="61" spans="1:7" x14ac:dyDescent="0.2">
      <c r="A61" s="894" t="s">
        <v>499</v>
      </c>
      <c r="B61" s="894" t="s">
        <v>1885</v>
      </c>
      <c r="C61" s="895" t="str">
        <f>'Expenditures 15-22'!B170</f>
        <v>5300</v>
      </c>
      <c r="D61" s="896" t="s">
        <v>311</v>
      </c>
      <c r="E61" s="878"/>
      <c r="F61" s="1912">
        <f>'Expenditures 15-22'!K170</f>
        <v>3859254</v>
      </c>
      <c r="G61" s="864"/>
    </row>
    <row r="62" spans="1:7" x14ac:dyDescent="0.2">
      <c r="A62" s="868" t="s">
        <v>461</v>
      </c>
      <c r="B62" s="868" t="s">
        <v>1886</v>
      </c>
      <c r="C62" s="885">
        <f>'Expenditures 15-22'!B185</f>
        <v>3000</v>
      </c>
      <c r="D62" s="875" t="s">
        <v>449</v>
      </c>
      <c r="E62" s="867"/>
      <c r="F62" s="1912">
        <f>'Expenditures 15-22'!K185-SUM('Expenditures 15-22'!G185,'Expenditures 15-22'!I185)</f>
        <v>0</v>
      </c>
      <c r="G62" s="864"/>
    </row>
    <row r="63" spans="1:7" x14ac:dyDescent="0.2">
      <c r="A63" s="868" t="s">
        <v>461</v>
      </c>
      <c r="B63" s="868" t="s">
        <v>1887</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1888</v>
      </c>
      <c r="C64" s="895" t="str">
        <f>'Expenditures 15-22'!B206</f>
        <v>5300</v>
      </c>
      <c r="D64" s="891" t="s">
        <v>311</v>
      </c>
      <c r="E64" s="867"/>
      <c r="F64" s="1912">
        <f>'Expenditures 15-22'!K206</f>
        <v>13303</v>
      </c>
      <c r="G64" s="864"/>
    </row>
    <row r="65" spans="1:8" x14ac:dyDescent="0.2">
      <c r="A65" s="868" t="s">
        <v>461</v>
      </c>
      <c r="B65" s="868" t="s">
        <v>1889</v>
      </c>
      <c r="C65" s="885" t="s">
        <v>982</v>
      </c>
      <c r="D65" s="884" t="s">
        <v>1095</v>
      </c>
      <c r="E65" s="867"/>
      <c r="F65" s="1912">
        <f>'Expenditures 15-22'!G210</f>
        <v>0</v>
      </c>
      <c r="G65" s="864"/>
    </row>
    <row r="66" spans="1:8" x14ac:dyDescent="0.2">
      <c r="A66" s="868" t="s">
        <v>461</v>
      </c>
      <c r="B66" s="868" t="s">
        <v>1890</v>
      </c>
      <c r="C66" s="885" t="s">
        <v>982</v>
      </c>
      <c r="D66" s="884" t="s">
        <v>291</v>
      </c>
      <c r="E66" s="867"/>
      <c r="F66" s="1912">
        <f>'Expenditures 15-22'!I210</f>
        <v>0</v>
      </c>
      <c r="G66" s="864"/>
    </row>
    <row r="67" spans="1:8" x14ac:dyDescent="0.2">
      <c r="A67" s="868" t="s">
        <v>462</v>
      </c>
      <c r="B67" s="868" t="s">
        <v>1891</v>
      </c>
      <c r="C67" s="885" t="str">
        <f>'Expenditures 15-22'!B216</f>
        <v>1125</v>
      </c>
      <c r="D67" s="891" t="str">
        <f>'Expenditures 15-22'!A216</f>
        <v>Pre-K Programs</v>
      </c>
      <c r="E67" s="867"/>
      <c r="F67" s="1912">
        <f>'Expenditures 15-22'!K216</f>
        <v>0</v>
      </c>
      <c r="G67" s="864"/>
    </row>
    <row r="68" spans="1:8" x14ac:dyDescent="0.2">
      <c r="A68" s="868" t="s">
        <v>462</v>
      </c>
      <c r="B68" s="868" t="s">
        <v>1479</v>
      </c>
      <c r="C68" s="885" t="str">
        <f>'Expenditures 15-22'!B218</f>
        <v>1225</v>
      </c>
      <c r="D68" s="891" t="str">
        <f>'Expenditures 15-22'!A218</f>
        <v>Special Education Programs - Pre-K</v>
      </c>
      <c r="E68" s="867"/>
      <c r="F68" s="1912">
        <f>'Expenditures 15-22'!K218</f>
        <v>0</v>
      </c>
      <c r="G68" s="864"/>
    </row>
    <row r="69" spans="1:8" x14ac:dyDescent="0.2">
      <c r="A69" s="868" t="s">
        <v>462</v>
      </c>
      <c r="B69" s="868" t="s">
        <v>1892</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1893</v>
      </c>
      <c r="C70" s="885">
        <f>'Expenditures 15-22'!B221</f>
        <v>1300</v>
      </c>
      <c r="D70" s="886" t="str">
        <f>'Expenditures 15-22'!A221</f>
        <v>Adult/Continuing Education Programs</v>
      </c>
      <c r="E70" s="867"/>
      <c r="F70" s="1912">
        <f>'Expenditures 15-22'!K221</f>
        <v>0</v>
      </c>
      <c r="G70" s="864"/>
    </row>
    <row r="71" spans="1:8" x14ac:dyDescent="0.2">
      <c r="A71" s="868" t="s">
        <v>462</v>
      </c>
      <c r="B71" s="868" t="s">
        <v>1894</v>
      </c>
      <c r="C71" s="885">
        <f>'Expenditures 15-22'!B224</f>
        <v>1600</v>
      </c>
      <c r="D71" s="886" t="str">
        <f>'Expenditures 15-22'!A224</f>
        <v>Summer School Programs</v>
      </c>
      <c r="E71" s="867"/>
      <c r="F71" s="1912">
        <f>'Expenditures 15-22'!K224</f>
        <v>3512</v>
      </c>
      <c r="G71" s="864"/>
    </row>
    <row r="72" spans="1:8" x14ac:dyDescent="0.2">
      <c r="A72" s="868" t="s">
        <v>462</v>
      </c>
      <c r="B72" s="868" t="s">
        <v>1895</v>
      </c>
      <c r="C72" s="885">
        <f>'Expenditures 15-22'!B280</f>
        <v>3000</v>
      </c>
      <c r="D72" s="875" t="s">
        <v>449</v>
      </c>
      <c r="E72" s="867"/>
      <c r="F72" s="1912">
        <f>'Expenditures 15-22'!K280</f>
        <v>15205</v>
      </c>
      <c r="G72" s="864"/>
    </row>
    <row r="73" spans="1:8" x14ac:dyDescent="0.2">
      <c r="A73" s="868" t="s">
        <v>462</v>
      </c>
      <c r="B73" s="868" t="s">
        <v>1896</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1897</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1898</v>
      </c>
      <c r="E76" s="1773" t="s">
        <v>958</v>
      </c>
      <c r="F76" s="1777">
        <f>SUM(F18:F74)</f>
        <v>6468862</v>
      </c>
      <c r="G76" s="864"/>
    </row>
    <row r="77" spans="1:8" s="892" customFormat="1" ht="12" customHeight="1" thickTop="1" thickBot="1" x14ac:dyDescent="0.25">
      <c r="A77" s="1778"/>
      <c r="B77" s="1775"/>
      <c r="C77" s="1771"/>
      <c r="D77" s="1776" t="s">
        <v>1899</v>
      </c>
      <c r="E77" s="1773"/>
      <c r="F77" s="1779">
        <f>(F14-F76)</f>
        <v>24537787</v>
      </c>
      <c r="G77" s="868"/>
    </row>
    <row r="78" spans="1:8" s="892" customFormat="1" ht="12" customHeight="1" thickTop="1" x14ac:dyDescent="0.2">
      <c r="A78" s="1780"/>
      <c r="B78" s="1775"/>
      <c r="C78" s="1771"/>
      <c r="D78" s="1776" t="s">
        <v>2060</v>
      </c>
      <c r="E78" s="1773"/>
      <c r="F78" s="897">
        <v>1533.4</v>
      </c>
      <c r="G78" s="898"/>
      <c r="H78" s="868"/>
    </row>
    <row r="79" spans="1:8" s="892" customFormat="1" ht="12" customHeight="1" thickBot="1" x14ac:dyDescent="0.25">
      <c r="A79" s="1781"/>
      <c r="B79" s="1775"/>
      <c r="C79" s="1771"/>
      <c r="D79" s="1776" t="s">
        <v>1900</v>
      </c>
      <c r="E79" s="1773" t="s">
        <v>958</v>
      </c>
      <c r="F79" s="1782">
        <f>IF(F78&gt;0,F77/F78," Complete Line 78")</f>
        <v>16002.208817007955</v>
      </c>
      <c r="G79" s="868"/>
    </row>
    <row r="80" spans="1:8" s="892" customFormat="1" ht="8.25" customHeight="1" thickTop="1" x14ac:dyDescent="0.2">
      <c r="A80" s="899"/>
      <c r="B80" s="868"/>
      <c r="C80" s="870"/>
      <c r="D80" s="900"/>
      <c r="E80" s="867"/>
      <c r="F80" s="901"/>
      <c r="G80" s="868"/>
    </row>
    <row r="81" spans="1:7" s="892" customFormat="1" ht="12" thickBot="1" x14ac:dyDescent="0.25">
      <c r="A81" s="2259" t="s">
        <v>1105</v>
      </c>
      <c r="B81" s="2260"/>
      <c r="C81" s="2260"/>
      <c r="D81" s="2260"/>
      <c r="E81" s="2260"/>
      <c r="F81" s="2261"/>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79097</v>
      </c>
      <c r="G94" s="911"/>
    </row>
    <row r="95" spans="1:7" x14ac:dyDescent="0.2">
      <c r="A95" s="907" t="s">
        <v>140</v>
      </c>
      <c r="B95" s="907" t="s">
        <v>175</v>
      </c>
      <c r="C95" s="909">
        <v>1700</v>
      </c>
      <c r="D95" s="917" t="str">
        <f>'Revenues 9-14'!A82</f>
        <v>Total District/School Activity Income</v>
      </c>
      <c r="E95" s="905"/>
      <c r="F95" s="1788">
        <f>SUM('Revenues 9-14'!C82,'Revenues 9-14'!D82)</f>
        <v>849921</v>
      </c>
      <c r="G95" s="911"/>
    </row>
    <row r="96" spans="1:7" x14ac:dyDescent="0.2">
      <c r="A96" s="907" t="s">
        <v>459</v>
      </c>
      <c r="B96" s="907" t="s">
        <v>176</v>
      </c>
      <c r="C96" s="909">
        <f>'Revenues 9-14'!B84</f>
        <v>1811</v>
      </c>
      <c r="D96" s="910" t="str">
        <f>'Revenues 9-14'!A84</f>
        <v>Rentals - Regular Textbooks</v>
      </c>
      <c r="E96" s="905"/>
      <c r="F96" s="1788">
        <f>'Revenues 9-14'!C84</f>
        <v>270884</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160125</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311695</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2001</v>
      </c>
      <c r="C105" s="912">
        <v>3100</v>
      </c>
      <c r="D105" s="918" t="str">
        <f>'Revenues 9-14'!A132</f>
        <v>Total Special Education</v>
      </c>
      <c r="E105" s="905"/>
      <c r="F105" s="1788">
        <f>SUM('Revenues 9-14'!C132:D132,'Revenues 9-14'!F132)</f>
        <v>298043</v>
      </c>
      <c r="G105" s="911"/>
    </row>
    <row r="106" spans="1:7" x14ac:dyDescent="0.2">
      <c r="A106" s="907" t="s">
        <v>673</v>
      </c>
      <c r="B106" s="907" t="s">
        <v>2002</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2003</v>
      </c>
      <c r="C107" s="919">
        <v>3300</v>
      </c>
      <c r="D107" s="910" t="str">
        <f>'Revenues 9-14'!A145</f>
        <v>Total Bilingual Ed</v>
      </c>
      <c r="E107" s="905"/>
      <c r="F107" s="1788">
        <f>SUM('Revenues 9-14'!C145,'Revenues 9-14'!G145)</f>
        <v>0</v>
      </c>
      <c r="G107" s="911"/>
    </row>
    <row r="108" spans="1:7" x14ac:dyDescent="0.2">
      <c r="A108" s="907" t="s">
        <v>459</v>
      </c>
      <c r="B108" s="907" t="s">
        <v>2004</v>
      </c>
      <c r="C108" s="919">
        <f>'Revenues 9-14'!B146</f>
        <v>3360</v>
      </c>
      <c r="D108" s="910" t="str">
        <f>'Revenues 9-14'!A146</f>
        <v>State Free Lunch &amp; Breakfast</v>
      </c>
      <c r="E108" s="905"/>
      <c r="F108" s="1788">
        <f>'Revenues 9-14'!C146</f>
        <v>0</v>
      </c>
      <c r="G108" s="911"/>
    </row>
    <row r="109" spans="1:7" x14ac:dyDescent="0.2">
      <c r="A109" s="907" t="s">
        <v>673</v>
      </c>
      <c r="B109" s="907" t="s">
        <v>2005</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2006</v>
      </c>
      <c r="C110" s="919">
        <f>'Revenues 9-14'!B148</f>
        <v>3370</v>
      </c>
      <c r="D110" s="910" t="str">
        <f>'Revenues 9-14'!A148</f>
        <v>Driver Education</v>
      </c>
      <c r="E110" s="905"/>
      <c r="F110" s="1788">
        <f>SUM('Revenues 9-14'!C148,'Revenues 9-14'!D148)</f>
        <v>27392</v>
      </c>
      <c r="G110" s="911"/>
    </row>
    <row r="111" spans="1:7" x14ac:dyDescent="0.2">
      <c r="A111" s="907" t="s">
        <v>668</v>
      </c>
      <c r="B111" s="907" t="s">
        <v>2007</v>
      </c>
      <c r="C111" s="921">
        <v>3500</v>
      </c>
      <c r="D111" s="910" t="str">
        <f>'Revenues 9-14'!A155</f>
        <v>Total Transportation</v>
      </c>
      <c r="E111" s="905"/>
      <c r="F111" s="1788">
        <f>SUM('Revenues 9-14'!C155,'Revenues 9-14'!D155,'Revenues 9-14'!F155,'Revenues 9-14'!G155)</f>
        <v>339673</v>
      </c>
      <c r="G111" s="911"/>
    </row>
    <row r="112" spans="1:7" x14ac:dyDescent="0.2">
      <c r="A112" s="907" t="s">
        <v>459</v>
      </c>
      <c r="B112" s="907" t="s">
        <v>2008</v>
      </c>
      <c r="C112" s="919">
        <f>'Revenues 9-14'!B156</f>
        <v>3610</v>
      </c>
      <c r="D112" s="910" t="str">
        <f>'Revenues 9-14'!A156</f>
        <v>Learning Improvement - Change Grants</v>
      </c>
      <c r="E112" s="905"/>
      <c r="F112" s="1788">
        <f>'Revenues 9-14'!C156</f>
        <v>0</v>
      </c>
      <c r="G112" s="911"/>
    </row>
    <row r="113" spans="1:7" x14ac:dyDescent="0.2">
      <c r="A113" s="907" t="s">
        <v>668</v>
      </c>
      <c r="B113" s="907" t="s">
        <v>2009</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2010</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2011</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2012</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2013</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2014</v>
      </c>
      <c r="C118" s="923">
        <f>'Revenues 9-14'!B163</f>
        <v>3780</v>
      </c>
      <c r="D118" s="924" t="str">
        <f>'Revenues 9-14'!A163</f>
        <v>Technology - Technology for Success</v>
      </c>
      <c r="E118" s="905"/>
      <c r="F118" s="1906">
        <f>SUM('Revenues 9-14'!C163:G163)</f>
        <v>0</v>
      </c>
      <c r="G118" s="911"/>
    </row>
    <row r="119" spans="1:7" x14ac:dyDescent="0.2">
      <c r="A119" s="922" t="s">
        <v>504</v>
      </c>
      <c r="B119" s="922" t="s">
        <v>2015</v>
      </c>
      <c r="C119" s="923">
        <f>'Revenues 9-14'!B164</f>
        <v>3815</v>
      </c>
      <c r="D119" s="924" t="str">
        <f>'Revenues 9-14'!A164</f>
        <v>State Charter Schools</v>
      </c>
      <c r="E119" s="905"/>
      <c r="F119" s="1906">
        <f>SUM('Revenues 9-14'!C164,'Revenues 9-14'!F164)</f>
        <v>0</v>
      </c>
      <c r="G119" s="911"/>
    </row>
    <row r="120" spans="1:7" x14ac:dyDescent="0.2">
      <c r="A120" s="926" t="s">
        <v>460</v>
      </c>
      <c r="B120" s="926" t="s">
        <v>2016</v>
      </c>
      <c r="C120" s="927">
        <f>'Revenues 9-14'!B167</f>
        <v>3925</v>
      </c>
      <c r="D120" s="928" t="str">
        <f>'Revenues 9-14'!A167</f>
        <v>School Infrastructure - Maintenance Projects</v>
      </c>
      <c r="E120" s="905"/>
      <c r="F120" s="1788">
        <f>'Revenues 9-14'!D167</f>
        <v>0</v>
      </c>
      <c r="G120" s="929"/>
    </row>
    <row r="121" spans="1:7" x14ac:dyDescent="0.2">
      <c r="A121" s="926" t="s">
        <v>500</v>
      </c>
      <c r="B121" s="926" t="s">
        <v>2017</v>
      </c>
      <c r="C121" s="927">
        <f>'Revenues 9-14'!B168</f>
        <v>3999</v>
      </c>
      <c r="D121" s="928" t="s">
        <v>543</v>
      </c>
      <c r="E121" s="930"/>
      <c r="F121" s="1788">
        <f>SUM('Revenues 9-14'!C168:G168,'Revenues 9-14'!J168)</f>
        <v>1211</v>
      </c>
      <c r="G121" s="929"/>
    </row>
    <row r="122" spans="1:7" x14ac:dyDescent="0.2">
      <c r="A122" s="926" t="s">
        <v>459</v>
      </c>
      <c r="B122" s="926" t="s">
        <v>2018</v>
      </c>
      <c r="C122" s="931">
        <f>'Revenues 9-14'!B177</f>
        <v>4045</v>
      </c>
      <c r="D122" s="928" t="str">
        <f>'Revenues 9-14'!A177 &amp; " (Subtract)"</f>
        <v>Head Start (Subtract)</v>
      </c>
      <c r="E122" s="905"/>
      <c r="F122" s="1788">
        <f>SUM(-'Revenues 9-14'!C177)</f>
        <v>0</v>
      </c>
      <c r="G122" s="929"/>
    </row>
    <row r="123" spans="1:7" x14ac:dyDescent="0.2">
      <c r="A123" s="926" t="s">
        <v>668</v>
      </c>
      <c r="B123" s="926" t="s">
        <v>2019</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2020</v>
      </c>
      <c r="C124" s="931">
        <v>4100</v>
      </c>
      <c r="D124" s="932" t="str">
        <f>'Revenues 9-14'!A188</f>
        <v>Total Title V</v>
      </c>
      <c r="E124" s="905"/>
      <c r="F124" s="1788">
        <f>SUM('Revenues 9-14'!C188,'Revenues 9-14'!D188,'Revenues 9-14'!F188,'Revenues 9-14'!G188)</f>
        <v>0</v>
      </c>
      <c r="G124" s="929"/>
    </row>
    <row r="125" spans="1:7" x14ac:dyDescent="0.2">
      <c r="A125" s="926" t="s">
        <v>664</v>
      </c>
      <c r="B125" s="926" t="s">
        <v>2021</v>
      </c>
      <c r="C125" s="931">
        <v>4200</v>
      </c>
      <c r="D125" s="928" t="str">
        <f>'Revenues 9-14'!A198</f>
        <v>Total Food Service</v>
      </c>
      <c r="E125" s="905"/>
      <c r="F125" s="1788">
        <f>SUM('Revenues 9-14'!C198,'Revenues 9-14'!G198)</f>
        <v>0</v>
      </c>
      <c r="G125" s="929"/>
    </row>
    <row r="126" spans="1:7" x14ac:dyDescent="0.2">
      <c r="A126" s="926" t="s">
        <v>668</v>
      </c>
      <c r="B126" s="926" t="s">
        <v>2022</v>
      </c>
      <c r="C126" s="931">
        <v>4300</v>
      </c>
      <c r="D126" s="932" t="str">
        <f>'Revenues 9-14'!A204</f>
        <v>Total Title I</v>
      </c>
      <c r="E126" s="905"/>
      <c r="F126" s="1788">
        <f>SUM('Revenues 9-14'!C204,'Revenues 9-14'!D204,'Revenues 9-14'!F204,'Revenues 9-14'!G204)</f>
        <v>102131</v>
      </c>
      <c r="G126" s="929"/>
    </row>
    <row r="127" spans="1:7" x14ac:dyDescent="0.2">
      <c r="A127" s="926" t="s">
        <v>668</v>
      </c>
      <c r="B127" s="926" t="s">
        <v>2023</v>
      </c>
      <c r="C127" s="931">
        <v>4400</v>
      </c>
      <c r="D127" s="932" t="str">
        <f>'Revenues 9-14'!A209</f>
        <v>Total Title IV</v>
      </c>
      <c r="E127" s="905"/>
      <c r="F127" s="1788">
        <f>SUM('Revenues 9-14'!C209,'Revenues 9-14'!D209,'Revenues 9-14'!F209,'Revenues 9-14'!G209)</f>
        <v>18098</v>
      </c>
      <c r="G127" s="929"/>
    </row>
    <row r="128" spans="1:7" x14ac:dyDescent="0.2">
      <c r="A128" s="926" t="s">
        <v>668</v>
      </c>
      <c r="B128" s="926" t="s">
        <v>2024</v>
      </c>
      <c r="C128" s="931">
        <f>'Revenues 9-14'!B213</f>
        <v>4620</v>
      </c>
      <c r="D128" s="932" t="str">
        <f>'Revenues 9-14'!A213</f>
        <v>Fed - Spec Education - IDEA - Flow Through</v>
      </c>
      <c r="E128" s="905"/>
      <c r="F128" s="1788">
        <f>SUM('Revenues 9-14'!C213:D213,'Revenues 9-14'!F213:G213)</f>
        <v>4826</v>
      </c>
      <c r="G128" s="929"/>
    </row>
    <row r="129" spans="1:7" x14ac:dyDescent="0.2">
      <c r="A129" s="926" t="s">
        <v>668</v>
      </c>
      <c r="B129" s="926" t="s">
        <v>2025</v>
      </c>
      <c r="C129" s="931">
        <f>'Revenues 9-14'!B214</f>
        <v>4625</v>
      </c>
      <c r="D129" s="932" t="str">
        <f>'Revenues 9-14'!A214</f>
        <v>Fed - Spec Education - IDEA - Room &amp; Board</v>
      </c>
      <c r="E129" s="905"/>
      <c r="F129" s="1788">
        <f>SUM('Revenues 9-14'!C214,'Revenues 9-14'!D214,'Revenues 9-14'!F214,'Revenues 9-14'!G214)</f>
        <v>263980</v>
      </c>
      <c r="G129" s="929"/>
    </row>
    <row r="130" spans="1:7" x14ac:dyDescent="0.2">
      <c r="A130" s="926" t="s">
        <v>668</v>
      </c>
      <c r="B130" s="926" t="s">
        <v>2026</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2027</v>
      </c>
      <c r="C132" s="931">
        <v>4700</v>
      </c>
      <c r="D132" s="928" t="str">
        <f>'Revenues 9-14'!A221</f>
        <v>Total CTE - Perkins</v>
      </c>
      <c r="E132" s="905"/>
      <c r="F132" s="1788">
        <f>SUM('Revenues 9-14'!C221,'Revenues 9-14'!D221,'Revenues 9-14'!G221)</f>
        <v>66917</v>
      </c>
      <c r="G132" s="929">
        <v>6303</v>
      </c>
    </row>
    <row r="133" spans="1:7" s="866" customFormat="1" hidden="1" x14ac:dyDescent="0.2">
      <c r="A133" s="933" t="s">
        <v>206</v>
      </c>
      <c r="B133" s="933" t="s">
        <v>2028</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2029</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2030</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2031</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2032</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2033</v>
      </c>
      <c r="C138" s="934" t="s">
        <v>212</v>
      </c>
      <c r="D138" s="935" t="str">
        <f>'Revenues 9-14'!A229</f>
        <v>ARRA - IDEA - Part B - Preschool</v>
      </c>
      <c r="E138" s="936"/>
      <c r="F138" s="1788">
        <v>0</v>
      </c>
      <c r="G138" s="904"/>
    </row>
    <row r="139" spans="1:7" s="866" customFormat="1" hidden="1" x14ac:dyDescent="0.2">
      <c r="A139" s="933" t="s">
        <v>206</v>
      </c>
      <c r="B139" s="933" t="s">
        <v>2034</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2035</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2036</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2037</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2038</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2039</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2040</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2041</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2042</v>
      </c>
      <c r="C157" s="939" t="s">
        <v>841</v>
      </c>
      <c r="D157" s="940" t="s">
        <v>777</v>
      </c>
      <c r="E157" s="941"/>
      <c r="F157" s="1788">
        <f>SUM(F133:F156)</f>
        <v>0</v>
      </c>
      <c r="G157" s="904"/>
    </row>
    <row r="158" spans="1:7" s="866" customFormat="1" x14ac:dyDescent="0.2">
      <c r="A158" s="937" t="s">
        <v>459</v>
      </c>
      <c r="B158" s="938" t="s">
        <v>2043</v>
      </c>
      <c r="C158" s="939" t="s">
        <v>1427</v>
      </c>
      <c r="D158" s="940" t="s">
        <v>1428</v>
      </c>
      <c r="E158" s="941"/>
      <c r="F158" s="1788">
        <f>SUM('Revenues 9-14'!C253)</f>
        <v>0</v>
      </c>
      <c r="G158" s="904"/>
    </row>
    <row r="159" spans="1:7" s="866" customFormat="1" x14ac:dyDescent="0.2">
      <c r="A159" s="937" t="s">
        <v>500</v>
      </c>
      <c r="B159" s="938" t="s">
        <v>2044</v>
      </c>
      <c r="C159" s="939" t="s">
        <v>1466</v>
      </c>
      <c r="D159" s="940" t="s">
        <v>1467</v>
      </c>
      <c r="E159" s="941"/>
      <c r="F159" s="1788">
        <f>SUM('Revenues 9-14'!C254:H254,'Revenues 9-14'!J254:K254)</f>
        <v>0</v>
      </c>
      <c r="G159" s="904"/>
    </row>
    <row r="160" spans="1:7" x14ac:dyDescent="0.2">
      <c r="A160" s="926" t="s">
        <v>5</v>
      </c>
      <c r="B160" s="926" t="s">
        <v>2045</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2046</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2047</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2048</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2049</v>
      </c>
      <c r="C164" s="931">
        <f>'Revenues 9-14'!B259</f>
        <v>4932</v>
      </c>
      <c r="D164" s="932" t="str">
        <f>'Revenues 9-14'!A259</f>
        <v>Title II - Teacher Quality</v>
      </c>
      <c r="E164" s="905"/>
      <c r="F164" s="1906">
        <f>SUM('Revenues 9-14'!C259,'Revenues 9-14'!D259,'Revenues 9-14'!F259,'Revenues 9-14'!G259)</f>
        <v>29512</v>
      </c>
      <c r="G164" s="929"/>
    </row>
    <row r="165" spans="1:7" x14ac:dyDescent="0.2">
      <c r="A165" s="926" t="s">
        <v>668</v>
      </c>
      <c r="B165" s="926" t="s">
        <v>2050</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1995</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1996</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2051</v>
      </c>
      <c r="C168" s="931">
        <f>'Revenues 9-14'!B263</f>
        <v>4991</v>
      </c>
      <c r="D168" s="932" t="str">
        <f>'Revenues 9-14'!A263</f>
        <v>Medicaid Matching Funds - Administrative Outreach</v>
      </c>
      <c r="E168" s="905"/>
      <c r="F168" s="1788">
        <f>SUM('Revenues 9-14'!C263:D263,'Revenues 9-14'!F263:G263)</f>
        <v>9981</v>
      </c>
      <c r="G168" s="946">
        <v>6320</v>
      </c>
    </row>
    <row r="169" spans="1:7" x14ac:dyDescent="0.2">
      <c r="A169" s="926" t="s">
        <v>668</v>
      </c>
      <c r="B169" s="926" t="s">
        <v>2052</v>
      </c>
      <c r="C169" s="931">
        <f>'Revenues 9-14'!B264</f>
        <v>4992</v>
      </c>
      <c r="D169" s="932" t="str">
        <f>'Revenues 9-14'!A264</f>
        <v>Medicaid Matching Funds - Fee-for-Service Program</v>
      </c>
      <c r="E169" s="905"/>
      <c r="F169" s="1788">
        <f>SUM('Revenues 9-14'!C264:D264,'Revenues 9-14'!F264:G264)</f>
        <v>34556</v>
      </c>
      <c r="G169" s="946"/>
    </row>
    <row r="170" spans="1:7" x14ac:dyDescent="0.2">
      <c r="A170" s="947" t="s">
        <v>668</v>
      </c>
      <c r="B170" s="943" t="s">
        <v>2053</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1919</v>
      </c>
      <c r="C171" s="1919">
        <v>3100</v>
      </c>
      <c r="D171" s="1920" t="s">
        <v>1921</v>
      </c>
      <c r="E171" s="905"/>
      <c r="F171" s="1905"/>
      <c r="G171" s="926"/>
    </row>
    <row r="172" spans="1:7" x14ac:dyDescent="0.2">
      <c r="A172" s="1917" t="s">
        <v>664</v>
      </c>
      <c r="B172" s="1918" t="s">
        <v>1919</v>
      </c>
      <c r="C172" s="1919">
        <v>3300</v>
      </c>
      <c r="D172" s="1920" t="s">
        <v>1922</v>
      </c>
      <c r="E172" s="905"/>
      <c r="F172" s="1905"/>
      <c r="G172" s="926"/>
    </row>
    <row r="173" spans="1:7" ht="6" customHeight="1" x14ac:dyDescent="0.2">
      <c r="A173" s="926"/>
      <c r="B173" s="926"/>
      <c r="C173" s="948"/>
      <c r="D173" s="926"/>
      <c r="E173" s="905"/>
      <c r="F173" s="949"/>
      <c r="G173" s="946"/>
    </row>
    <row r="174" spans="1:7" x14ac:dyDescent="0.2">
      <c r="A174" s="1769"/>
      <c r="B174" s="1783"/>
      <c r="C174" s="1784"/>
      <c r="D174" s="1785" t="s">
        <v>2054</v>
      </c>
      <c r="E174" s="1786" t="s">
        <v>958</v>
      </c>
      <c r="F174" s="1787">
        <f>SUM(F84:F132,F157:F172)</f>
        <v>2868042</v>
      </c>
    </row>
    <row r="175" spans="1:7" ht="12" customHeight="1" x14ac:dyDescent="0.2">
      <c r="A175" s="1769"/>
      <c r="B175" s="1783"/>
      <c r="C175" s="1784"/>
      <c r="D175" s="1785" t="s">
        <v>2055</v>
      </c>
      <c r="E175" s="1786"/>
      <c r="F175" s="1788">
        <f>'PCTC-OEPP 27-28'!F77-F174</f>
        <v>21669745</v>
      </c>
    </row>
    <row r="176" spans="1:7" ht="12" customHeight="1" x14ac:dyDescent="0.2">
      <c r="A176" s="1769"/>
      <c r="B176" s="1783"/>
      <c r="C176" s="1784"/>
      <c r="D176" s="1785" t="s">
        <v>1817</v>
      </c>
      <c r="E176" s="1786"/>
      <c r="F176" s="1788">
        <f>'Cap Outlay Deprec 26'!I18</f>
        <v>2268089.2999999998</v>
      </c>
    </row>
    <row r="177" spans="1:7" ht="12" customHeight="1" x14ac:dyDescent="0.2">
      <c r="A177" s="1769"/>
      <c r="B177" s="1783"/>
      <c r="C177" s="1784"/>
      <c r="D177" s="1785" t="s">
        <v>2056</v>
      </c>
      <c r="E177" s="1786"/>
      <c r="F177" s="1788">
        <f>F175+F176</f>
        <v>23937834.300000001</v>
      </c>
    </row>
    <row r="178" spans="1:7" ht="12" customHeight="1" x14ac:dyDescent="0.2">
      <c r="A178" s="1769"/>
      <c r="B178" s="1789"/>
      <c r="C178" s="1784"/>
      <c r="D178" s="1785" t="str">
        <f>D78</f>
        <v>9 Month ADA from District Average Daily Attendance/Prior General State Aid Inquiry 2018-2019</v>
      </c>
      <c r="E178" s="1786"/>
      <c r="F178" s="1790">
        <f>'PCTC-OEPP 27-28'!F78</f>
        <v>1533.4</v>
      </c>
      <c r="G178" s="929"/>
    </row>
    <row r="179" spans="1:7" ht="12" customHeight="1" thickBot="1" x14ac:dyDescent="0.25">
      <c r="A179" s="1769"/>
      <c r="B179" s="1789"/>
      <c r="C179" s="1784"/>
      <c r="D179" s="1785" t="s">
        <v>2057</v>
      </c>
      <c r="E179" s="1786" t="s">
        <v>1545</v>
      </c>
      <c r="F179" s="1791">
        <f>F177/F178</f>
        <v>15610.952328159645</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921" customFormat="1" ht="12.2" customHeight="1" x14ac:dyDescent="0.2">
      <c r="A182" s="1921" t="s">
        <v>1992</v>
      </c>
      <c r="B182" s="1922"/>
      <c r="C182" s="1923"/>
      <c r="D182" s="1922"/>
      <c r="E182" s="1923"/>
      <c r="F182" s="1922"/>
      <c r="G182" s="1922"/>
    </row>
    <row r="183" spans="1:7" s="1921" customFormat="1" ht="12.2" customHeight="1" x14ac:dyDescent="0.2">
      <c r="A183" s="1924" t="s">
        <v>1994</v>
      </c>
      <c r="C183" s="1923"/>
      <c r="D183" s="1922"/>
      <c r="E183" s="1923"/>
      <c r="F183" s="1922"/>
      <c r="G183" s="1922"/>
    </row>
    <row r="184" spans="1:7" ht="12" customHeight="1" x14ac:dyDescent="0.2">
      <c r="C184" s="948"/>
      <c r="D184" s="929"/>
      <c r="E184" s="948"/>
      <c r="F184" s="929"/>
      <c r="G184" s="929"/>
    </row>
    <row r="185" spans="1:7" x14ac:dyDescent="0.2">
      <c r="A185" s="1925" t="s">
        <v>1924</v>
      </c>
      <c r="B185" s="1926"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4" zoomScaleNormal="100" workbookViewId="0">
      <selection activeCell="A136" sqref="A136"/>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5" t="s">
        <v>2064</v>
      </c>
      <c r="B6" s="1936"/>
      <c r="C6" s="1936"/>
      <c r="D6" s="1936"/>
      <c r="E6" s="1936"/>
      <c r="F6" s="1936"/>
      <c r="G6" s="1937"/>
    </row>
    <row r="7" spans="1:7" ht="18.75" x14ac:dyDescent="0.25">
      <c r="A7" s="1533" t="s">
        <v>1819</v>
      </c>
      <c r="B7" s="1534"/>
      <c r="C7" s="1534"/>
      <c r="D7" s="1534"/>
      <c r="E7" s="1534"/>
      <c r="F7" s="1534"/>
      <c r="G7" s="1535"/>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6" t="s">
        <v>1820</v>
      </c>
      <c r="B11" s="1537"/>
      <c r="C11" s="1537"/>
      <c r="D11" s="1537"/>
      <c r="E11" s="1537"/>
      <c r="F11" s="1537"/>
      <c r="G11" s="1538"/>
    </row>
    <row r="12" spans="1:7" ht="17.25" customHeight="1" x14ac:dyDescent="0.25">
      <c r="A12" s="2279" t="s">
        <v>1933</v>
      </c>
      <c r="B12" s="2280"/>
      <c r="C12" s="2280"/>
      <c r="D12" s="2280"/>
      <c r="E12" s="2280"/>
      <c r="F12" s="2280"/>
      <c r="G12" s="2281"/>
    </row>
    <row r="13" spans="1:7" ht="15" customHeight="1" x14ac:dyDescent="0.25">
      <c r="A13" s="1536" t="s">
        <v>1825</v>
      </c>
      <c r="B13" s="1537"/>
      <c r="C13" s="1537"/>
      <c r="D13" s="1537"/>
      <c r="E13" s="1537"/>
      <c r="F13" s="1537"/>
      <c r="G13" s="1538"/>
    </row>
    <row r="14" spans="1:7" ht="32.25" customHeight="1" x14ac:dyDescent="0.25">
      <c r="A14" s="2270" t="s">
        <v>1974</v>
      </c>
      <c r="B14" s="2271"/>
      <c r="C14" s="2271"/>
      <c r="D14" s="2271"/>
      <c r="E14" s="2271"/>
      <c r="F14" s="2271"/>
      <c r="G14" s="2272"/>
    </row>
    <row r="15" spans="1:7" x14ac:dyDescent="0.25">
      <c r="A15" s="1660" t="s">
        <v>1833</v>
      </c>
      <c r="B15" s="1661"/>
      <c r="C15" s="1661"/>
      <c r="D15" s="1661"/>
      <c r="E15" s="1661"/>
      <c r="F15" s="1661"/>
      <c r="G15" s="1662"/>
    </row>
    <row r="16" spans="1:7" ht="61.5" customHeight="1" x14ac:dyDescent="0.25">
      <c r="A16" s="1545" t="s">
        <v>1826</v>
      </c>
      <c r="B16" s="1545" t="s">
        <v>1827</v>
      </c>
      <c r="C16" s="1545" t="s">
        <v>1828</v>
      </c>
      <c r="D16" s="1546" t="s">
        <v>1829</v>
      </c>
      <c r="E16" s="1546" t="s">
        <v>1821</v>
      </c>
      <c r="F16" s="1546" t="s">
        <v>1830</v>
      </c>
      <c r="G16" s="1546" t="s">
        <v>1831</v>
      </c>
    </row>
    <row r="17" spans="1:8" x14ac:dyDescent="0.25">
      <c r="A17" s="1647" t="s">
        <v>1834</v>
      </c>
      <c r="B17" s="1648" t="s">
        <v>1824</v>
      </c>
      <c r="C17" s="1649" t="s">
        <v>1822</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40" t="s">
        <v>2099</v>
      </c>
      <c r="B18" s="1941" t="s">
        <v>2100</v>
      </c>
      <c r="C18" s="1939" t="s">
        <v>2101</v>
      </c>
      <c r="D18" s="1938">
        <v>1204380</v>
      </c>
      <c r="E18" s="1539">
        <f t="shared" ref="E18:E142" si="0">IF(D18&lt;=25000,D18,IF(D18&gt;25000,25000,0))</f>
        <v>25000</v>
      </c>
      <c r="F18" s="1934">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1179380</v>
      </c>
      <c r="H18" s="1646"/>
    </row>
    <row r="19" spans="1:8" x14ac:dyDescent="0.25">
      <c r="A19" s="1940" t="s">
        <v>2099</v>
      </c>
      <c r="B19" s="1941" t="s">
        <v>2100</v>
      </c>
      <c r="C19" s="1939" t="s">
        <v>2102</v>
      </c>
      <c r="D19" s="1938">
        <v>23000</v>
      </c>
      <c r="E19" s="1539">
        <f t="shared" ref="E19:E141" si="2">IF(D19&lt;=25000,D19,IF(D19&gt;25000,25000,0))</f>
        <v>23000</v>
      </c>
      <c r="F19" s="1934">
        <f t="shared" si="1"/>
        <v>23000</v>
      </c>
      <c r="G19" s="1792">
        <f t="shared" ref="G19:G141" si="3">IF(F19=0,0,D19-F19)</f>
        <v>0</v>
      </c>
    </row>
    <row r="20" spans="1:8" x14ac:dyDescent="0.25">
      <c r="A20" s="1940" t="s">
        <v>2099</v>
      </c>
      <c r="B20" s="1941" t="s">
        <v>2100</v>
      </c>
      <c r="C20" s="1939" t="s">
        <v>2103</v>
      </c>
      <c r="D20" s="1938">
        <v>6845</v>
      </c>
      <c r="E20" s="1539">
        <f t="shared" si="2"/>
        <v>6845</v>
      </c>
      <c r="F20" s="1934">
        <f t="shared" si="1"/>
        <v>6845</v>
      </c>
      <c r="G20" s="1792">
        <f t="shared" si="3"/>
        <v>0</v>
      </c>
    </row>
    <row r="21" spans="1:8" x14ac:dyDescent="0.25">
      <c r="A21" s="1940" t="s">
        <v>2099</v>
      </c>
      <c r="B21" s="1941" t="s">
        <v>2100</v>
      </c>
      <c r="C21" s="1939" t="s">
        <v>2104</v>
      </c>
      <c r="D21" s="1938">
        <v>23945</v>
      </c>
      <c r="E21" s="1539">
        <f t="shared" si="2"/>
        <v>23945</v>
      </c>
      <c r="F21" s="1934">
        <f t="shared" si="1"/>
        <v>23945</v>
      </c>
      <c r="G21" s="1792">
        <f t="shared" si="3"/>
        <v>0</v>
      </c>
    </row>
    <row r="22" spans="1:8" x14ac:dyDescent="0.25">
      <c r="A22" s="1940" t="s">
        <v>2105</v>
      </c>
      <c r="B22" s="1941" t="s">
        <v>2106</v>
      </c>
      <c r="C22" s="1939" t="s">
        <v>2107</v>
      </c>
      <c r="D22" s="1938">
        <v>1591849</v>
      </c>
      <c r="E22" s="1539">
        <f t="shared" si="2"/>
        <v>25000</v>
      </c>
      <c r="F22" s="1934">
        <f t="shared" si="1"/>
        <v>25000</v>
      </c>
      <c r="G22" s="1792">
        <f t="shared" si="3"/>
        <v>1566849</v>
      </c>
    </row>
    <row r="23" spans="1:8" x14ac:dyDescent="0.25">
      <c r="A23" s="1940" t="s">
        <v>2108</v>
      </c>
      <c r="B23" s="1941" t="s">
        <v>2109</v>
      </c>
      <c r="C23" s="1939" t="s">
        <v>2110</v>
      </c>
      <c r="D23" s="1938">
        <v>34129</v>
      </c>
      <c r="E23" s="1539">
        <f t="shared" si="2"/>
        <v>25000</v>
      </c>
      <c r="F23" s="1934">
        <f t="shared" si="1"/>
        <v>25000</v>
      </c>
      <c r="G23" s="1792">
        <f t="shared" si="3"/>
        <v>9129</v>
      </c>
    </row>
    <row r="24" spans="1:8" x14ac:dyDescent="0.25">
      <c r="A24" s="1940" t="s">
        <v>2111</v>
      </c>
      <c r="B24" s="1941" t="s">
        <v>2112</v>
      </c>
      <c r="C24" s="1939" t="s">
        <v>2113</v>
      </c>
      <c r="D24" s="1938">
        <v>159758</v>
      </c>
      <c r="E24" s="1539">
        <f t="shared" si="2"/>
        <v>25000</v>
      </c>
      <c r="F24" s="1934">
        <f t="shared" si="1"/>
        <v>25000</v>
      </c>
      <c r="G24" s="1792">
        <f t="shared" si="3"/>
        <v>134758</v>
      </c>
    </row>
    <row r="25" spans="1:8" x14ac:dyDescent="0.25">
      <c r="A25" s="1940" t="s">
        <v>2108</v>
      </c>
      <c r="B25" s="1941" t="s">
        <v>2114</v>
      </c>
      <c r="C25" s="1939" t="s">
        <v>2115</v>
      </c>
      <c r="D25" s="1938">
        <v>9075</v>
      </c>
      <c r="E25" s="1539">
        <f t="shared" si="2"/>
        <v>9075</v>
      </c>
      <c r="F25" s="1934">
        <f t="shared" si="1"/>
        <v>9075</v>
      </c>
      <c r="G25" s="1792">
        <f t="shared" si="3"/>
        <v>0</v>
      </c>
    </row>
    <row r="26" spans="1:8" x14ac:dyDescent="0.25">
      <c r="A26" s="1940" t="s">
        <v>2116</v>
      </c>
      <c r="B26" s="1941" t="s">
        <v>2117</v>
      </c>
      <c r="C26" s="1939" t="s">
        <v>2118</v>
      </c>
      <c r="D26" s="1938">
        <v>79356</v>
      </c>
      <c r="E26" s="1539">
        <f t="shared" si="2"/>
        <v>25000</v>
      </c>
      <c r="F26" s="1934">
        <f t="shared" si="1"/>
        <v>25000</v>
      </c>
      <c r="G26" s="1792">
        <f t="shared" si="3"/>
        <v>54356</v>
      </c>
    </row>
    <row r="27" spans="1:8" x14ac:dyDescent="0.25">
      <c r="A27" s="1940" t="s">
        <v>2099</v>
      </c>
      <c r="B27" s="1941" t="s">
        <v>2100</v>
      </c>
      <c r="C27" s="1939" t="s">
        <v>2119</v>
      </c>
      <c r="D27" s="1938">
        <v>7110</v>
      </c>
      <c r="E27" s="1539">
        <f t="shared" si="2"/>
        <v>7110</v>
      </c>
      <c r="F27" s="1934">
        <f t="shared" si="1"/>
        <v>7110</v>
      </c>
      <c r="G27" s="1792">
        <f t="shared" si="3"/>
        <v>0</v>
      </c>
    </row>
    <row r="28" spans="1:8" x14ac:dyDescent="0.25">
      <c r="A28" s="1940" t="s">
        <v>2108</v>
      </c>
      <c r="B28" s="1941" t="s">
        <v>2114</v>
      </c>
      <c r="C28" s="1939" t="s">
        <v>2120</v>
      </c>
      <c r="D28" s="1938">
        <v>7820</v>
      </c>
      <c r="E28" s="1539">
        <f t="shared" si="2"/>
        <v>7820</v>
      </c>
      <c r="F28" s="1934">
        <f t="shared" si="1"/>
        <v>7820</v>
      </c>
      <c r="G28" s="1792">
        <f t="shared" si="3"/>
        <v>0</v>
      </c>
    </row>
    <row r="29" spans="1:8" x14ac:dyDescent="0.25">
      <c r="A29" s="1940" t="s">
        <v>2111</v>
      </c>
      <c r="B29" s="1941" t="s">
        <v>2112</v>
      </c>
      <c r="C29" s="1939" t="s">
        <v>2121</v>
      </c>
      <c r="D29" s="1938">
        <v>15292</v>
      </c>
      <c r="E29" s="1539">
        <f t="shared" si="2"/>
        <v>15292</v>
      </c>
      <c r="F29" s="1934">
        <f t="shared" si="1"/>
        <v>15292</v>
      </c>
      <c r="G29" s="1792">
        <f t="shared" si="3"/>
        <v>0</v>
      </c>
    </row>
    <row r="30" spans="1:8" x14ac:dyDescent="0.25">
      <c r="A30" s="1940" t="s">
        <v>2108</v>
      </c>
      <c r="B30" s="1942" t="s">
        <v>2122</v>
      </c>
      <c r="C30" s="1939" t="s">
        <v>2123</v>
      </c>
      <c r="D30" s="1938">
        <v>2250</v>
      </c>
      <c r="E30" s="1539">
        <f t="shared" si="2"/>
        <v>2250</v>
      </c>
      <c r="F30" s="1934">
        <f t="shared" si="1"/>
        <v>2250</v>
      </c>
      <c r="G30" s="1792">
        <f t="shared" si="3"/>
        <v>0</v>
      </c>
    </row>
    <row r="31" spans="1:8" x14ac:dyDescent="0.25">
      <c r="A31" s="1940" t="s">
        <v>2116</v>
      </c>
      <c r="B31" s="1942" t="s">
        <v>2117</v>
      </c>
      <c r="C31" s="1939" t="s">
        <v>2124</v>
      </c>
      <c r="D31" s="1938">
        <v>1678</v>
      </c>
      <c r="E31" s="1539">
        <f t="shared" si="2"/>
        <v>1678</v>
      </c>
      <c r="F31" s="1934">
        <f t="shared" si="1"/>
        <v>1678</v>
      </c>
      <c r="G31" s="1792">
        <f t="shared" si="3"/>
        <v>0</v>
      </c>
    </row>
    <row r="32" spans="1:8" x14ac:dyDescent="0.25">
      <c r="A32" s="1940" t="s">
        <v>2099</v>
      </c>
      <c r="B32" s="1942" t="s">
        <v>2100</v>
      </c>
      <c r="C32" s="1939" t="s">
        <v>2125</v>
      </c>
      <c r="D32" s="1938">
        <v>27000</v>
      </c>
      <c r="E32" s="1539">
        <f t="shared" si="2"/>
        <v>25000</v>
      </c>
      <c r="F32" s="1934">
        <f t="shared" si="1"/>
        <v>25000</v>
      </c>
      <c r="G32" s="1792">
        <f t="shared" si="3"/>
        <v>2000</v>
      </c>
    </row>
    <row r="33" spans="1:7" x14ac:dyDescent="0.25">
      <c r="A33" s="1940" t="s">
        <v>2108</v>
      </c>
      <c r="B33" s="1942" t="s">
        <v>2126</v>
      </c>
      <c r="C33" s="1939" t="s">
        <v>2127</v>
      </c>
      <c r="D33" s="1938">
        <v>1330</v>
      </c>
      <c r="E33" s="1539">
        <f t="shared" si="2"/>
        <v>1330</v>
      </c>
      <c r="F33" s="1934">
        <f t="shared" si="1"/>
        <v>1330</v>
      </c>
      <c r="G33" s="1792">
        <f t="shared" si="3"/>
        <v>0</v>
      </c>
    </row>
    <row r="34" spans="1:7" x14ac:dyDescent="0.25">
      <c r="A34" s="1940" t="s">
        <v>2108</v>
      </c>
      <c r="B34" s="1942" t="s">
        <v>2128</v>
      </c>
      <c r="C34" s="1939" t="s">
        <v>2129</v>
      </c>
      <c r="D34" s="1938">
        <v>20290</v>
      </c>
      <c r="E34" s="1539">
        <f t="shared" si="2"/>
        <v>20290</v>
      </c>
      <c r="F34" s="1934">
        <f t="shared" si="1"/>
        <v>20290</v>
      </c>
      <c r="G34" s="1792">
        <f t="shared" si="3"/>
        <v>0</v>
      </c>
    </row>
    <row r="35" spans="1:7" x14ac:dyDescent="0.25">
      <c r="A35" s="1940" t="s">
        <v>2099</v>
      </c>
      <c r="B35" s="1942" t="s">
        <v>2100</v>
      </c>
      <c r="C35" s="1939" t="s">
        <v>2130</v>
      </c>
      <c r="D35" s="1938">
        <v>1</v>
      </c>
      <c r="E35" s="1539">
        <f t="shared" si="2"/>
        <v>1</v>
      </c>
      <c r="F35" s="1934">
        <f t="shared" si="1"/>
        <v>1</v>
      </c>
      <c r="G35" s="1792">
        <f t="shared" si="3"/>
        <v>0</v>
      </c>
    </row>
    <row r="36" spans="1:7" x14ac:dyDescent="0.25">
      <c r="A36" s="1940" t="s">
        <v>2099</v>
      </c>
      <c r="B36" s="1942" t="s">
        <v>2100</v>
      </c>
      <c r="C36" s="1939" t="s">
        <v>2131</v>
      </c>
      <c r="D36" s="1938">
        <v>4141</v>
      </c>
      <c r="E36" s="1539">
        <f t="shared" si="2"/>
        <v>4141</v>
      </c>
      <c r="F36" s="1934">
        <f t="shared" si="1"/>
        <v>4141</v>
      </c>
      <c r="G36" s="1792">
        <f t="shared" si="3"/>
        <v>0</v>
      </c>
    </row>
    <row r="37" spans="1:7" x14ac:dyDescent="0.25">
      <c r="A37" s="1940" t="s">
        <v>2099</v>
      </c>
      <c r="B37" s="1942" t="s">
        <v>2100</v>
      </c>
      <c r="C37" s="1939" t="s">
        <v>2132</v>
      </c>
      <c r="D37" s="1938">
        <v>4520</v>
      </c>
      <c r="E37" s="1539">
        <f t="shared" si="2"/>
        <v>4520</v>
      </c>
      <c r="F37" s="1934">
        <f t="shared" si="1"/>
        <v>4520</v>
      </c>
      <c r="G37" s="1792">
        <f t="shared" si="3"/>
        <v>0</v>
      </c>
    </row>
    <row r="38" spans="1:7" x14ac:dyDescent="0.25">
      <c r="A38" s="1940" t="s">
        <v>2099</v>
      </c>
      <c r="B38" s="1942" t="s">
        <v>2100</v>
      </c>
      <c r="C38" s="1939" t="s">
        <v>2133</v>
      </c>
      <c r="D38" s="1938">
        <v>83655</v>
      </c>
      <c r="E38" s="1539">
        <f t="shared" si="2"/>
        <v>25000</v>
      </c>
      <c r="F38" s="1934">
        <f t="shared" si="1"/>
        <v>25000</v>
      </c>
      <c r="G38" s="1792">
        <f t="shared" si="3"/>
        <v>58655</v>
      </c>
    </row>
    <row r="39" spans="1:7" x14ac:dyDescent="0.25">
      <c r="A39" s="1940" t="s">
        <v>2099</v>
      </c>
      <c r="B39" s="1942" t="s">
        <v>2100</v>
      </c>
      <c r="C39" s="1939" t="s">
        <v>2134</v>
      </c>
      <c r="D39" s="1938">
        <v>395</v>
      </c>
      <c r="E39" s="1539">
        <f t="shared" si="2"/>
        <v>395</v>
      </c>
      <c r="F39" s="1934">
        <f t="shared" si="1"/>
        <v>395</v>
      </c>
      <c r="G39" s="1792">
        <f t="shared" si="3"/>
        <v>0</v>
      </c>
    </row>
    <row r="40" spans="1:7" x14ac:dyDescent="0.25">
      <c r="A40" s="1940" t="s">
        <v>2135</v>
      </c>
      <c r="B40" s="1942" t="s">
        <v>2136</v>
      </c>
      <c r="C40" s="1939" t="s">
        <v>2137</v>
      </c>
      <c r="D40" s="1938">
        <v>850</v>
      </c>
      <c r="E40" s="1539">
        <f t="shared" si="2"/>
        <v>850</v>
      </c>
      <c r="F40" s="1934">
        <f t="shared" si="1"/>
        <v>850</v>
      </c>
      <c r="G40" s="1792">
        <f t="shared" si="3"/>
        <v>0</v>
      </c>
    </row>
    <row r="41" spans="1:7" x14ac:dyDescent="0.25">
      <c r="A41" s="1940" t="s">
        <v>2099</v>
      </c>
      <c r="B41" s="1942" t="s">
        <v>2100</v>
      </c>
      <c r="C41" s="1939" t="s">
        <v>2138</v>
      </c>
      <c r="D41" s="1938">
        <v>905</v>
      </c>
      <c r="E41" s="1539">
        <f t="shared" si="2"/>
        <v>905</v>
      </c>
      <c r="F41" s="1934">
        <f t="shared" si="1"/>
        <v>905</v>
      </c>
      <c r="G41" s="1792">
        <f t="shared" si="3"/>
        <v>0</v>
      </c>
    </row>
    <row r="42" spans="1:7" x14ac:dyDescent="0.25">
      <c r="A42" s="1940" t="s">
        <v>2099</v>
      </c>
      <c r="B42" s="1942" t="s">
        <v>2100</v>
      </c>
      <c r="C42" s="1939" t="s">
        <v>2139</v>
      </c>
      <c r="D42" s="1938">
        <v>9851</v>
      </c>
      <c r="E42" s="1539">
        <f t="shared" si="2"/>
        <v>9851</v>
      </c>
      <c r="F42" s="1934">
        <f t="shared" si="1"/>
        <v>9851</v>
      </c>
      <c r="G42" s="1792">
        <f t="shared" si="3"/>
        <v>0</v>
      </c>
    </row>
    <row r="43" spans="1:7" x14ac:dyDescent="0.25">
      <c r="A43" s="1652"/>
      <c r="B43" s="1932"/>
      <c r="C43" s="1653"/>
      <c r="D43" s="1843"/>
      <c r="E43" s="1539">
        <f t="shared" si="2"/>
        <v>0</v>
      </c>
      <c r="F43" s="1934">
        <f t="shared" si="1"/>
        <v>0</v>
      </c>
      <c r="G43" s="1792">
        <f t="shared" si="3"/>
        <v>0</v>
      </c>
    </row>
    <row r="44" spans="1:7" x14ac:dyDescent="0.25">
      <c r="A44" s="1652"/>
      <c r="B44" s="1932"/>
      <c r="C44" s="1653"/>
      <c r="D44" s="1843"/>
      <c r="E44" s="1539">
        <f t="shared" si="2"/>
        <v>0</v>
      </c>
      <c r="F44" s="1934">
        <f t="shared" si="1"/>
        <v>0</v>
      </c>
      <c r="G44" s="1792">
        <f t="shared" si="3"/>
        <v>0</v>
      </c>
    </row>
    <row r="45" spans="1:7" x14ac:dyDescent="0.25">
      <c r="A45" s="1652"/>
      <c r="B45" s="1932"/>
      <c r="C45" s="1653"/>
      <c r="D45" s="1843"/>
      <c r="E45" s="1539">
        <f t="shared" si="2"/>
        <v>0</v>
      </c>
      <c r="F45" s="1934">
        <f t="shared" si="1"/>
        <v>0</v>
      </c>
      <c r="G45" s="1792">
        <f t="shared" si="3"/>
        <v>0</v>
      </c>
    </row>
    <row r="46" spans="1:7" x14ac:dyDescent="0.25">
      <c r="A46" s="1652"/>
      <c r="B46" s="1932"/>
      <c r="C46" s="1653"/>
      <c r="D46" s="1843"/>
      <c r="E46" s="1539">
        <f t="shared" si="2"/>
        <v>0</v>
      </c>
      <c r="F46" s="1934">
        <f t="shared" si="1"/>
        <v>0</v>
      </c>
      <c r="G46" s="1792">
        <f t="shared" si="3"/>
        <v>0</v>
      </c>
    </row>
    <row r="47" spans="1:7" x14ac:dyDescent="0.25">
      <c r="A47" s="1652"/>
      <c r="B47" s="1666"/>
      <c r="C47" s="1653"/>
      <c r="D47" s="1843"/>
      <c r="E47" s="1539">
        <f t="shared" si="2"/>
        <v>0</v>
      </c>
      <c r="F47" s="1934">
        <f t="shared" si="1"/>
        <v>0</v>
      </c>
      <c r="G47" s="1792">
        <f t="shared" si="3"/>
        <v>0</v>
      </c>
    </row>
    <row r="48" spans="1:7" x14ac:dyDescent="0.25">
      <c r="A48" s="1652"/>
      <c r="B48" s="1666"/>
      <c r="C48" s="1653"/>
      <c r="D48" s="1843"/>
      <c r="E48" s="1539">
        <f t="shared" si="2"/>
        <v>0</v>
      </c>
      <c r="F48" s="1934">
        <f t="shared" si="1"/>
        <v>0</v>
      </c>
      <c r="G48" s="1792">
        <f t="shared" si="3"/>
        <v>0</v>
      </c>
    </row>
    <row r="49" spans="1:7" x14ac:dyDescent="0.25">
      <c r="A49" s="1652"/>
      <c r="B49" s="1666"/>
      <c r="C49" s="1653"/>
      <c r="D49" s="1843"/>
      <c r="E49" s="1539">
        <f t="shared" si="2"/>
        <v>0</v>
      </c>
      <c r="F49" s="1934">
        <f t="shared" si="1"/>
        <v>0</v>
      </c>
      <c r="G49" s="1792">
        <f t="shared" si="3"/>
        <v>0</v>
      </c>
    </row>
    <row r="50" spans="1:7" x14ac:dyDescent="0.25">
      <c r="A50" s="1652"/>
      <c r="B50" s="1666"/>
      <c r="C50" s="1653"/>
      <c r="D50" s="1843"/>
      <c r="E50" s="1539">
        <f t="shared" si="2"/>
        <v>0</v>
      </c>
      <c r="F50" s="1934">
        <f t="shared" si="1"/>
        <v>0</v>
      </c>
      <c r="G50" s="1792">
        <f t="shared" si="3"/>
        <v>0</v>
      </c>
    </row>
    <row r="51" spans="1:7" x14ac:dyDescent="0.25">
      <c r="A51" s="1652"/>
      <c r="B51" s="1666"/>
      <c r="C51" s="1653"/>
      <c r="D51" s="1843"/>
      <c r="E51" s="1539">
        <f t="shared" si="2"/>
        <v>0</v>
      </c>
      <c r="F51" s="1934">
        <f t="shared" si="1"/>
        <v>0</v>
      </c>
      <c r="G51" s="1792">
        <f t="shared" si="3"/>
        <v>0</v>
      </c>
    </row>
    <row r="52" spans="1:7" x14ac:dyDescent="0.25">
      <c r="A52" s="1652"/>
      <c r="B52" s="1666"/>
      <c r="C52" s="1653"/>
      <c r="D52" s="1843"/>
      <c r="E52" s="1539">
        <f t="shared" si="2"/>
        <v>0</v>
      </c>
      <c r="F52" s="1934">
        <f t="shared" si="1"/>
        <v>0</v>
      </c>
      <c r="G52" s="1792">
        <f t="shared" si="3"/>
        <v>0</v>
      </c>
    </row>
    <row r="53" spans="1:7" x14ac:dyDescent="0.25">
      <c r="A53" s="1652"/>
      <c r="B53" s="1666"/>
      <c r="C53" s="1653"/>
      <c r="D53" s="1843"/>
      <c r="E53" s="1539">
        <f t="shared" si="2"/>
        <v>0</v>
      </c>
      <c r="F53" s="1934">
        <f t="shared" si="1"/>
        <v>0</v>
      </c>
      <c r="G53" s="1792">
        <f t="shared" si="3"/>
        <v>0</v>
      </c>
    </row>
    <row r="54" spans="1:7" x14ac:dyDescent="0.25">
      <c r="A54" s="1652"/>
      <c r="B54" s="1666"/>
      <c r="C54" s="1653"/>
      <c r="D54" s="1843"/>
      <c r="E54" s="1539">
        <f t="shared" si="2"/>
        <v>0</v>
      </c>
      <c r="F54" s="1934">
        <f t="shared" si="1"/>
        <v>0</v>
      </c>
      <c r="G54" s="1792">
        <f t="shared" si="3"/>
        <v>0</v>
      </c>
    </row>
    <row r="55" spans="1:7" x14ac:dyDescent="0.25">
      <c r="A55" s="1652"/>
      <c r="B55" s="1666"/>
      <c r="C55" s="1653"/>
      <c r="D55" s="1843"/>
      <c r="E55" s="1539">
        <f t="shared" si="2"/>
        <v>0</v>
      </c>
      <c r="F55" s="1934">
        <f t="shared" si="1"/>
        <v>0</v>
      </c>
      <c r="G55" s="1792">
        <f t="shared" si="3"/>
        <v>0</v>
      </c>
    </row>
    <row r="56" spans="1:7" x14ac:dyDescent="0.25">
      <c r="A56" s="1652"/>
      <c r="B56" s="1666"/>
      <c r="C56" s="1653"/>
      <c r="D56" s="1843"/>
      <c r="E56" s="1539">
        <f t="shared" si="2"/>
        <v>0</v>
      </c>
      <c r="F56" s="1934">
        <f t="shared" si="1"/>
        <v>0</v>
      </c>
      <c r="G56" s="1792">
        <f t="shared" si="3"/>
        <v>0</v>
      </c>
    </row>
    <row r="57" spans="1:7" x14ac:dyDescent="0.25">
      <c r="A57" s="1652"/>
      <c r="B57" s="1666"/>
      <c r="C57" s="1653"/>
      <c r="D57" s="1843"/>
      <c r="E57" s="1539">
        <f t="shared" si="2"/>
        <v>0</v>
      </c>
      <c r="F57" s="1934">
        <f t="shared" si="1"/>
        <v>0</v>
      </c>
      <c r="G57" s="1792">
        <f t="shared" si="3"/>
        <v>0</v>
      </c>
    </row>
    <row r="58" spans="1:7" x14ac:dyDescent="0.25">
      <c r="A58" s="1652"/>
      <c r="B58" s="1666"/>
      <c r="C58" s="1653"/>
      <c r="D58" s="1843"/>
      <c r="E58" s="1539">
        <f t="shared" si="2"/>
        <v>0</v>
      </c>
      <c r="F58" s="1934">
        <f t="shared" si="1"/>
        <v>0</v>
      </c>
      <c r="G58" s="1792">
        <f t="shared" si="3"/>
        <v>0</v>
      </c>
    </row>
    <row r="59" spans="1:7" x14ac:dyDescent="0.25">
      <c r="A59" s="1652"/>
      <c r="B59" s="1666"/>
      <c r="C59" s="1653"/>
      <c r="D59" s="1843"/>
      <c r="E59" s="1539">
        <f t="shared" si="2"/>
        <v>0</v>
      </c>
      <c r="F59" s="1934">
        <f t="shared" si="1"/>
        <v>0</v>
      </c>
      <c r="G59" s="1792">
        <f t="shared" si="3"/>
        <v>0</v>
      </c>
    </row>
    <row r="60" spans="1:7" x14ac:dyDescent="0.25">
      <c r="A60" s="1652"/>
      <c r="B60" s="1666"/>
      <c r="C60" s="1653"/>
      <c r="D60" s="1843"/>
      <c r="E60" s="1539">
        <f t="shared" si="2"/>
        <v>0</v>
      </c>
      <c r="F60" s="1934">
        <f t="shared" si="1"/>
        <v>0</v>
      </c>
      <c r="G60" s="1792">
        <f t="shared" si="3"/>
        <v>0</v>
      </c>
    </row>
    <row r="61" spans="1:7" x14ac:dyDescent="0.25">
      <c r="A61" s="1652"/>
      <c r="B61" s="1666"/>
      <c r="C61" s="1653"/>
      <c r="D61" s="1843"/>
      <c r="E61" s="1539">
        <f t="shared" si="2"/>
        <v>0</v>
      </c>
      <c r="F61" s="1934">
        <f t="shared" si="1"/>
        <v>0</v>
      </c>
      <c r="G61" s="1792">
        <f t="shared" si="3"/>
        <v>0</v>
      </c>
    </row>
    <row r="62" spans="1:7" x14ac:dyDescent="0.25">
      <c r="A62" s="1652"/>
      <c r="B62" s="1666"/>
      <c r="C62" s="1653"/>
      <c r="D62" s="1843"/>
      <c r="E62" s="1539">
        <f t="shared" si="2"/>
        <v>0</v>
      </c>
      <c r="F62" s="1934">
        <f t="shared" si="1"/>
        <v>0</v>
      </c>
      <c r="G62" s="1792">
        <f t="shared" si="3"/>
        <v>0</v>
      </c>
    </row>
    <row r="63" spans="1:7" x14ac:dyDescent="0.25">
      <c r="A63" s="1652"/>
      <c r="B63" s="1666"/>
      <c r="C63" s="1653"/>
      <c r="D63" s="1843"/>
      <c r="E63" s="1539">
        <f t="shared" si="2"/>
        <v>0</v>
      </c>
      <c r="F63" s="1934">
        <f t="shared" si="1"/>
        <v>0</v>
      </c>
      <c r="G63" s="1792">
        <f t="shared" si="3"/>
        <v>0</v>
      </c>
    </row>
    <row r="64" spans="1:7" x14ac:dyDescent="0.25">
      <c r="A64" s="1652"/>
      <c r="B64" s="1666"/>
      <c r="C64" s="1653"/>
      <c r="D64" s="1843"/>
      <c r="E64" s="1539">
        <f t="shared" si="2"/>
        <v>0</v>
      </c>
      <c r="F64" s="1934">
        <f t="shared" si="1"/>
        <v>0</v>
      </c>
      <c r="G64" s="1792">
        <f t="shared" si="3"/>
        <v>0</v>
      </c>
    </row>
    <row r="65" spans="1:7" x14ac:dyDescent="0.25">
      <c r="A65" s="1654"/>
      <c r="B65" s="1666"/>
      <c r="C65" s="1655"/>
      <c r="D65" s="1843"/>
      <c r="E65" s="1539">
        <f t="shared" si="2"/>
        <v>0</v>
      </c>
      <c r="F65" s="1934">
        <f t="shared" si="1"/>
        <v>0</v>
      </c>
      <c r="G65" s="1792">
        <f t="shared" si="3"/>
        <v>0</v>
      </c>
    </row>
    <row r="66" spans="1:7" x14ac:dyDescent="0.25">
      <c r="A66" s="1652"/>
      <c r="B66" s="1666"/>
      <c r="C66" s="1653"/>
      <c r="D66" s="1843"/>
      <c r="E66" s="1539">
        <f t="shared" si="2"/>
        <v>0</v>
      </c>
      <c r="F66" s="1934">
        <f t="shared" si="1"/>
        <v>0</v>
      </c>
      <c r="G66" s="1792">
        <f t="shared" si="3"/>
        <v>0</v>
      </c>
    </row>
    <row r="67" spans="1:7" x14ac:dyDescent="0.25">
      <c r="A67" s="1652"/>
      <c r="B67" s="1666"/>
      <c r="C67" s="1653"/>
      <c r="D67" s="1843"/>
      <c r="E67" s="1539">
        <f t="shared" si="2"/>
        <v>0</v>
      </c>
      <c r="F67" s="1934">
        <f t="shared" si="1"/>
        <v>0</v>
      </c>
      <c r="G67" s="1792">
        <f t="shared" si="3"/>
        <v>0</v>
      </c>
    </row>
    <row r="68" spans="1:7" x14ac:dyDescent="0.25">
      <c r="A68" s="1652"/>
      <c r="B68" s="1666"/>
      <c r="C68" s="1653"/>
      <c r="D68" s="1843"/>
      <c r="E68" s="1539">
        <f t="shared" si="2"/>
        <v>0</v>
      </c>
      <c r="F68" s="1934">
        <f t="shared" si="1"/>
        <v>0</v>
      </c>
      <c r="G68" s="1792">
        <f t="shared" si="3"/>
        <v>0</v>
      </c>
    </row>
    <row r="69" spans="1:7" x14ac:dyDescent="0.25">
      <c r="A69" s="1652"/>
      <c r="B69" s="1666"/>
      <c r="C69" s="1653"/>
      <c r="D69" s="1843"/>
      <c r="E69" s="1539">
        <f t="shared" si="2"/>
        <v>0</v>
      </c>
      <c r="F69" s="1934">
        <f t="shared" si="1"/>
        <v>0</v>
      </c>
      <c r="G69" s="1792">
        <f t="shared" si="3"/>
        <v>0</v>
      </c>
    </row>
    <row r="70" spans="1:7" x14ac:dyDescent="0.25">
      <c r="A70" s="1652"/>
      <c r="B70" s="1666"/>
      <c r="C70" s="1653"/>
      <c r="D70" s="1843"/>
      <c r="E70" s="1539">
        <f t="shared" si="2"/>
        <v>0</v>
      </c>
      <c r="F70" s="1934">
        <f t="shared" si="1"/>
        <v>0</v>
      </c>
      <c r="G70" s="1792">
        <f t="shared" si="3"/>
        <v>0</v>
      </c>
    </row>
    <row r="71" spans="1:7" x14ac:dyDescent="0.25">
      <c r="A71" s="1652"/>
      <c r="B71" s="1666"/>
      <c r="C71" s="1653"/>
      <c r="D71" s="1843"/>
      <c r="E71" s="1539">
        <f t="shared" si="2"/>
        <v>0</v>
      </c>
      <c r="F71" s="1934">
        <f t="shared" si="1"/>
        <v>0</v>
      </c>
      <c r="G71" s="1792">
        <f t="shared" si="3"/>
        <v>0</v>
      </c>
    </row>
    <row r="72" spans="1:7" x14ac:dyDescent="0.25">
      <c r="A72" s="1652"/>
      <c r="B72" s="1666"/>
      <c r="C72" s="1653"/>
      <c r="D72" s="1843"/>
      <c r="E72" s="1539">
        <f t="shared" si="2"/>
        <v>0</v>
      </c>
      <c r="F72" s="1934">
        <f t="shared" si="1"/>
        <v>0</v>
      </c>
      <c r="G72" s="1792">
        <f t="shared" si="3"/>
        <v>0</v>
      </c>
    </row>
    <row r="73" spans="1:7" x14ac:dyDescent="0.25">
      <c r="A73" s="1652"/>
      <c r="B73" s="1666"/>
      <c r="C73" s="1653"/>
      <c r="D73" s="1843"/>
      <c r="E73" s="1539">
        <f t="shared" si="2"/>
        <v>0</v>
      </c>
      <c r="F73" s="1934">
        <f t="shared" si="1"/>
        <v>0</v>
      </c>
      <c r="G73" s="1792">
        <f t="shared" si="3"/>
        <v>0</v>
      </c>
    </row>
    <row r="74" spans="1:7" x14ac:dyDescent="0.25">
      <c r="A74" s="1652"/>
      <c r="B74" s="1666"/>
      <c r="C74" s="1653"/>
      <c r="D74" s="1843"/>
      <c r="E74" s="1539">
        <f t="shared" ref="E74:E85" si="4">IF(D74&lt;=25000,D74,IF(D74&gt;25000,25000,0))</f>
        <v>0</v>
      </c>
      <c r="F74" s="1934">
        <f t="shared" si="1"/>
        <v>0</v>
      </c>
      <c r="G74" s="1792">
        <f t="shared" ref="G74:G85" si="5">IF(F74=0,0,D74-F74)</f>
        <v>0</v>
      </c>
    </row>
    <row r="75" spans="1:7" x14ac:dyDescent="0.25">
      <c r="A75" s="1652"/>
      <c r="B75" s="1666"/>
      <c r="C75" s="1653"/>
      <c r="D75" s="1843"/>
      <c r="E75" s="1539">
        <f t="shared" si="4"/>
        <v>0</v>
      </c>
      <c r="F75" s="1934">
        <f t="shared" si="1"/>
        <v>0</v>
      </c>
      <c r="G75" s="1792">
        <f t="shared" si="5"/>
        <v>0</v>
      </c>
    </row>
    <row r="76" spans="1:7" x14ac:dyDescent="0.25">
      <c r="A76" s="1652"/>
      <c r="B76" s="1666"/>
      <c r="C76" s="1653"/>
      <c r="D76" s="1843"/>
      <c r="E76" s="1539">
        <f t="shared" si="4"/>
        <v>0</v>
      </c>
      <c r="F76" s="1934">
        <f t="shared" si="1"/>
        <v>0</v>
      </c>
      <c r="G76" s="1792">
        <f t="shared" si="5"/>
        <v>0</v>
      </c>
    </row>
    <row r="77" spans="1:7" x14ac:dyDescent="0.25">
      <c r="A77" s="1652"/>
      <c r="B77" s="1666"/>
      <c r="C77" s="1653"/>
      <c r="D77" s="1843"/>
      <c r="E77" s="1539">
        <f t="shared" si="4"/>
        <v>0</v>
      </c>
      <c r="F77" s="1934">
        <f t="shared" si="1"/>
        <v>0</v>
      </c>
      <c r="G77" s="1792">
        <f t="shared" si="5"/>
        <v>0</v>
      </c>
    </row>
    <row r="78" spans="1:7" x14ac:dyDescent="0.25">
      <c r="A78" s="1652"/>
      <c r="B78" s="1666"/>
      <c r="C78" s="1653"/>
      <c r="D78" s="1843"/>
      <c r="E78" s="1539">
        <f t="shared" si="4"/>
        <v>0</v>
      </c>
      <c r="F78" s="1934">
        <f t="shared" si="1"/>
        <v>0</v>
      </c>
      <c r="G78" s="1792">
        <f t="shared" si="5"/>
        <v>0</v>
      </c>
    </row>
    <row r="79" spans="1:7" x14ac:dyDescent="0.25">
      <c r="A79" s="1652"/>
      <c r="B79" s="1666"/>
      <c r="C79" s="1653"/>
      <c r="D79" s="1843"/>
      <c r="E79" s="1539">
        <f t="shared" si="4"/>
        <v>0</v>
      </c>
      <c r="F79" s="1934">
        <f t="shared" si="1"/>
        <v>0</v>
      </c>
      <c r="G79" s="1792">
        <f t="shared" si="5"/>
        <v>0</v>
      </c>
    </row>
    <row r="80" spans="1:7" x14ac:dyDescent="0.25">
      <c r="A80" s="1652"/>
      <c r="B80" s="1666"/>
      <c r="C80" s="1653"/>
      <c r="D80" s="1843"/>
      <c r="E80" s="1539">
        <f t="shared" si="4"/>
        <v>0</v>
      </c>
      <c r="F80" s="1934">
        <f t="shared" si="1"/>
        <v>0</v>
      </c>
      <c r="G80" s="1792">
        <f t="shared" si="5"/>
        <v>0</v>
      </c>
    </row>
    <row r="81" spans="1:7" x14ac:dyDescent="0.25">
      <c r="A81" s="1652"/>
      <c r="B81" s="1666"/>
      <c r="C81" s="1653"/>
      <c r="D81" s="1843"/>
      <c r="E81" s="1539">
        <f t="shared" si="4"/>
        <v>0</v>
      </c>
      <c r="F81" s="1934">
        <f t="shared" si="1"/>
        <v>0</v>
      </c>
      <c r="G81" s="1792">
        <f t="shared" si="5"/>
        <v>0</v>
      </c>
    </row>
    <row r="82" spans="1:7" x14ac:dyDescent="0.25">
      <c r="A82" s="1652"/>
      <c r="B82" s="1666"/>
      <c r="C82" s="1653"/>
      <c r="D82" s="1843"/>
      <c r="E82" s="1539">
        <f t="shared" si="4"/>
        <v>0</v>
      </c>
      <c r="F82" s="1934">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2">
        <f t="shared" si="5"/>
        <v>0</v>
      </c>
    </row>
    <row r="83" spans="1:7" x14ac:dyDescent="0.25">
      <c r="A83" s="1652"/>
      <c r="B83" s="1666"/>
      <c r="C83" s="1653"/>
      <c r="D83" s="1843"/>
      <c r="E83" s="1539">
        <f t="shared" si="4"/>
        <v>0</v>
      </c>
      <c r="F83" s="1934">
        <f t="shared" si="6"/>
        <v>0</v>
      </c>
      <c r="G83" s="1792">
        <f t="shared" si="5"/>
        <v>0</v>
      </c>
    </row>
    <row r="84" spans="1:7" x14ac:dyDescent="0.25">
      <c r="A84" s="1652"/>
      <c r="B84" s="1666"/>
      <c r="C84" s="1653"/>
      <c r="D84" s="1843"/>
      <c r="E84" s="1539">
        <f t="shared" si="4"/>
        <v>0</v>
      </c>
      <c r="F84" s="1934">
        <f t="shared" si="6"/>
        <v>0</v>
      </c>
      <c r="G84" s="1792">
        <f t="shared" si="5"/>
        <v>0</v>
      </c>
    </row>
    <row r="85" spans="1:7" x14ac:dyDescent="0.25">
      <c r="A85" s="1652"/>
      <c r="B85" s="1666"/>
      <c r="C85" s="1653"/>
      <c r="D85" s="1843"/>
      <c r="E85" s="1539">
        <f t="shared" si="4"/>
        <v>0</v>
      </c>
      <c r="F85" s="1934">
        <f t="shared" si="6"/>
        <v>0</v>
      </c>
      <c r="G85" s="1792">
        <f t="shared" si="5"/>
        <v>0</v>
      </c>
    </row>
    <row r="86" spans="1:7" x14ac:dyDescent="0.25">
      <c r="A86" s="1652"/>
      <c r="B86" s="1666"/>
      <c r="C86" s="1653"/>
      <c r="D86" s="1843"/>
      <c r="E86" s="1539">
        <f t="shared" si="2"/>
        <v>0</v>
      </c>
      <c r="F86" s="1934">
        <f t="shared" si="6"/>
        <v>0</v>
      </c>
      <c r="G86" s="1792">
        <f t="shared" si="3"/>
        <v>0</v>
      </c>
    </row>
    <row r="87" spans="1:7" x14ac:dyDescent="0.25">
      <c r="A87" s="1652"/>
      <c r="B87" s="1666"/>
      <c r="C87" s="1653"/>
      <c r="D87" s="1843"/>
      <c r="E87" s="1539">
        <f t="shared" si="2"/>
        <v>0</v>
      </c>
      <c r="F87" s="1934">
        <f t="shared" si="6"/>
        <v>0</v>
      </c>
      <c r="G87" s="1792">
        <f t="shared" si="3"/>
        <v>0</v>
      </c>
    </row>
    <row r="88" spans="1:7" x14ac:dyDescent="0.25">
      <c r="A88" s="1652"/>
      <c r="B88" s="1666"/>
      <c r="C88" s="1653"/>
      <c r="D88" s="1843"/>
      <c r="E88" s="1539">
        <f t="shared" si="2"/>
        <v>0</v>
      </c>
      <c r="F88" s="1934">
        <f t="shared" si="6"/>
        <v>0</v>
      </c>
      <c r="G88" s="1792">
        <f t="shared" si="3"/>
        <v>0</v>
      </c>
    </row>
    <row r="89" spans="1:7" x14ac:dyDescent="0.25">
      <c r="A89" s="1652"/>
      <c r="B89" s="1666"/>
      <c r="C89" s="1653"/>
      <c r="D89" s="1843"/>
      <c r="E89" s="1539">
        <f t="shared" si="2"/>
        <v>0</v>
      </c>
      <c r="F89" s="1934">
        <f t="shared" si="6"/>
        <v>0</v>
      </c>
      <c r="G89" s="1792">
        <f t="shared" si="3"/>
        <v>0</v>
      </c>
    </row>
    <row r="90" spans="1:7" x14ac:dyDescent="0.25">
      <c r="A90" s="1652"/>
      <c r="B90" s="1666"/>
      <c r="C90" s="1653"/>
      <c r="D90" s="1843"/>
      <c r="E90" s="1539">
        <f t="shared" si="2"/>
        <v>0</v>
      </c>
      <c r="F90" s="1934">
        <f t="shared" si="6"/>
        <v>0</v>
      </c>
      <c r="G90" s="1792">
        <f t="shared" si="3"/>
        <v>0</v>
      </c>
    </row>
    <row r="91" spans="1:7" x14ac:dyDescent="0.25">
      <c r="A91" s="1652"/>
      <c r="B91" s="1666"/>
      <c r="C91" s="1653"/>
      <c r="D91" s="1843"/>
      <c r="E91" s="1539">
        <f t="shared" si="2"/>
        <v>0</v>
      </c>
      <c r="F91" s="1934">
        <f t="shared" si="6"/>
        <v>0</v>
      </c>
      <c r="G91" s="1792">
        <f t="shared" si="3"/>
        <v>0</v>
      </c>
    </row>
    <row r="92" spans="1:7" x14ac:dyDescent="0.25">
      <c r="A92" s="1652"/>
      <c r="B92" s="1666"/>
      <c r="C92" s="1653"/>
      <c r="D92" s="1843"/>
      <c r="E92" s="1539">
        <f t="shared" si="2"/>
        <v>0</v>
      </c>
      <c r="F92" s="1934">
        <f t="shared" si="6"/>
        <v>0</v>
      </c>
      <c r="G92" s="1792">
        <f t="shared" si="3"/>
        <v>0</v>
      </c>
    </row>
    <row r="93" spans="1:7" x14ac:dyDescent="0.25">
      <c r="A93" s="1652"/>
      <c r="B93" s="1666"/>
      <c r="C93" s="1653"/>
      <c r="D93" s="1843"/>
      <c r="E93" s="1539">
        <f t="shared" si="2"/>
        <v>0</v>
      </c>
      <c r="F93" s="1934">
        <f t="shared" si="6"/>
        <v>0</v>
      </c>
      <c r="G93" s="1792">
        <f t="shared" si="3"/>
        <v>0</v>
      </c>
    </row>
    <row r="94" spans="1:7" x14ac:dyDescent="0.25">
      <c r="A94" s="1652"/>
      <c r="B94" s="1666"/>
      <c r="C94" s="1653"/>
      <c r="D94" s="1843"/>
      <c r="E94" s="1539">
        <f t="shared" ref="E94" si="7">IF(D94&lt;=25000,D94,IF(D94&gt;25000,25000,0))</f>
        <v>0</v>
      </c>
      <c r="F94" s="1934">
        <f t="shared" si="6"/>
        <v>0</v>
      </c>
      <c r="G94" s="1792">
        <f t="shared" ref="G94" si="8">IF(F94=0,0,D94-F94)</f>
        <v>0</v>
      </c>
    </row>
    <row r="95" spans="1:7" x14ac:dyDescent="0.25">
      <c r="A95" s="1652"/>
      <c r="B95" s="1666"/>
      <c r="C95" s="1653"/>
      <c r="D95" s="1843"/>
      <c r="E95" s="1539">
        <f t="shared" si="2"/>
        <v>0</v>
      </c>
      <c r="F95" s="1934">
        <f t="shared" si="6"/>
        <v>0</v>
      </c>
      <c r="G95" s="1792">
        <f t="shared" si="3"/>
        <v>0</v>
      </c>
    </row>
    <row r="96" spans="1:7" x14ac:dyDescent="0.25">
      <c r="A96" s="1652"/>
      <c r="B96" s="1666"/>
      <c r="C96" s="1653"/>
      <c r="D96" s="1843"/>
      <c r="E96" s="1539">
        <f t="shared" ref="E96:E99" si="9">IF(D96&lt;=25000,D96,IF(D96&gt;25000,25000,0))</f>
        <v>0</v>
      </c>
      <c r="F96" s="1934">
        <f t="shared" si="6"/>
        <v>0</v>
      </c>
      <c r="G96" s="1792">
        <f t="shared" ref="G96:G99" si="10">IF(F96=0,0,D96-F96)</f>
        <v>0</v>
      </c>
    </row>
    <row r="97" spans="1:7" x14ac:dyDescent="0.25">
      <c r="A97" s="1652"/>
      <c r="B97" s="1666"/>
      <c r="C97" s="1653"/>
      <c r="D97" s="1843"/>
      <c r="E97" s="1539">
        <f t="shared" si="9"/>
        <v>0</v>
      </c>
      <c r="F97" s="1934">
        <f t="shared" si="6"/>
        <v>0</v>
      </c>
      <c r="G97" s="1792">
        <f t="shared" si="10"/>
        <v>0</v>
      </c>
    </row>
    <row r="98" spans="1:7" x14ac:dyDescent="0.25">
      <c r="A98" s="1652"/>
      <c r="B98" s="1666"/>
      <c r="C98" s="1653"/>
      <c r="D98" s="1843"/>
      <c r="E98" s="1539">
        <f t="shared" si="9"/>
        <v>0</v>
      </c>
      <c r="F98" s="1934">
        <f t="shared" si="6"/>
        <v>0</v>
      </c>
      <c r="G98" s="1792">
        <f t="shared" si="10"/>
        <v>0</v>
      </c>
    </row>
    <row r="99" spans="1:7" x14ac:dyDescent="0.25">
      <c r="A99" s="1652"/>
      <c r="B99" s="1666"/>
      <c r="C99" s="1653"/>
      <c r="D99" s="1843"/>
      <c r="E99" s="1539">
        <f t="shared" si="9"/>
        <v>0</v>
      </c>
      <c r="F99" s="1934">
        <f t="shared" si="6"/>
        <v>0</v>
      </c>
      <c r="G99" s="1792">
        <f t="shared" si="10"/>
        <v>0</v>
      </c>
    </row>
    <row r="100" spans="1:7" x14ac:dyDescent="0.25">
      <c r="A100" s="1652"/>
      <c r="B100" s="1666"/>
      <c r="C100" s="1653"/>
      <c r="D100" s="1843"/>
      <c r="E100" s="1539">
        <f t="shared" ref="E100" si="11">IF(D100&lt;=25000,D100,IF(D100&gt;25000,25000,0))</f>
        <v>0</v>
      </c>
      <c r="F100" s="1934">
        <f t="shared" si="6"/>
        <v>0</v>
      </c>
      <c r="G100" s="1792">
        <f t="shared" ref="G100" si="12">IF(F100=0,0,D100-F100)</f>
        <v>0</v>
      </c>
    </row>
    <row r="101" spans="1:7" x14ac:dyDescent="0.25">
      <c r="A101" s="1652"/>
      <c r="B101" s="1666"/>
      <c r="C101" s="1653"/>
      <c r="D101" s="1843"/>
      <c r="E101" s="1539">
        <f t="shared" ref="E101:E113" si="13">IF(D101&lt;=25000,D101,IF(D101&gt;25000,25000,0))</f>
        <v>0</v>
      </c>
      <c r="F101" s="1934">
        <f t="shared" si="6"/>
        <v>0</v>
      </c>
      <c r="G101" s="1792">
        <f t="shared" ref="G101:G113" si="14">IF(F101=0,0,D101-F101)</f>
        <v>0</v>
      </c>
    </row>
    <row r="102" spans="1:7" x14ac:dyDescent="0.25">
      <c r="A102" s="1652"/>
      <c r="B102" s="1666"/>
      <c r="C102" s="1653"/>
      <c r="D102" s="1843"/>
      <c r="E102" s="1539">
        <f t="shared" si="13"/>
        <v>0</v>
      </c>
      <c r="F102" s="1934">
        <f t="shared" si="6"/>
        <v>0</v>
      </c>
      <c r="G102" s="1792">
        <f t="shared" si="14"/>
        <v>0</v>
      </c>
    </row>
    <row r="103" spans="1:7" x14ac:dyDescent="0.25">
      <c r="A103" s="1652"/>
      <c r="B103" s="1666"/>
      <c r="C103" s="1653"/>
      <c r="D103" s="1843"/>
      <c r="E103" s="1539">
        <f t="shared" si="13"/>
        <v>0</v>
      </c>
      <c r="F103" s="1934">
        <f t="shared" si="6"/>
        <v>0</v>
      </c>
      <c r="G103" s="1792">
        <f t="shared" si="14"/>
        <v>0</v>
      </c>
    </row>
    <row r="104" spans="1:7" x14ac:dyDescent="0.25">
      <c r="A104" s="1652"/>
      <c r="B104" s="1666"/>
      <c r="C104" s="1653"/>
      <c r="D104" s="1843"/>
      <c r="E104" s="1539">
        <f t="shared" si="13"/>
        <v>0</v>
      </c>
      <c r="F104" s="1934">
        <f t="shared" si="6"/>
        <v>0</v>
      </c>
      <c r="G104" s="1792">
        <f t="shared" si="14"/>
        <v>0</v>
      </c>
    </row>
    <row r="105" spans="1:7" x14ac:dyDescent="0.25">
      <c r="A105" s="1652"/>
      <c r="B105" s="1666"/>
      <c r="C105" s="1653"/>
      <c r="D105" s="1843"/>
      <c r="E105" s="1539">
        <f t="shared" si="13"/>
        <v>0</v>
      </c>
      <c r="F105" s="1934">
        <f t="shared" si="6"/>
        <v>0</v>
      </c>
      <c r="G105" s="1792">
        <f t="shared" si="14"/>
        <v>0</v>
      </c>
    </row>
    <row r="106" spans="1:7" x14ac:dyDescent="0.25">
      <c r="A106" s="1652"/>
      <c r="B106" s="1666"/>
      <c r="C106" s="1653"/>
      <c r="D106" s="1843"/>
      <c r="E106" s="1539">
        <f t="shared" si="13"/>
        <v>0</v>
      </c>
      <c r="F106" s="1934">
        <f t="shared" si="6"/>
        <v>0</v>
      </c>
      <c r="G106" s="1792">
        <f t="shared" si="14"/>
        <v>0</v>
      </c>
    </row>
    <row r="107" spans="1:7" x14ac:dyDescent="0.25">
      <c r="A107" s="1652"/>
      <c r="B107" s="1666"/>
      <c r="C107" s="1653"/>
      <c r="D107" s="1843"/>
      <c r="E107" s="1539">
        <f t="shared" si="13"/>
        <v>0</v>
      </c>
      <c r="F107" s="1934">
        <f t="shared" si="6"/>
        <v>0</v>
      </c>
      <c r="G107" s="1792">
        <f t="shared" si="14"/>
        <v>0</v>
      </c>
    </row>
    <row r="108" spans="1:7" x14ac:dyDescent="0.25">
      <c r="A108" s="1652"/>
      <c r="B108" s="1666"/>
      <c r="C108" s="1653"/>
      <c r="D108" s="1843"/>
      <c r="E108" s="1539">
        <f t="shared" si="13"/>
        <v>0</v>
      </c>
      <c r="F108" s="1934">
        <f t="shared" si="6"/>
        <v>0</v>
      </c>
      <c r="G108" s="1792">
        <f t="shared" si="14"/>
        <v>0</v>
      </c>
    </row>
    <row r="109" spans="1:7" x14ac:dyDescent="0.25">
      <c r="A109" s="1652"/>
      <c r="B109" s="1666"/>
      <c r="C109" s="1653"/>
      <c r="D109" s="1843"/>
      <c r="E109" s="1539">
        <f t="shared" si="13"/>
        <v>0</v>
      </c>
      <c r="F109" s="1934">
        <f t="shared" si="6"/>
        <v>0</v>
      </c>
      <c r="G109" s="1792">
        <f t="shared" si="14"/>
        <v>0</v>
      </c>
    </row>
    <row r="110" spans="1:7" x14ac:dyDescent="0.25">
      <c r="A110" s="1652"/>
      <c r="B110" s="1666"/>
      <c r="C110" s="1653"/>
      <c r="D110" s="1843"/>
      <c r="E110" s="1539">
        <f t="shared" si="13"/>
        <v>0</v>
      </c>
      <c r="F110" s="1934">
        <f t="shared" si="6"/>
        <v>0</v>
      </c>
      <c r="G110" s="1792">
        <f t="shared" si="14"/>
        <v>0</v>
      </c>
    </row>
    <row r="111" spans="1:7" x14ac:dyDescent="0.25">
      <c r="A111" s="1652"/>
      <c r="B111" s="1666"/>
      <c r="C111" s="1653"/>
      <c r="D111" s="1843"/>
      <c r="E111" s="1539">
        <f t="shared" si="13"/>
        <v>0</v>
      </c>
      <c r="F111" s="1934">
        <f t="shared" si="6"/>
        <v>0</v>
      </c>
      <c r="G111" s="1792">
        <f t="shared" si="14"/>
        <v>0</v>
      </c>
    </row>
    <row r="112" spans="1:7" x14ac:dyDescent="0.25">
      <c r="A112" s="1652"/>
      <c r="B112" s="1666"/>
      <c r="C112" s="1653"/>
      <c r="D112" s="1843"/>
      <c r="E112" s="1539">
        <f t="shared" si="13"/>
        <v>0</v>
      </c>
      <c r="F112" s="1934">
        <f t="shared" si="6"/>
        <v>0</v>
      </c>
      <c r="G112" s="1792">
        <f t="shared" si="14"/>
        <v>0</v>
      </c>
    </row>
    <row r="113" spans="1:7" x14ac:dyDescent="0.25">
      <c r="A113" s="1652"/>
      <c r="B113" s="1666"/>
      <c r="C113" s="1653"/>
      <c r="D113" s="1843"/>
      <c r="E113" s="1539">
        <f t="shared" si="13"/>
        <v>0</v>
      </c>
      <c r="F113" s="1934">
        <f t="shared" si="6"/>
        <v>0</v>
      </c>
      <c r="G113" s="1792">
        <f t="shared" si="14"/>
        <v>0</v>
      </c>
    </row>
    <row r="114" spans="1:7" x14ac:dyDescent="0.25">
      <c r="A114" s="1652"/>
      <c r="B114" s="1666"/>
      <c r="C114" s="1653"/>
      <c r="D114" s="1843"/>
      <c r="E114" s="1539">
        <f t="shared" ref="E114:E126" si="15">IF(D114&lt;=25000,D114,IF(D114&gt;25000,25000,0))</f>
        <v>0</v>
      </c>
      <c r="F114" s="1934">
        <f t="shared" si="6"/>
        <v>0</v>
      </c>
      <c r="G114" s="1792">
        <f t="shared" ref="G114:G126" si="16">IF(F114=0,0,D114-F114)</f>
        <v>0</v>
      </c>
    </row>
    <row r="115" spans="1:7" x14ac:dyDescent="0.25">
      <c r="A115" s="1652"/>
      <c r="B115" s="1666"/>
      <c r="C115" s="1653"/>
      <c r="D115" s="1843"/>
      <c r="E115" s="1539">
        <f t="shared" si="15"/>
        <v>0</v>
      </c>
      <c r="F115" s="1934">
        <f t="shared" si="6"/>
        <v>0</v>
      </c>
      <c r="G115" s="1792">
        <f t="shared" si="16"/>
        <v>0</v>
      </c>
    </row>
    <row r="116" spans="1:7" x14ac:dyDescent="0.25">
      <c r="A116" s="1652"/>
      <c r="B116" s="1666"/>
      <c r="C116" s="1653"/>
      <c r="D116" s="1843"/>
      <c r="E116" s="1539">
        <f t="shared" si="15"/>
        <v>0</v>
      </c>
      <c r="F116" s="1934">
        <f t="shared" si="6"/>
        <v>0</v>
      </c>
      <c r="G116" s="1792">
        <f t="shared" si="16"/>
        <v>0</v>
      </c>
    </row>
    <row r="117" spans="1:7" x14ac:dyDescent="0.25">
      <c r="A117" s="1652"/>
      <c r="B117" s="1666"/>
      <c r="C117" s="1653"/>
      <c r="D117" s="1843"/>
      <c r="E117" s="1539">
        <f t="shared" si="15"/>
        <v>0</v>
      </c>
      <c r="F117" s="1934">
        <f t="shared" si="6"/>
        <v>0</v>
      </c>
      <c r="G117" s="1792">
        <f t="shared" si="16"/>
        <v>0</v>
      </c>
    </row>
    <row r="118" spans="1:7" x14ac:dyDescent="0.25">
      <c r="A118" s="1652"/>
      <c r="B118" s="1666"/>
      <c r="C118" s="1653"/>
      <c r="D118" s="1843"/>
      <c r="E118" s="1539">
        <f t="shared" si="15"/>
        <v>0</v>
      </c>
      <c r="F118" s="1934">
        <f t="shared" si="6"/>
        <v>0</v>
      </c>
      <c r="G118" s="1792">
        <f t="shared" si="16"/>
        <v>0</v>
      </c>
    </row>
    <row r="119" spans="1:7" x14ac:dyDescent="0.25">
      <c r="A119" s="1652"/>
      <c r="B119" s="1666"/>
      <c r="C119" s="1653"/>
      <c r="D119" s="1843"/>
      <c r="E119" s="1539">
        <f t="shared" si="15"/>
        <v>0</v>
      </c>
      <c r="F119" s="1934">
        <f t="shared" si="6"/>
        <v>0</v>
      </c>
      <c r="G119" s="1792">
        <f t="shared" si="16"/>
        <v>0</v>
      </c>
    </row>
    <row r="120" spans="1:7" x14ac:dyDescent="0.25">
      <c r="A120" s="1652"/>
      <c r="B120" s="1666"/>
      <c r="C120" s="1653"/>
      <c r="D120" s="1843"/>
      <c r="E120" s="1539">
        <f t="shared" si="15"/>
        <v>0</v>
      </c>
      <c r="F120" s="1934">
        <f t="shared" si="6"/>
        <v>0</v>
      </c>
      <c r="G120" s="1792">
        <f t="shared" si="16"/>
        <v>0</v>
      </c>
    </row>
    <row r="121" spans="1:7" x14ac:dyDescent="0.25">
      <c r="A121" s="1652"/>
      <c r="B121" s="1666"/>
      <c r="C121" s="1653"/>
      <c r="D121" s="1843"/>
      <c r="E121" s="1539">
        <f t="shared" si="15"/>
        <v>0</v>
      </c>
      <c r="F121" s="1934">
        <f t="shared" si="6"/>
        <v>0</v>
      </c>
      <c r="G121" s="1792">
        <f t="shared" si="16"/>
        <v>0</v>
      </c>
    </row>
    <row r="122" spans="1:7" x14ac:dyDescent="0.25">
      <c r="A122" s="1652"/>
      <c r="B122" s="1666"/>
      <c r="C122" s="1653"/>
      <c r="D122" s="1843"/>
      <c r="E122" s="1539">
        <f t="shared" si="15"/>
        <v>0</v>
      </c>
      <c r="F122" s="1934">
        <f t="shared" si="6"/>
        <v>0</v>
      </c>
      <c r="G122" s="1792">
        <f t="shared" si="16"/>
        <v>0</v>
      </c>
    </row>
    <row r="123" spans="1:7" x14ac:dyDescent="0.25">
      <c r="A123" s="1652"/>
      <c r="B123" s="1666"/>
      <c r="C123" s="1653"/>
      <c r="D123" s="1843"/>
      <c r="E123" s="1539">
        <f t="shared" si="15"/>
        <v>0</v>
      </c>
      <c r="F123" s="1934">
        <f t="shared" si="6"/>
        <v>0</v>
      </c>
      <c r="G123" s="1792">
        <f t="shared" si="16"/>
        <v>0</v>
      </c>
    </row>
    <row r="124" spans="1:7" x14ac:dyDescent="0.25">
      <c r="A124" s="1652"/>
      <c r="B124" s="1666"/>
      <c r="C124" s="1653"/>
      <c r="D124" s="1843"/>
      <c r="E124" s="1539">
        <f t="shared" si="15"/>
        <v>0</v>
      </c>
      <c r="F124" s="1934">
        <f t="shared" si="6"/>
        <v>0</v>
      </c>
      <c r="G124" s="1792">
        <f t="shared" si="16"/>
        <v>0</v>
      </c>
    </row>
    <row r="125" spans="1:7" x14ac:dyDescent="0.25">
      <c r="A125" s="1652"/>
      <c r="B125" s="1666"/>
      <c r="C125" s="1653"/>
      <c r="D125" s="1843"/>
      <c r="E125" s="1539">
        <f t="shared" si="15"/>
        <v>0</v>
      </c>
      <c r="F125" s="1934">
        <f t="shared" si="6"/>
        <v>0</v>
      </c>
      <c r="G125" s="1792">
        <f t="shared" si="16"/>
        <v>0</v>
      </c>
    </row>
    <row r="126" spans="1:7" x14ac:dyDescent="0.25">
      <c r="A126" s="1652"/>
      <c r="B126" s="1666"/>
      <c r="C126" s="1653"/>
      <c r="D126" s="1843"/>
      <c r="E126" s="1539">
        <f t="shared" si="15"/>
        <v>0</v>
      </c>
      <c r="F126" s="1934">
        <f t="shared" si="6"/>
        <v>0</v>
      </c>
      <c r="G126" s="1792">
        <f t="shared" si="16"/>
        <v>0</v>
      </c>
    </row>
    <row r="127" spans="1:7" x14ac:dyDescent="0.25">
      <c r="A127" s="1652"/>
      <c r="B127" s="1666"/>
      <c r="C127" s="1653"/>
      <c r="D127" s="1843"/>
      <c r="E127" s="1539">
        <f t="shared" ref="E127:E135" si="17">IF(D127&lt;=25000,D127,IF(D127&gt;25000,25000,0))</f>
        <v>0</v>
      </c>
      <c r="F127" s="1934">
        <f t="shared" si="6"/>
        <v>0</v>
      </c>
      <c r="G127" s="1792">
        <f t="shared" ref="G127:G135" si="18">IF(F127=0,0,D127-F127)</f>
        <v>0</v>
      </c>
    </row>
    <row r="128" spans="1:7" x14ac:dyDescent="0.25">
      <c r="A128" s="1652"/>
      <c r="B128" s="1666"/>
      <c r="C128" s="1653"/>
      <c r="D128" s="1843"/>
      <c r="E128" s="1539">
        <f t="shared" si="17"/>
        <v>0</v>
      </c>
      <c r="F128" s="1934">
        <f t="shared" si="6"/>
        <v>0</v>
      </c>
      <c r="G128" s="1792">
        <f t="shared" si="18"/>
        <v>0</v>
      </c>
    </row>
    <row r="129" spans="1:7" x14ac:dyDescent="0.25">
      <c r="A129" s="1652"/>
      <c r="B129" s="1666"/>
      <c r="C129" s="1653"/>
      <c r="D129" s="1843"/>
      <c r="E129" s="1539">
        <f t="shared" si="17"/>
        <v>0</v>
      </c>
      <c r="F129" s="1934">
        <f t="shared" si="6"/>
        <v>0</v>
      </c>
      <c r="G129" s="1792">
        <f t="shared" si="18"/>
        <v>0</v>
      </c>
    </row>
    <row r="130" spans="1:7" x14ac:dyDescent="0.25">
      <c r="A130" s="1652"/>
      <c r="B130" s="1666"/>
      <c r="C130" s="1653"/>
      <c r="D130" s="1843"/>
      <c r="E130" s="1539">
        <f t="shared" si="17"/>
        <v>0</v>
      </c>
      <c r="F130" s="1934">
        <f t="shared" si="6"/>
        <v>0</v>
      </c>
      <c r="G130" s="1792">
        <f t="shared" si="18"/>
        <v>0</v>
      </c>
    </row>
    <row r="131" spans="1:7" x14ac:dyDescent="0.25">
      <c r="A131" s="1652"/>
      <c r="B131" s="1666"/>
      <c r="C131" s="1653"/>
      <c r="D131" s="1843"/>
      <c r="E131" s="1539">
        <f t="shared" si="17"/>
        <v>0</v>
      </c>
      <c r="F131" s="1934">
        <f t="shared" si="6"/>
        <v>0</v>
      </c>
      <c r="G131" s="1792">
        <f t="shared" si="18"/>
        <v>0</v>
      </c>
    </row>
    <row r="132" spans="1:7" x14ac:dyDescent="0.25">
      <c r="A132" s="1652"/>
      <c r="B132" s="1836"/>
      <c r="C132" s="1653"/>
      <c r="D132" s="1843"/>
      <c r="E132" s="1539">
        <f t="shared" si="17"/>
        <v>0</v>
      </c>
      <c r="F132" s="1934">
        <f t="shared" si="6"/>
        <v>0</v>
      </c>
      <c r="G132" s="1792">
        <f t="shared" si="18"/>
        <v>0</v>
      </c>
    </row>
    <row r="133" spans="1:7" x14ac:dyDescent="0.25">
      <c r="A133" s="1652"/>
      <c r="B133" s="1836"/>
      <c r="C133" s="1653"/>
      <c r="D133" s="1843"/>
      <c r="E133" s="1539">
        <f t="shared" si="17"/>
        <v>0</v>
      </c>
      <c r="F133" s="1934">
        <f t="shared" si="6"/>
        <v>0</v>
      </c>
      <c r="G133" s="1792">
        <f t="shared" si="18"/>
        <v>0</v>
      </c>
    </row>
    <row r="134" spans="1:7" x14ac:dyDescent="0.25">
      <c r="A134" s="1652"/>
      <c r="B134" s="1666"/>
      <c r="C134" s="1653"/>
      <c r="D134" s="1843"/>
      <c r="E134" s="1539">
        <f t="shared" si="17"/>
        <v>0</v>
      </c>
      <c r="F134" s="1934">
        <f t="shared" si="6"/>
        <v>0</v>
      </c>
      <c r="G134" s="1792">
        <f t="shared" si="18"/>
        <v>0</v>
      </c>
    </row>
    <row r="135" spans="1:7" x14ac:dyDescent="0.25">
      <c r="A135" s="1652"/>
      <c r="B135" s="1666"/>
      <c r="C135" s="1653"/>
      <c r="D135" s="1843"/>
      <c r="E135" s="1539">
        <f t="shared" si="17"/>
        <v>0</v>
      </c>
      <c r="F135" s="1934">
        <f t="shared" si="6"/>
        <v>0</v>
      </c>
      <c r="G135" s="1792">
        <f t="shared" si="18"/>
        <v>0</v>
      </c>
    </row>
    <row r="136" spans="1:7" x14ac:dyDescent="0.25">
      <c r="A136" s="1652"/>
      <c r="B136" s="1666"/>
      <c r="C136" s="1653"/>
      <c r="D136" s="1843"/>
      <c r="E136" s="1539">
        <f t="shared" ref="E136:E140" si="19">IF(D136&lt;=25000,D136,IF(D136&gt;25000,25000,0))</f>
        <v>0</v>
      </c>
      <c r="F136" s="1934">
        <f t="shared" si="6"/>
        <v>0</v>
      </c>
      <c r="G136" s="1792">
        <f t="shared" ref="G136:G140" si="20">IF(F136=0,0,D136-F136)</f>
        <v>0</v>
      </c>
    </row>
    <row r="137" spans="1:7" x14ac:dyDescent="0.25">
      <c r="A137" s="1652"/>
      <c r="B137" s="1666"/>
      <c r="C137" s="1653"/>
      <c r="D137" s="1843"/>
      <c r="E137" s="1539">
        <f t="shared" si="19"/>
        <v>0</v>
      </c>
      <c r="F137" s="1934">
        <f t="shared" si="6"/>
        <v>0</v>
      </c>
      <c r="G137" s="1792">
        <f t="shared" si="20"/>
        <v>0</v>
      </c>
    </row>
    <row r="138" spans="1:7" x14ac:dyDescent="0.25">
      <c r="A138" s="1652"/>
      <c r="B138" s="1666"/>
      <c r="C138" s="1653"/>
      <c r="D138" s="1843"/>
      <c r="E138" s="1539">
        <f t="shared" si="19"/>
        <v>0</v>
      </c>
      <c r="F138" s="1934">
        <f t="shared" si="6"/>
        <v>0</v>
      </c>
      <c r="G138" s="1792">
        <f t="shared" si="20"/>
        <v>0</v>
      </c>
    </row>
    <row r="139" spans="1:7" x14ac:dyDescent="0.25">
      <c r="A139" s="1652"/>
      <c r="B139" s="1666"/>
      <c r="C139" s="1653"/>
      <c r="D139" s="1843"/>
      <c r="E139" s="1539">
        <f t="shared" si="19"/>
        <v>0</v>
      </c>
      <c r="F139" s="1934">
        <f t="shared" si="6"/>
        <v>0</v>
      </c>
      <c r="G139" s="1792">
        <f t="shared" si="20"/>
        <v>0</v>
      </c>
    </row>
    <row r="140" spans="1:7" x14ac:dyDescent="0.25">
      <c r="A140" s="1652"/>
      <c r="B140" s="1666"/>
      <c r="C140" s="1653"/>
      <c r="D140" s="1843"/>
      <c r="E140" s="1539">
        <f t="shared" si="19"/>
        <v>0</v>
      </c>
      <c r="F140" s="1934">
        <f t="shared" si="6"/>
        <v>0</v>
      </c>
      <c r="G140" s="1792">
        <f t="shared" si="20"/>
        <v>0</v>
      </c>
    </row>
    <row r="141" spans="1:7" x14ac:dyDescent="0.25">
      <c r="A141" s="1652"/>
      <c r="B141" s="1665"/>
      <c r="C141" s="1653"/>
      <c r="D141" s="1843"/>
      <c r="E141" s="1539">
        <f t="shared" si="2"/>
        <v>0</v>
      </c>
      <c r="F141" s="1934">
        <f t="shared" si="6"/>
        <v>0</v>
      </c>
      <c r="G141" s="1792">
        <f t="shared" si="3"/>
        <v>0</v>
      </c>
    </row>
    <row r="142" spans="1:7" x14ac:dyDescent="0.25">
      <c r="A142" s="1795" t="s">
        <v>156</v>
      </c>
      <c r="B142" s="1796"/>
      <c r="C142" s="1797"/>
      <c r="D142" s="1793">
        <f>SUM(D18:D141)</f>
        <v>3319425</v>
      </c>
      <c r="E142" s="1540">
        <f t="shared" si="0"/>
        <v>25000</v>
      </c>
      <c r="F142" s="1931">
        <f>SUM(F18:F141)</f>
        <v>314298</v>
      </c>
      <c r="G142" s="1794">
        <f>SUM(G18:G141)</f>
        <v>3005127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7" colorId="8" zoomScaleNormal="100" workbookViewId="0">
      <selection activeCell="F10" sqref="F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85" t="s">
        <v>1679</v>
      </c>
      <c r="B5" s="2286"/>
      <c r="C5" s="2286"/>
      <c r="D5" s="2286"/>
      <c r="E5" s="2286"/>
      <c r="F5" s="2286"/>
      <c r="G5" s="2287"/>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1932</v>
      </c>
      <c r="B10" s="970"/>
      <c r="C10" s="975"/>
      <c r="D10" s="971"/>
      <c r="E10" s="972"/>
      <c r="F10" s="973"/>
      <c r="G10" s="974"/>
      <c r="H10" s="161"/>
      <c r="I10" s="161"/>
    </row>
    <row r="11" spans="1:9" s="667" customFormat="1" ht="22.5" customHeight="1" x14ac:dyDescent="0.2">
      <c r="A11" s="2290" t="s">
        <v>1975</v>
      </c>
      <c r="B11" s="2291"/>
      <c r="C11" s="2291"/>
      <c r="D11" s="2292"/>
      <c r="E11" s="976"/>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16761524</v>
      </c>
      <c r="F19" s="1798"/>
      <c r="G19" s="1800">
        <f>'Expenditures 15-22'!K33-SUM('Expenditures 15-22'!G33,'Expenditures 15-22'!I33)+'Expenditures 15-22'!D229</f>
        <v>16761524</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1677745</v>
      </c>
      <c r="F21" s="1801"/>
      <c r="G21" s="1804">
        <f>'Expenditures 15-22'!K42-SUM('Expenditures 15-22'!G42,'Expenditures 15-22'!I42)+'Expenditures 15-22'!K120-SUM('Expenditures 15-22'!G120,'Expenditures 15-22'!I120)+'Expenditures 15-22'!K180-SUM('Expenditures 15-22'!G180,'Expenditures 15-22'!I180)+'Expenditures 15-22'!D238</f>
        <v>1677745</v>
      </c>
      <c r="H21" s="986"/>
      <c r="I21" s="161"/>
    </row>
    <row r="22" spans="1:9" s="667" customFormat="1" ht="12" customHeight="1" x14ac:dyDescent="0.2">
      <c r="A22" s="993" t="s">
        <v>564</v>
      </c>
      <c r="B22" s="994"/>
      <c r="C22" s="992">
        <v>2200</v>
      </c>
      <c r="D22" s="1801"/>
      <c r="E22" s="1803">
        <f>'Expenditures 15-22'!K47-SUM('Expenditures 15-22'!G47,'Expenditures 15-22'!I47)+'Expenditures 15-22'!D243</f>
        <v>518303</v>
      </c>
      <c r="F22" s="1801"/>
      <c r="G22" s="1804">
        <f>'Expenditures 15-22'!K47-SUM('Expenditures 15-22'!G47,'Expenditures 15-22'!I47)+'Expenditures 15-22'!D243</f>
        <v>518303</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637450</v>
      </c>
      <c r="F23" s="1801"/>
      <c r="G23" s="1803">
        <f>'Expenditures 15-22'!K53-SUM('Expenditures 15-22'!G53,'Expenditures 15-22'!I53)+'Expenditures 15-22'!D257+'Expenditures 15-22'!K330-SUM('Expenditures 15-22'!G330,'Expenditures 15-22'!I330)</f>
        <v>637450</v>
      </c>
      <c r="H23" s="986"/>
      <c r="I23" s="161"/>
    </row>
    <row r="24" spans="1:9" s="667" customFormat="1" ht="12" customHeight="1" x14ac:dyDescent="0.2">
      <c r="A24" s="993" t="s">
        <v>566</v>
      </c>
      <c r="B24" s="994"/>
      <c r="C24" s="992">
        <v>2400</v>
      </c>
      <c r="D24" s="1801"/>
      <c r="E24" s="1803">
        <f>'Expenditures 15-22'!K57-SUM('Expenditures 15-22'!G57,'Expenditures 15-22'!I57)+'Expenditures 15-22'!D261</f>
        <v>314611</v>
      </c>
      <c r="F24" s="1801"/>
      <c r="G24" s="1804">
        <f>'Expenditures 15-22'!K57-SUM('Expenditures 15-22'!G57,'Expenditures 15-22'!I57)+'Expenditures 15-22'!D261</f>
        <v>314611</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120075</v>
      </c>
      <c r="E26" s="1803">
        <f>'Expenditures 15-22'!K122-SUM('Expenditures 15-22'!G122,'Expenditures 15-22'!I122)+E7</f>
        <v>0</v>
      </c>
      <c r="F26" s="1803">
        <f>'Expenditures 15-22'!K59-SUM('Expenditures 15-22'!G59,'Expenditures 15-22'!I59)+'Expenditures 15-22'!D263-E7</f>
        <v>120075</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233100</v>
      </c>
      <c r="E27" s="1803">
        <f>E8</f>
        <v>0</v>
      </c>
      <c r="F27" s="1803">
        <f>'Expenditures 15-22'!K60-SUM('Expenditures 15-22'!G60,'Expenditures 15-22'!I60)+'Expenditures 15-22'!D264-E8</f>
        <v>233100</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2460647</v>
      </c>
      <c r="F28" s="1805">
        <f>'Expenditures 15-22'!K61-SUM('Expenditures 15-22'!G61,'Expenditures 15-22'!I61)+'Expenditures 15-22'!K124-SUM('Expenditures 15-22'!G124,'Expenditures 15-22'!I124)+'Expenditures 15-22'!D266-E9</f>
        <v>2460647</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702659</v>
      </c>
      <c r="F29" s="1801"/>
      <c r="G29" s="1804">
        <f>'Expenditures 15-22'!K62-SUM('Expenditures 15-22'!G62,'Expenditures 15-22'!I62)+'Expenditures 15-22'!K125-SUM('Expenditures 15-22'!G125,'Expenditures 15-22'!I125)+'Expenditures 15-22'!K182-SUM('Expenditures 15-22'!G182,'Expenditures 15-22'!I182)+'Expenditures 15-22'!D267</f>
        <v>702659</v>
      </c>
      <c r="H29" s="984"/>
    </row>
    <row r="30" spans="1:9" ht="12" customHeight="1" x14ac:dyDescent="0.2">
      <c r="A30" s="993" t="s">
        <v>100</v>
      </c>
      <c r="B30" s="996"/>
      <c r="C30" s="992">
        <v>2560</v>
      </c>
      <c r="D30" s="1801"/>
      <c r="E30" s="1803">
        <f>'Expenditures 15-22'!K63-SUM('Expenditures 15-22'!G63,'Expenditures 15-22'!I63)+'Expenditures 15-22'!D268-E10</f>
        <v>336155</v>
      </c>
      <c r="F30" s="1801"/>
      <c r="G30" s="1803">
        <f>'Expenditures 15-22'!K63-SUM('Expenditures 15-22'!G63,'Expenditures 15-22'!I63)+'Expenditures 15-22'!D268-E10</f>
        <v>336155</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34728</v>
      </c>
      <c r="F34" s="1801"/>
      <c r="G34" s="1803">
        <f>'Expenditures 15-22'!K68-SUM('Expenditures 15-22'!G68,'Expenditures 15-22'!I68)+'Expenditures 15-22'!D273</f>
        <v>34728</v>
      </c>
    </row>
    <row r="35" spans="1:7" ht="12" customHeight="1" x14ac:dyDescent="0.2">
      <c r="A35" s="993" t="s">
        <v>1061</v>
      </c>
      <c r="B35" s="996"/>
      <c r="C35" s="992">
        <v>2630</v>
      </c>
      <c r="D35" s="1801"/>
      <c r="E35" s="1803">
        <f>'Expenditures 15-22'!K69-SUM('Expenditures 15-22'!G69,'Expenditures 15-22'!I69)+'Expenditures 15-22'!D274</f>
        <v>429280</v>
      </c>
      <c r="F35" s="1801"/>
      <c r="G35" s="1803">
        <f>'Expenditures 15-22'!K69-SUM('Expenditures 15-22'!G69,'Expenditures 15-22'!I69)+'Expenditures 15-22'!D274</f>
        <v>429280</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101266</v>
      </c>
      <c r="E37" s="1803">
        <f>E14</f>
        <v>0</v>
      </c>
      <c r="F37" s="1803">
        <f>'Expenditures 15-22'!K71-SUM('Expenditures 15-22'!G71,'Expenditures 15-22'!I71)+'Expenditures 15-22'!D276-E14</f>
        <v>101266</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139240</v>
      </c>
      <c r="F39" s="1801"/>
      <c r="G39" s="1803">
        <f>'Expenditures 15-22'!K75-SUM('Expenditures 15-22'!G75,'Expenditures 15-22'!I75)+'Expenditures 15-22'!K130-SUM('Expenditures 15-22'!G130,'Expenditures 15-22'!I130)+'Expenditures 15-22'!K185-SUM('Expenditures 15-22'!G185,'Expenditures 15-22'!I185)+'Expenditures 15-22'!D280</f>
        <v>139240</v>
      </c>
    </row>
    <row r="40" spans="1:7" ht="12" customHeight="1" x14ac:dyDescent="0.2">
      <c r="A40" s="989" t="s">
        <v>1823</v>
      </c>
      <c r="B40" s="990"/>
      <c r="C40" s="992"/>
      <c r="D40" s="1801"/>
      <c r="E40" s="1805">
        <f>-'Contracts Paid in CY 29'!G142</f>
        <v>-3005127</v>
      </c>
      <c r="F40" s="1801"/>
      <c r="G40" s="1805">
        <f>-'Contracts Paid in CY 29'!G142</f>
        <v>-3005127</v>
      </c>
    </row>
    <row r="41" spans="1:7" ht="12" customHeight="1" x14ac:dyDescent="0.2">
      <c r="A41" s="997" t="s">
        <v>156</v>
      </c>
      <c r="B41" s="998"/>
      <c r="C41" s="999"/>
      <c r="D41" s="1805">
        <f>SUM(D19:D39)</f>
        <v>454441</v>
      </c>
      <c r="E41" s="1805">
        <f>SUM(E19:E40)</f>
        <v>21007215</v>
      </c>
      <c r="F41" s="1805">
        <f>SUM(F19:F39)</f>
        <v>2915088</v>
      </c>
      <c r="G41" s="1805">
        <f>SUM(G19:G40)</f>
        <v>18546568</v>
      </c>
    </row>
    <row r="42" spans="1:7" x14ac:dyDescent="0.2">
      <c r="A42" s="986"/>
      <c r="B42" s="161"/>
      <c r="C42" s="1000"/>
      <c r="D42" s="2288" t="s">
        <v>522</v>
      </c>
      <c r="E42" s="2289"/>
      <c r="F42" s="1001" t="s">
        <v>523</v>
      </c>
      <c r="G42" s="1002"/>
    </row>
    <row r="43" spans="1:7" ht="12" customHeight="1" x14ac:dyDescent="0.2">
      <c r="A43" s="986"/>
      <c r="B43" s="161"/>
      <c r="C43" s="1000"/>
      <c r="D43" s="1806" t="s">
        <v>473</v>
      </c>
      <c r="E43" s="1807">
        <f>D41</f>
        <v>454441</v>
      </c>
      <c r="F43" s="1806" t="s">
        <v>473</v>
      </c>
      <c r="G43" s="1807">
        <f>F41</f>
        <v>2915088</v>
      </c>
    </row>
    <row r="44" spans="1:7" ht="12" customHeight="1" x14ac:dyDescent="0.2">
      <c r="A44" s="986"/>
      <c r="B44" s="161"/>
      <c r="C44" s="1000"/>
      <c r="D44" s="1806" t="s">
        <v>474</v>
      </c>
      <c r="E44" s="1807">
        <f>E41</f>
        <v>21007215</v>
      </c>
      <c r="F44" s="1806" t="s">
        <v>474</v>
      </c>
      <c r="G44" s="1807">
        <f>G41</f>
        <v>18546568</v>
      </c>
    </row>
    <row r="45" spans="1:7" ht="12" customHeight="1" x14ac:dyDescent="0.2">
      <c r="A45" s="986"/>
      <c r="B45" s="161"/>
      <c r="C45" s="161"/>
      <c r="D45" s="1808" t="s">
        <v>1006</v>
      </c>
      <c r="E45" s="1809">
        <f>(E43/E44)</f>
        <v>2.1632615270515392E-2</v>
      </c>
      <c r="F45" s="1808" t="s">
        <v>1006</v>
      </c>
      <c r="G45" s="1809">
        <f>(G43/G44)</f>
        <v>0.15717668088241446</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Normal="100" workbookViewId="0">
      <pane ySplit="4" topLeftCell="A13" activePane="bottomLeft" state="frozen"/>
      <selection activeCell="A47" sqref="A47"/>
      <selection pane="bottomLeft" activeCell="F34" sqref="F34"/>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7" t="s">
        <v>1379</v>
      </c>
      <c r="B1" s="2307"/>
      <c r="C1" s="2307"/>
      <c r="D1" s="2307"/>
      <c r="E1" s="2307"/>
      <c r="F1" s="2307"/>
    </row>
    <row r="2" spans="1:10" x14ac:dyDescent="0.2">
      <c r="A2" s="1886" t="s">
        <v>1911</v>
      </c>
      <c r="B2" s="1847"/>
      <c r="C2" s="1886"/>
      <c r="D2" s="1847"/>
      <c r="E2" s="1847"/>
      <c r="F2" s="1848"/>
    </row>
    <row r="3" spans="1:10" x14ac:dyDescent="0.2">
      <c r="A3" s="1886" t="s">
        <v>1976</v>
      </c>
      <c r="B3" s="1847"/>
      <c r="C3" s="1886"/>
      <c r="D3" s="1847"/>
      <c r="E3" s="1847"/>
      <c r="F3" s="1848"/>
    </row>
    <row r="4" spans="1:10" ht="3.75" customHeight="1" x14ac:dyDescent="0.2">
      <c r="A4" s="1847"/>
      <c r="B4" s="1847"/>
      <c r="C4" s="1847"/>
      <c r="D4" s="1847"/>
      <c r="E4" s="1847"/>
      <c r="F4" s="1848"/>
    </row>
    <row r="5" spans="1:10" ht="15" x14ac:dyDescent="0.25">
      <c r="A5" s="2308" t="s">
        <v>1546</v>
      </c>
      <c r="B5" s="2309"/>
      <c r="C5" s="2310"/>
      <c r="D5" s="2310"/>
      <c r="E5" s="2310"/>
      <c r="F5" s="2310"/>
    </row>
    <row r="6" spans="1:10" ht="12" customHeight="1" x14ac:dyDescent="0.25">
      <c r="A6" s="1849"/>
      <c r="B6" s="1850"/>
      <c r="C6" s="2311" t="str">
        <f>COVER!A17</f>
        <v>Riverside-Brookfield Twp SD 208</v>
      </c>
      <c r="D6" s="2311"/>
      <c r="E6" s="2311"/>
      <c r="F6" s="1851"/>
    </row>
    <row r="7" spans="1:10" ht="11.25" customHeight="1" thickBot="1" x14ac:dyDescent="0.3">
      <c r="A7" s="1849"/>
      <c r="B7" s="1850"/>
      <c r="C7" s="2312">
        <f>COVER!A13</f>
        <v>6016208017</v>
      </c>
      <c r="D7" s="2312"/>
      <c r="E7" s="2312"/>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t="s">
        <v>2065</v>
      </c>
      <c r="D12" s="1864" t="s">
        <v>2065</v>
      </c>
      <c r="E12" s="1867" t="s">
        <v>2065</v>
      </c>
      <c r="F12" s="1866" t="s">
        <v>2087</v>
      </c>
      <c r="H12" s="1877">
        <f t="shared" ref="H12:H33" si="0">IF(C12="X",5,0)</f>
        <v>5</v>
      </c>
      <c r="I12" s="1877">
        <f t="shared" ref="I12:I33" si="1">IF(D12="X",5,0)</f>
        <v>5</v>
      </c>
      <c r="J12" s="1877">
        <f t="shared" ref="J12:J33" si="2">IF(E12="X",5,0)</f>
        <v>5</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t="s">
        <v>2065</v>
      </c>
      <c r="D14" s="1864" t="s">
        <v>2065</v>
      </c>
      <c r="E14" s="1867" t="s">
        <v>2065</v>
      </c>
      <c r="F14" s="1866" t="s">
        <v>2088</v>
      </c>
      <c r="H14" s="1877">
        <f t="shared" si="0"/>
        <v>5</v>
      </c>
      <c r="I14" s="1877">
        <f t="shared" si="1"/>
        <v>5</v>
      </c>
      <c r="J14" s="1877">
        <f t="shared" si="2"/>
        <v>5</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t="s">
        <v>2065</v>
      </c>
      <c r="D16" s="1864" t="s">
        <v>2065</v>
      </c>
      <c r="E16" s="1867" t="s">
        <v>2065</v>
      </c>
      <c r="F16" s="1866" t="s">
        <v>2089</v>
      </c>
      <c r="H16" s="1877">
        <f t="shared" si="0"/>
        <v>5</v>
      </c>
      <c r="I16" s="1877">
        <f t="shared" si="1"/>
        <v>5</v>
      </c>
      <c r="J16" s="1877">
        <f t="shared" si="2"/>
        <v>5</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t="s">
        <v>2065</v>
      </c>
      <c r="D18" s="1864" t="s">
        <v>2065</v>
      </c>
      <c r="E18" s="1867" t="s">
        <v>2065</v>
      </c>
      <c r="F18" s="1866" t="s">
        <v>2087</v>
      </c>
      <c r="H18" s="1877">
        <f t="shared" si="0"/>
        <v>5</v>
      </c>
      <c r="I18" s="1877">
        <f t="shared" si="1"/>
        <v>5</v>
      </c>
      <c r="J18" s="1877">
        <f t="shared" si="2"/>
        <v>5</v>
      </c>
    </row>
    <row r="19" spans="1:12" ht="12" customHeight="1" x14ac:dyDescent="0.2">
      <c r="A19" s="1862" t="s">
        <v>1527</v>
      </c>
      <c r="B19" s="1863"/>
      <c r="C19" s="1864" t="s">
        <v>2065</v>
      </c>
      <c r="D19" s="1864" t="s">
        <v>2065</v>
      </c>
      <c r="E19" s="1867" t="s">
        <v>2065</v>
      </c>
      <c r="F19" s="1866" t="s">
        <v>2090</v>
      </c>
      <c r="H19" s="1877">
        <f t="shared" si="0"/>
        <v>5</v>
      </c>
      <c r="I19" s="1877">
        <f t="shared" si="1"/>
        <v>5</v>
      </c>
      <c r="J19" s="1877">
        <f t="shared" si="2"/>
        <v>5</v>
      </c>
    </row>
    <row r="20" spans="1:12" ht="12" customHeight="1" x14ac:dyDescent="0.2">
      <c r="A20" s="1862" t="s">
        <v>1528</v>
      </c>
      <c r="B20" s="1863"/>
      <c r="C20" s="1864" t="s">
        <v>2065</v>
      </c>
      <c r="D20" s="1864" t="s">
        <v>2065</v>
      </c>
      <c r="E20" s="1867" t="s">
        <v>2065</v>
      </c>
      <c r="F20" s="1866" t="s">
        <v>2091</v>
      </c>
      <c r="H20" s="1877">
        <f t="shared" si="0"/>
        <v>5</v>
      </c>
      <c r="I20" s="1877">
        <f t="shared" si="1"/>
        <v>5</v>
      </c>
      <c r="J20" s="1877">
        <f t="shared" si="2"/>
        <v>5</v>
      </c>
    </row>
    <row r="21" spans="1:12" ht="12" customHeight="1" x14ac:dyDescent="0.2">
      <c r="A21" s="1862" t="s">
        <v>1529</v>
      </c>
      <c r="B21" s="1863"/>
      <c r="C21" s="1864" t="s">
        <v>2065</v>
      </c>
      <c r="D21" s="1864" t="s">
        <v>2065</v>
      </c>
      <c r="E21" s="1867" t="s">
        <v>2065</v>
      </c>
      <c r="F21" s="1866" t="s">
        <v>2092</v>
      </c>
      <c r="H21" s="1877">
        <f t="shared" si="0"/>
        <v>5</v>
      </c>
      <c r="I21" s="1877">
        <f t="shared" si="1"/>
        <v>5</v>
      </c>
      <c r="J21" s="1877">
        <f t="shared" si="2"/>
        <v>5</v>
      </c>
    </row>
    <row r="22" spans="1:12" ht="12" customHeight="1" x14ac:dyDescent="0.2">
      <c r="A22" s="1862" t="s">
        <v>1530</v>
      </c>
      <c r="B22" s="1863"/>
      <c r="C22" s="1864" t="s">
        <v>2065</v>
      </c>
      <c r="D22" s="1864" t="s">
        <v>2065</v>
      </c>
      <c r="E22" s="1867" t="s">
        <v>2065</v>
      </c>
      <c r="F22" s="1866" t="s">
        <v>2087</v>
      </c>
      <c r="H22" s="1877">
        <f t="shared" si="0"/>
        <v>5</v>
      </c>
      <c r="I22" s="1877">
        <f t="shared" si="1"/>
        <v>5</v>
      </c>
      <c r="J22" s="1877">
        <f t="shared" si="2"/>
        <v>5</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2065</v>
      </c>
      <c r="D26" s="1864" t="s">
        <v>2065</v>
      </c>
      <c r="E26" s="1867" t="s">
        <v>2065</v>
      </c>
      <c r="F26" s="1866" t="s">
        <v>2093</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t="s">
        <v>2065</v>
      </c>
      <c r="D30" s="1864" t="s">
        <v>2065</v>
      </c>
      <c r="E30" s="1867" t="s">
        <v>2065</v>
      </c>
      <c r="F30" s="1866" t="s">
        <v>2094</v>
      </c>
      <c r="H30" s="1877">
        <f t="shared" si="0"/>
        <v>5</v>
      </c>
      <c r="I30" s="1877">
        <f t="shared" si="1"/>
        <v>5</v>
      </c>
      <c r="J30" s="1877">
        <f t="shared" si="2"/>
        <v>5</v>
      </c>
    </row>
    <row r="31" spans="1:12" ht="12" customHeight="1" x14ac:dyDescent="0.2">
      <c r="A31" s="1862" t="s">
        <v>1539</v>
      </c>
      <c r="B31" s="1863"/>
      <c r="C31" s="1864" t="s">
        <v>2065</v>
      </c>
      <c r="D31" s="1864" t="s">
        <v>2065</v>
      </c>
      <c r="E31" s="1867" t="s">
        <v>2065</v>
      </c>
      <c r="F31" s="1866" t="s">
        <v>2095</v>
      </c>
      <c r="H31" s="1877">
        <f t="shared" si="0"/>
        <v>5</v>
      </c>
      <c r="I31" s="1877">
        <f t="shared" si="1"/>
        <v>5</v>
      </c>
      <c r="J31" s="1877">
        <f t="shared" si="2"/>
        <v>5</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t="s">
        <v>2065</v>
      </c>
      <c r="D33" s="1864" t="s">
        <v>2065</v>
      </c>
      <c r="E33" s="1867" t="s">
        <v>2065</v>
      </c>
      <c r="F33" s="1866" t="s">
        <v>2096</v>
      </c>
      <c r="H33" s="1877">
        <f t="shared" si="0"/>
        <v>5</v>
      </c>
      <c r="I33" s="1877">
        <f t="shared" si="1"/>
        <v>5</v>
      </c>
      <c r="J33" s="1877">
        <f t="shared" si="2"/>
        <v>5</v>
      </c>
    </row>
    <row r="34" spans="1:11" ht="12" customHeight="1" x14ac:dyDescent="0.25">
      <c r="A34" s="1869"/>
      <c r="B34" s="1869"/>
      <c r="C34" s="1869"/>
      <c r="D34" s="1869"/>
      <c r="E34" s="1869"/>
      <c r="F34" s="1869"/>
      <c r="H34" s="1877">
        <f>SUM(H11:H32)</f>
        <v>55</v>
      </c>
      <c r="I34" s="1877">
        <f>SUM(I11:I32)</f>
        <v>55</v>
      </c>
      <c r="J34" s="1877">
        <f>SUM(J11:J32)</f>
        <v>55</v>
      </c>
      <c r="K34" s="1877">
        <f>SUM(H34:J34)</f>
        <v>165</v>
      </c>
    </row>
    <row r="35" spans="1:11" ht="12" customHeight="1" x14ac:dyDescent="0.2">
      <c r="A35" s="1870" t="s">
        <v>1392</v>
      </c>
      <c r="B35" s="1871"/>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72"/>
      <c r="B39" s="1872"/>
      <c r="C39" s="1872"/>
      <c r="D39" s="1872"/>
      <c r="E39" s="1872"/>
      <c r="F39" s="1872"/>
    </row>
    <row r="40" spans="1:11" s="1869" customFormat="1" ht="12" customHeight="1" x14ac:dyDescent="0.25">
      <c r="A40" s="1873" t="s">
        <v>1391</v>
      </c>
      <c r="B40" s="1874"/>
      <c r="C40" s="2302"/>
      <c r="D40" s="2302"/>
      <c r="E40" s="2302"/>
      <c r="F40" s="2303"/>
      <c r="H40" s="1878"/>
      <c r="I40" s="1878"/>
      <c r="J40" s="1878"/>
      <c r="K40" s="1878"/>
    </row>
    <row r="41" spans="1:11" s="1869" customFormat="1" ht="12" customHeight="1" x14ac:dyDescent="0.25">
      <c r="A41" s="2304"/>
      <c r="B41" s="2305"/>
      <c r="C41" s="2305"/>
      <c r="D41" s="2305"/>
      <c r="E41" s="2305"/>
      <c r="F41" s="2306"/>
      <c r="H41" s="1878"/>
      <c r="I41" s="1878"/>
      <c r="J41" s="1878"/>
      <c r="K41" s="1878"/>
    </row>
    <row r="42" spans="1:11" s="1869" customFormat="1" ht="12" customHeight="1" x14ac:dyDescent="0.25">
      <c r="A42" s="2304"/>
      <c r="B42" s="2305"/>
      <c r="C42" s="2305"/>
      <c r="D42" s="2305"/>
      <c r="E42" s="2305"/>
      <c r="F42" s="2306"/>
      <c r="H42" s="1878"/>
      <c r="I42" s="1878"/>
      <c r="J42" s="1878"/>
      <c r="K42" s="1878"/>
    </row>
    <row r="43" spans="1:11" s="1869" customFormat="1" ht="15" x14ac:dyDescent="0.25">
      <c r="A43" s="2293"/>
      <c r="B43" s="2294"/>
      <c r="C43" s="2294"/>
      <c r="D43" s="2294"/>
      <c r="E43" s="2294"/>
      <c r="F43" s="2295"/>
      <c r="H43" s="1878"/>
      <c r="I43" s="1878"/>
      <c r="J43" s="1878"/>
      <c r="K43" s="1878"/>
    </row>
    <row r="44" spans="1:11" s="1869" customFormat="1" ht="12" hidden="1" customHeight="1" x14ac:dyDescent="0.25">
      <c r="A44" s="2293"/>
      <c r="B44" s="2294"/>
      <c r="C44" s="2294"/>
      <c r="D44" s="2294"/>
      <c r="E44" s="2294"/>
      <c r="F44" s="2295"/>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9" sqref="H19"/>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20" t="str">
        <f>COVER!A17</f>
        <v>Riverside-Brookfield Twp SD 208</v>
      </c>
      <c r="J6" s="2321"/>
      <c r="Q6" s="1663"/>
    </row>
    <row r="7" spans="1:17" x14ac:dyDescent="0.2">
      <c r="A7" s="2322" t="s">
        <v>869</v>
      </c>
      <c r="B7" s="2323"/>
      <c r="C7" s="2323"/>
      <c r="D7" s="2323"/>
      <c r="E7" s="2324"/>
      <c r="F7" s="1016"/>
      <c r="G7" s="1008"/>
      <c r="H7" s="1015" t="s">
        <v>372</v>
      </c>
      <c r="I7" s="2325">
        <f>COVER!A13</f>
        <v>6016208017</v>
      </c>
      <c r="J7" s="2325"/>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1977</v>
      </c>
      <c r="F9" s="1022"/>
      <c r="G9" s="1022"/>
      <c r="H9" s="1895" t="s">
        <v>1978</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6" t="s">
        <v>481</v>
      </c>
      <c r="B11" s="2327"/>
      <c r="C11" s="2328"/>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378227</v>
      </c>
      <c r="F12" s="1038"/>
      <c r="G12" s="1810">
        <f t="shared" ref="G12:G18" si="0">SUM(E12:F12)</f>
        <v>378227</v>
      </c>
      <c r="H12" s="1039">
        <v>352310</v>
      </c>
      <c r="I12" s="1038"/>
      <c r="J12" s="1810">
        <f t="shared" ref="J12:J18" si="1">SUM(H12:I12)</f>
        <v>352310</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118725</v>
      </c>
      <c r="F15" s="1810">
        <f>'Expenditures 15-22'!K122</f>
        <v>0</v>
      </c>
      <c r="G15" s="1810">
        <f t="shared" si="0"/>
        <v>118725</v>
      </c>
      <c r="H15" s="1039">
        <v>158197</v>
      </c>
      <c r="I15" s="1039"/>
      <c r="J15" s="1810">
        <f t="shared" si="1"/>
        <v>158197</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29" t="s">
        <v>7</v>
      </c>
      <c r="C18" s="2330"/>
      <c r="D18" s="2331"/>
      <c r="E18" s="1042">
        <v>34070</v>
      </c>
      <c r="F18" s="1042"/>
      <c r="G18" s="1811">
        <f t="shared" si="0"/>
        <v>34070</v>
      </c>
      <c r="H18" s="1039">
        <v>42435</v>
      </c>
      <c r="I18" s="1039"/>
      <c r="J18" s="1810">
        <f t="shared" si="1"/>
        <v>42435</v>
      </c>
    </row>
    <row r="19" spans="1:10" ht="12.75" customHeight="1" thickBot="1" x14ac:dyDescent="0.25">
      <c r="A19" s="1034">
        <v>8</v>
      </c>
      <c r="B19" s="1043" t="s">
        <v>1161</v>
      </c>
      <c r="D19" s="1044"/>
      <c r="E19" s="1812">
        <f t="shared" ref="E19:J19" si="2">SUM(E12:E17)-E18</f>
        <v>462882</v>
      </c>
      <c r="F19" s="1812">
        <f t="shared" si="2"/>
        <v>0</v>
      </c>
      <c r="G19" s="1812">
        <f t="shared" si="2"/>
        <v>462882</v>
      </c>
      <c r="H19" s="1812">
        <f t="shared" si="2"/>
        <v>468072</v>
      </c>
      <c r="I19" s="1812">
        <f t="shared" si="2"/>
        <v>0</v>
      </c>
      <c r="J19" s="1812">
        <f t="shared" si="2"/>
        <v>468072</v>
      </c>
    </row>
    <row r="20" spans="1:10" ht="13.5" thickTop="1" x14ac:dyDescent="0.2">
      <c r="A20" s="1034">
        <v>9</v>
      </c>
      <c r="B20" s="2332" t="s">
        <v>1979</v>
      </c>
      <c r="C20" s="2332"/>
      <c r="D20" s="2333"/>
      <c r="E20" s="1045"/>
      <c r="F20" s="1045"/>
      <c r="G20" s="1045"/>
      <c r="H20" s="1045"/>
      <c r="I20" s="1045"/>
      <c r="J20" s="1813">
        <f>IF(AND(G19&gt;0,J19&gt;0),(((J19-G19)/G19)),"Enter Budget Data")</f>
        <v>1.1212360817659792E-2</v>
      </c>
    </row>
    <row r="21" spans="1:10" ht="9" customHeight="1" x14ac:dyDescent="0.2">
      <c r="B21" s="1046"/>
    </row>
    <row r="22" spans="1:10" x14ac:dyDescent="0.2">
      <c r="A22" s="1047" t="s">
        <v>133</v>
      </c>
      <c r="B22" s="1046"/>
    </row>
    <row r="23" spans="1:10" x14ac:dyDescent="0.2">
      <c r="A23" s="1010" t="s">
        <v>1980</v>
      </c>
      <c r="B23" s="1046"/>
    </row>
    <row r="24" spans="1:10" x14ac:dyDescent="0.2">
      <c r="A24" s="1010" t="s">
        <v>1993</v>
      </c>
      <c r="B24" s="1046"/>
    </row>
    <row r="25" spans="1:10" x14ac:dyDescent="0.2">
      <c r="A25" s="1048"/>
      <c r="B25" s="1046"/>
    </row>
    <row r="26" spans="1:10" ht="20.100000000000001" customHeight="1" x14ac:dyDescent="0.2">
      <c r="B26" s="1046"/>
      <c r="C26" s="2338"/>
      <c r="D26" s="2338"/>
      <c r="E26" s="1049"/>
      <c r="F26" s="2337"/>
      <c r="G26" s="2337"/>
    </row>
    <row r="27" spans="1:10" x14ac:dyDescent="0.2">
      <c r="B27" s="1046"/>
      <c r="C27" s="1050" t="s">
        <v>1033</v>
      </c>
      <c r="D27" s="1051"/>
      <c r="E27" s="1052"/>
      <c r="F27" s="2334" t="s">
        <v>1509</v>
      </c>
      <c r="G27" s="2334"/>
    </row>
    <row r="28" spans="1:10" ht="28.5" customHeight="1" x14ac:dyDescent="0.2">
      <c r="B28" s="1046"/>
      <c r="C28" s="2336"/>
      <c r="D28" s="2336"/>
      <c r="E28" s="1053"/>
      <c r="F28" s="2336"/>
      <c r="G28" s="2336"/>
    </row>
    <row r="29" spans="1:10" x14ac:dyDescent="0.2">
      <c r="B29" s="1046"/>
      <c r="C29" s="1054" t="s">
        <v>1561</v>
      </c>
      <c r="E29" s="1055"/>
      <c r="F29" s="2335" t="s">
        <v>1510</v>
      </c>
      <c r="G29" s="2335"/>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1"/>
    </row>
    <row r="36" spans="1:10" ht="13.5" customHeight="1" x14ac:dyDescent="0.2">
      <c r="B36" s="1060"/>
      <c r="C36" s="2319" t="s">
        <v>1981</v>
      </c>
      <c r="D36" s="2318"/>
      <c r="E36" s="2318"/>
      <c r="F36" s="2318"/>
      <c r="G36" s="2318"/>
      <c r="H36" s="2318"/>
      <c r="I36" s="2318"/>
      <c r="J36" s="1062"/>
    </row>
    <row r="37" spans="1:10" ht="22.5" customHeight="1" x14ac:dyDescent="0.2">
      <c r="C37" s="2318"/>
      <c r="D37" s="2318"/>
      <c r="E37" s="2318"/>
      <c r="F37" s="2318"/>
      <c r="G37" s="2318"/>
      <c r="H37" s="2318"/>
      <c r="I37" s="2318"/>
      <c r="J37" s="1062"/>
    </row>
    <row r="38" spans="1:10" ht="7.5" customHeight="1" x14ac:dyDescent="0.2">
      <c r="C38" s="1061"/>
      <c r="D38" s="1063"/>
      <c r="E38" s="1064"/>
      <c r="F38" s="1065"/>
      <c r="G38" s="1064"/>
    </row>
    <row r="39" spans="1:10" ht="13.5" customHeight="1" x14ac:dyDescent="0.2">
      <c r="B39" s="1060"/>
      <c r="C39" s="2315" t="s">
        <v>882</v>
      </c>
      <c r="D39" s="2316"/>
      <c r="E39" s="2316"/>
      <c r="F39" s="2316"/>
      <c r="G39" s="2316"/>
      <c r="H39" s="2316"/>
      <c r="I39" s="2316"/>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2097</v>
      </c>
    </row>
    <row r="6" spans="1:2" x14ac:dyDescent="0.2">
      <c r="A6" s="1067">
        <v>2</v>
      </c>
      <c r="B6" s="328" t="s">
        <v>2098</v>
      </c>
    </row>
    <row r="7" spans="1:2" x14ac:dyDescent="0.2">
      <c r="A7" s="1067">
        <v>3</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Riverside-Brookfield Twp SD 208</v>
      </c>
    </row>
    <row r="65" spans="2:2" x14ac:dyDescent="0.2">
      <c r="B65" s="1069">
        <f>COVER!A13</f>
        <v>6016208017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94"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1858</v>
      </c>
      <c r="C4" s="161" t="s">
        <v>1169</v>
      </c>
      <c r="D4" s="168" t="s">
        <v>10</v>
      </c>
      <c r="E4" s="169" t="s">
        <v>22</v>
      </c>
    </row>
    <row r="5" spans="1:5" x14ac:dyDescent="0.2">
      <c r="A5" s="167" t="s">
        <v>1860</v>
      </c>
      <c r="C5" s="161" t="s">
        <v>1169</v>
      </c>
      <c r="D5" s="168" t="s">
        <v>10</v>
      </c>
      <c r="E5" s="169" t="s">
        <v>22</v>
      </c>
    </row>
    <row r="6" spans="1:5" x14ac:dyDescent="0.2">
      <c r="A6" s="167" t="s">
        <v>1859</v>
      </c>
      <c r="C6" s="161" t="s">
        <v>1169</v>
      </c>
      <c r="D6" s="166" t="s">
        <v>11</v>
      </c>
      <c r="E6" s="169" t="s">
        <v>941</v>
      </c>
    </row>
    <row r="7" spans="1:5" x14ac:dyDescent="0.2">
      <c r="A7" s="167" t="s">
        <v>1861</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1862</v>
      </c>
      <c r="C11" s="161" t="s">
        <v>1169</v>
      </c>
      <c r="D11" s="168" t="s">
        <v>14</v>
      </c>
      <c r="E11" s="169" t="s">
        <v>1156</v>
      </c>
    </row>
    <row r="12" spans="1:5" x14ac:dyDescent="0.2">
      <c r="B12" s="168" t="s">
        <v>1863</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1864</v>
      </c>
      <c r="C15" s="161" t="s">
        <v>1169</v>
      </c>
      <c r="D15" s="168" t="s">
        <v>17</v>
      </c>
      <c r="E15" s="169" t="s">
        <v>636</v>
      </c>
    </row>
    <row r="16" spans="1:5" x14ac:dyDescent="0.2">
      <c r="A16" s="171"/>
      <c r="B16" s="161" t="s">
        <v>1865</v>
      </c>
      <c r="C16" s="161" t="s">
        <v>1169</v>
      </c>
      <c r="D16" s="168" t="s">
        <v>681</v>
      </c>
      <c r="E16" s="169" t="s">
        <v>1040</v>
      </c>
    </row>
    <row r="17" spans="1:5" x14ac:dyDescent="0.2">
      <c r="B17" s="166" t="s">
        <v>988</v>
      </c>
      <c r="C17" s="161" t="s">
        <v>1169</v>
      </c>
    </row>
    <row r="18" spans="1:5" x14ac:dyDescent="0.2">
      <c r="B18" s="166" t="s">
        <v>1871</v>
      </c>
      <c r="D18" s="168" t="s">
        <v>18</v>
      </c>
      <c r="E18" s="169" t="s">
        <v>1041</v>
      </c>
    </row>
    <row r="19" spans="1:5" x14ac:dyDescent="0.2">
      <c r="A19" s="167" t="s">
        <v>1099</v>
      </c>
      <c r="C19" s="161" t="s">
        <v>1169</v>
      </c>
      <c r="D19" s="168"/>
      <c r="E19" s="170"/>
    </row>
    <row r="20" spans="1:5" x14ac:dyDescent="0.2">
      <c r="B20" s="166" t="s">
        <v>1866</v>
      </c>
      <c r="C20" s="161" t="s">
        <v>1169</v>
      </c>
      <c r="D20" s="168" t="s">
        <v>19</v>
      </c>
      <c r="E20" s="169" t="s">
        <v>51</v>
      </c>
    </row>
    <row r="21" spans="1:5" x14ac:dyDescent="0.2">
      <c r="B21" s="166" t="s">
        <v>1867</v>
      </c>
      <c r="C21" s="161" t="s">
        <v>1169</v>
      </c>
      <c r="D21" s="168" t="s">
        <v>20</v>
      </c>
      <c r="E21" s="169" t="s">
        <v>1610</v>
      </c>
    </row>
    <row r="22" spans="1:5" x14ac:dyDescent="0.2">
      <c r="A22" s="167"/>
      <c r="B22" s="161" t="s">
        <v>1855</v>
      </c>
      <c r="C22" s="161" t="s">
        <v>1169</v>
      </c>
      <c r="D22" s="166" t="s">
        <v>1857</v>
      </c>
      <c r="E22" s="1835" t="s">
        <v>1611</v>
      </c>
    </row>
    <row r="23" spans="1:5" x14ac:dyDescent="0.2">
      <c r="A23" s="167"/>
      <c r="B23" s="161" t="s">
        <v>1856</v>
      </c>
      <c r="D23" s="166" t="s">
        <v>637</v>
      </c>
      <c r="E23" s="1835" t="s">
        <v>959</v>
      </c>
    </row>
    <row r="24" spans="1:5" x14ac:dyDescent="0.2">
      <c r="A24" s="167" t="s">
        <v>1609</v>
      </c>
      <c r="C24" s="161" t="s">
        <v>1169</v>
      </c>
      <c r="D24" s="166" t="s">
        <v>1393</v>
      </c>
      <c r="E24" s="169" t="s">
        <v>960</v>
      </c>
    </row>
    <row r="25" spans="1:5" x14ac:dyDescent="0.2">
      <c r="A25" s="167" t="s">
        <v>1868</v>
      </c>
      <c r="C25" s="161" t="s">
        <v>1169</v>
      </c>
      <c r="D25" s="168" t="s">
        <v>21</v>
      </c>
      <c r="E25" s="169" t="s">
        <v>1042</v>
      </c>
    </row>
    <row r="26" spans="1:5" x14ac:dyDescent="0.2">
      <c r="A26" s="167" t="s">
        <v>1869</v>
      </c>
      <c r="C26" s="161" t="s">
        <v>1169</v>
      </c>
      <c r="D26" s="168" t="s">
        <v>563</v>
      </c>
      <c r="E26" s="169" t="s">
        <v>1043</v>
      </c>
    </row>
    <row r="27" spans="1:5" x14ac:dyDescent="0.2">
      <c r="A27" s="167" t="s">
        <v>1870</v>
      </c>
      <c r="C27" s="161" t="s">
        <v>1169</v>
      </c>
      <c r="D27" s="168" t="s">
        <v>557</v>
      </c>
      <c r="E27" s="169" t="s">
        <v>683</v>
      </c>
    </row>
    <row r="28" spans="1:5" x14ac:dyDescent="0.2">
      <c r="A28" s="167" t="s">
        <v>1872</v>
      </c>
      <c r="D28" s="168" t="s">
        <v>684</v>
      </c>
      <c r="E28" s="169" t="s">
        <v>1366</v>
      </c>
    </row>
    <row r="29" spans="1:5" x14ac:dyDescent="0.2">
      <c r="A29" s="167" t="s">
        <v>1873</v>
      </c>
      <c r="D29" s="168" t="s">
        <v>1394</v>
      </c>
      <c r="E29" s="169" t="s">
        <v>1375</v>
      </c>
    </row>
    <row r="30" spans="1:5" x14ac:dyDescent="0.2">
      <c r="A30" s="172" t="s">
        <v>1874</v>
      </c>
      <c r="C30" s="161" t="s">
        <v>1169</v>
      </c>
      <c r="D30" s="168" t="s">
        <v>40</v>
      </c>
      <c r="E30" s="169" t="s">
        <v>982</v>
      </c>
    </row>
    <row r="31" spans="1:5" x14ac:dyDescent="0.2">
      <c r="A31" s="167" t="s">
        <v>1521</v>
      </c>
      <c r="C31" s="161" t="s">
        <v>1169</v>
      </c>
      <c r="D31" s="166"/>
      <c r="E31" s="170"/>
    </row>
    <row r="32" spans="1:5" x14ac:dyDescent="0.2">
      <c r="B32" s="166" t="s">
        <v>1875</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6" t="s">
        <v>1065</v>
      </c>
      <c r="B35" s="2056"/>
      <c r="C35" s="2056"/>
      <c r="D35" s="2056"/>
      <c r="E35" s="2056"/>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6"/>
      <c r="B43" s="175"/>
    </row>
    <row r="44" spans="1:5" x14ac:dyDescent="0.2">
      <c r="A44" s="184" t="s">
        <v>983</v>
      </c>
      <c r="B44" s="185" t="s">
        <v>1901</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8" sqref="K8"/>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39" t="s">
        <v>1685</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200025</xdr:colOff>
                <xdr:row>1</xdr:row>
                <xdr:rowOff>142875</xdr:rowOff>
              </from>
              <to>
                <xdr:col>1</xdr:col>
                <xdr:colOff>1114425</xdr:colOff>
                <xdr:row>6</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1295400</xdr:colOff>
                <xdr:row>1</xdr:row>
                <xdr:rowOff>152400</xdr:rowOff>
              </from>
              <to>
                <xdr:col>1</xdr:col>
                <xdr:colOff>2200275</xdr:colOff>
                <xdr:row>6</xdr:row>
                <xdr:rowOff>19050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3"/>
      <c r="H2" s="1073"/>
    </row>
    <row r="3" spans="1:8" ht="57" customHeight="1" x14ac:dyDescent="0.2">
      <c r="A3" s="2353" t="s">
        <v>1686</v>
      </c>
      <c r="B3" s="2354"/>
      <c r="C3" s="2354"/>
      <c r="D3" s="2354"/>
      <c r="E3" s="2354"/>
      <c r="F3" s="2355"/>
      <c r="G3" s="1073"/>
      <c r="H3" s="1073"/>
    </row>
    <row r="4" spans="1:8" ht="14.25" customHeight="1" x14ac:dyDescent="0.2">
      <c r="A4" s="2359" t="s">
        <v>1986</v>
      </c>
      <c r="B4" s="2360"/>
      <c r="C4" s="2360"/>
      <c r="D4" s="2360"/>
      <c r="E4" s="2360"/>
      <c r="F4" s="2361"/>
      <c r="G4" s="1073"/>
      <c r="H4" s="1073"/>
    </row>
    <row r="5" spans="1:8" ht="14.25" customHeight="1" x14ac:dyDescent="0.2">
      <c r="A5" s="2362" t="s">
        <v>1982</v>
      </c>
      <c r="B5" s="2363"/>
      <c r="C5" s="2363"/>
      <c r="D5" s="2363"/>
      <c r="E5" s="2363"/>
      <c r="F5" s="2364"/>
      <c r="G5" s="1073"/>
      <c r="H5" s="1073"/>
    </row>
    <row r="6" spans="1:8" s="1074" customFormat="1" ht="41.25" customHeight="1" x14ac:dyDescent="0.2">
      <c r="A6" s="2356" t="s">
        <v>1691</v>
      </c>
      <c r="B6" s="2357"/>
      <c r="C6" s="2357"/>
      <c r="D6" s="2357"/>
      <c r="E6" s="2357"/>
      <c r="F6" s="2358"/>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21746134</v>
      </c>
      <c r="C8" s="1814">
        <f>'Acct Summary 7-8'!D8</f>
        <v>2553016</v>
      </c>
      <c r="D8" s="1814">
        <f>'Acct Summary 7-8'!F8</f>
        <v>944486</v>
      </c>
      <c r="E8" s="1814">
        <f>'Acct Summary 7-8'!I8</f>
        <v>125205</v>
      </c>
      <c r="F8" s="1814">
        <f>SUM(B8:E8)</f>
        <v>25368841</v>
      </c>
    </row>
    <row r="9" spans="1:8" s="1078" customFormat="1" ht="14.25" customHeight="1" thickBot="1" x14ac:dyDescent="0.25">
      <c r="A9" s="1077" t="s">
        <v>1369</v>
      </c>
      <c r="B9" s="1815">
        <f>'Acct Summary 7-8'!C17</f>
        <v>21663518</v>
      </c>
      <c r="C9" s="1815">
        <f>'Acct Summary 7-8'!D17</f>
        <v>2548610</v>
      </c>
      <c r="D9" s="1815">
        <f>'Acct Summary 7-8'!F17</f>
        <v>717951</v>
      </c>
      <c r="E9" s="1814"/>
      <c r="F9" s="1814">
        <f>SUM(B9:E9)</f>
        <v>24930079</v>
      </c>
    </row>
    <row r="10" spans="1:8" s="1078" customFormat="1" ht="14.25" thickTop="1" thickBot="1" x14ac:dyDescent="0.25">
      <c r="A10" s="1079" t="s">
        <v>1370</v>
      </c>
      <c r="B10" s="1816">
        <f>(B8-B9)</f>
        <v>82616</v>
      </c>
      <c r="C10" s="1816">
        <f>(C8-C9)</f>
        <v>4406</v>
      </c>
      <c r="D10" s="1816">
        <f>(D8-D9)</f>
        <v>226535</v>
      </c>
      <c r="E10" s="1815">
        <f>(E8-E9)</f>
        <v>125205</v>
      </c>
      <c r="F10" s="1817">
        <f>SUM(F8-F9)</f>
        <v>438762</v>
      </c>
    </row>
    <row r="11" spans="1:8" s="1078" customFormat="1" ht="14.25" thickTop="1" thickBot="1" x14ac:dyDescent="0.25">
      <c r="A11" s="1080" t="s">
        <v>1983</v>
      </c>
      <c r="B11" s="1818">
        <f>'Acct Summary 7-8'!C81</f>
        <v>13478550</v>
      </c>
      <c r="C11" s="1818">
        <f>'Acct Summary 7-8'!D81</f>
        <v>2619742</v>
      </c>
      <c r="D11" s="1818">
        <f>'Acct Summary 7-8'!F81</f>
        <v>919001</v>
      </c>
      <c r="E11" s="1818">
        <f>'Acct Summary 7-8'!I81</f>
        <v>7971816</v>
      </c>
      <c r="F11" s="1819">
        <f>SUM(B11:E11)</f>
        <v>24989109</v>
      </c>
    </row>
    <row r="12" spans="1:8" ht="16.5" customHeight="1" thickTop="1" x14ac:dyDescent="0.2">
      <c r="A12" s="1081"/>
      <c r="B12" s="1082"/>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3"/>
      <c r="B13" s="1084"/>
      <c r="C13" s="2344"/>
      <c r="D13" s="2345"/>
      <c r="E13" s="2345"/>
      <c r="F13" s="2346"/>
      <c r="H13" s="1073"/>
    </row>
    <row r="14" spans="1:8" ht="19.5" customHeight="1" x14ac:dyDescent="0.2">
      <c r="A14" s="1083"/>
      <c r="B14" s="1084"/>
      <c r="C14" s="2344"/>
      <c r="D14" s="2345"/>
      <c r="E14" s="2345"/>
      <c r="F14" s="2346"/>
      <c r="H14" s="1073"/>
    </row>
    <row r="15" spans="1:8" ht="17.25" customHeight="1" x14ac:dyDescent="0.2">
      <c r="A15" s="1083"/>
      <c r="B15" s="1084"/>
      <c r="C15" s="2347"/>
      <c r="D15" s="2348"/>
      <c r="E15" s="2348"/>
      <c r="F15" s="2349"/>
      <c r="H15" s="1073"/>
    </row>
    <row r="16" spans="1:8" s="309" customFormat="1" ht="51.75" hidden="1" customHeight="1" x14ac:dyDescent="0.2">
      <c r="A16" s="2343" t="s">
        <v>1687</v>
      </c>
      <c r="B16" s="2343"/>
      <c r="C16" s="2343"/>
      <c r="D16" s="2343"/>
      <c r="E16" s="2343"/>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0" colorId="8" zoomScaleNormal="100" workbookViewId="0">
      <selection activeCell="D69" sqref="D6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5" t="s">
        <v>665</v>
      </c>
      <c r="B3" s="2366"/>
      <c r="C3" s="2366"/>
      <c r="D3" s="2367"/>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76" t="s">
        <v>1504</v>
      </c>
      <c r="D7" s="2377"/>
    </row>
    <row r="8" spans="1:4" s="667" customFormat="1" ht="12.75" x14ac:dyDescent="0.2">
      <c r="A8" s="1137"/>
      <c r="B8" s="1092"/>
      <c r="C8" s="1095" t="s">
        <v>1503</v>
      </c>
      <c r="D8" s="1096"/>
    </row>
    <row r="9" spans="1:4" s="667" customFormat="1" ht="14.25" customHeight="1" x14ac:dyDescent="0.2">
      <c r="A9" s="1137"/>
      <c r="B9" s="1092">
        <f>B7+1</f>
        <v>4</v>
      </c>
      <c r="C9" s="1093" t="s">
        <v>1912</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368" t="s">
        <v>1008</v>
      </c>
      <c r="B15" s="2369"/>
      <c r="C15" s="2369"/>
      <c r="D15" s="2370"/>
    </row>
    <row r="16" spans="1:4" s="667" customFormat="1" ht="24" customHeight="1" x14ac:dyDescent="0.2">
      <c r="A16" s="2371" t="s">
        <v>663</v>
      </c>
      <c r="B16" s="2372"/>
      <c r="C16" s="2372"/>
      <c r="D16" s="2373"/>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0" t="s">
        <v>314</v>
      </c>
      <c r="D21" s="2381"/>
    </row>
    <row r="22" spans="1:10" ht="12.75" x14ac:dyDescent="0.2">
      <c r="A22" s="1138"/>
      <c r="B22" s="1139">
        <v>2</v>
      </c>
      <c r="C22" s="2378" t="s">
        <v>1524</v>
      </c>
      <c r="D22" s="2379"/>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2" t="s">
        <v>536</v>
      </c>
      <c r="D43" s="2383"/>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4" t="s">
        <v>784</v>
      </c>
      <c r="D56" s="2375"/>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ERROR!</v>
      </c>
    </row>
    <row r="70" spans="1:4" x14ac:dyDescent="0.2">
      <c r="A70" s="1097"/>
      <c r="B70" s="1119">
        <f>B66+1</f>
        <v>9</v>
      </c>
      <c r="C70" s="2374" t="s">
        <v>1696</v>
      </c>
      <c r="D70" s="2375"/>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29'!D142&gt;0,"OK","PLEASE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6016208017</v>
      </c>
    </row>
    <row r="3" spans="1:2" x14ac:dyDescent="0.2">
      <c r="A3" t="s">
        <v>956</v>
      </c>
      <c r="B3" s="137" t="str">
        <f>COVER!A15</f>
        <v>COOK</v>
      </c>
    </row>
    <row r="4" spans="1:2" x14ac:dyDescent="0.2">
      <c r="A4" t="s">
        <v>1007</v>
      </c>
      <c r="B4" s="137" t="str">
        <f>COVER!A17</f>
        <v>Riverside-Brookfield Twp SD 208</v>
      </c>
    </row>
    <row r="5" spans="1:2" x14ac:dyDescent="0.2">
      <c r="A5" t="s">
        <v>704</v>
      </c>
      <c r="B5" s="137">
        <f>COVER!A38</f>
        <v>0</v>
      </c>
    </row>
    <row r="6" spans="1:2" x14ac:dyDescent="0.2">
      <c r="A6" t="s">
        <v>709</v>
      </c>
      <c r="B6" s="137" t="str">
        <f>COVER!P35</f>
        <v>PROVISO</v>
      </c>
    </row>
    <row r="7" spans="1:2" x14ac:dyDescent="0.2">
      <c r="A7" t="s">
        <v>705</v>
      </c>
      <c r="B7" s="137">
        <f>COVER!I38</f>
        <v>0</v>
      </c>
    </row>
    <row r="8" spans="1:2" x14ac:dyDescent="0.2">
      <c r="A8" t="s">
        <v>706</v>
      </c>
      <c r="B8" s="137">
        <f>COVER!T38</f>
        <v>0</v>
      </c>
    </row>
    <row r="9" spans="1:2" x14ac:dyDescent="0.2">
      <c r="A9" s="3" t="s">
        <v>957</v>
      </c>
      <c r="B9" s="157" t="str">
        <f>AUDITCHECK!D23</f>
        <v xml:space="preserve">ACCRUAL </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066.005340</v>
      </c>
    </row>
    <row r="16" spans="1:2" x14ac:dyDescent="0.2">
      <c r="A16" t="s">
        <v>422</v>
      </c>
      <c r="B16" s="137" t="str">
        <f>COVER!T13</f>
        <v>EVANS, MARSHALL &amp; PEASE, P.C.</v>
      </c>
    </row>
    <row r="17" spans="1:2" x14ac:dyDescent="0.2">
      <c r="A17" t="s">
        <v>884</v>
      </c>
      <c r="B17" s="137" t="str">
        <f>COVER!T15</f>
        <v>CHRISTOPHER M. SCALET, CPA</v>
      </c>
    </row>
    <row r="18" spans="1:2" x14ac:dyDescent="0.2">
      <c r="A18" t="s">
        <v>1150</v>
      </c>
      <c r="B18" s="137" t="str">
        <f>COVER!T17</f>
        <v>1875 HICKS ROAD</v>
      </c>
    </row>
    <row r="19" spans="1:2" x14ac:dyDescent="0.2">
      <c r="A19" t="s">
        <v>886</v>
      </c>
      <c r="B19" s="137" t="str">
        <f>COVER!T25</f>
        <v>CHRIS@EMPCPA.COM</v>
      </c>
    </row>
    <row r="20" spans="1:2" x14ac:dyDescent="0.2">
      <c r="A20" t="s">
        <v>887</v>
      </c>
      <c r="B20" s="137" t="str">
        <f>COVER!T19</f>
        <v>ROLLING MEADOWS</v>
      </c>
    </row>
    <row r="21" spans="1:2" x14ac:dyDescent="0.2">
      <c r="A21" t="s">
        <v>479</v>
      </c>
      <c r="B21" s="137" t="str">
        <f>COVER!X19</f>
        <v>IL</v>
      </c>
    </row>
    <row r="22" spans="1:2" x14ac:dyDescent="0.2">
      <c r="A22" t="s">
        <v>888</v>
      </c>
      <c r="B22" s="137">
        <f>COVER!Z19</f>
        <v>60008</v>
      </c>
    </row>
    <row r="23" spans="1:2" x14ac:dyDescent="0.2">
      <c r="A23" t="s">
        <v>1152</v>
      </c>
      <c r="B23" s="137" t="str">
        <f>COVER!T21</f>
        <v>847-221-5700</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33512</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8193889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14047928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8669</v>
      </c>
      <c r="D86" s="2" t="str">
        <f t="shared" si="0"/>
        <v>Error?</v>
      </c>
    </row>
    <row r="87" spans="1:4" x14ac:dyDescent="0.2">
      <c r="A87" s="10">
        <v>26</v>
      </c>
      <c r="D87" s="2" t="str">
        <f t="shared" si="0"/>
        <v>OK</v>
      </c>
    </row>
    <row r="88" spans="1:4" x14ac:dyDescent="0.2">
      <c r="A88" s="5">
        <v>27</v>
      </c>
      <c r="B88" s="137">
        <f>'Assets-Liab 5-6'!C32</f>
        <v>386087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569378</v>
      </c>
      <c r="C91" s="2" t="s">
        <v>573</v>
      </c>
      <c r="D91" s="2" t="str">
        <f t="shared" si="0"/>
        <v>Error?</v>
      </c>
    </row>
    <row r="92" spans="1:4" x14ac:dyDescent="0.2">
      <c r="A92" s="5">
        <v>31</v>
      </c>
      <c r="B92" s="137">
        <f>'Assets-Liab 5-6'!C39</f>
        <v>13478550</v>
      </c>
      <c r="D92" s="2" t="str">
        <f t="shared" si="0"/>
        <v>Error?</v>
      </c>
    </row>
    <row r="93" spans="1:4" x14ac:dyDescent="0.2">
      <c r="A93" s="5">
        <v>32</v>
      </c>
      <c r="B93" s="137">
        <f>'Assets-Liab 5-6'!C41</f>
        <v>14047928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969478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2720724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42381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100982</v>
      </c>
      <c r="C122" s="2" t="s">
        <v>573</v>
      </c>
      <c r="D122" s="2" t="str">
        <f t="shared" si="0"/>
        <v>Error?</v>
      </c>
    </row>
    <row r="123" spans="1:4" x14ac:dyDescent="0.2">
      <c r="A123" s="5">
        <v>62</v>
      </c>
      <c r="B123" s="137">
        <f>'Assets-Liab 5-6'!D39</f>
        <v>2619742</v>
      </c>
      <c r="D123" s="2" t="str">
        <f t="shared" si="0"/>
        <v>Error?</v>
      </c>
    </row>
    <row r="124" spans="1:4" x14ac:dyDescent="0.2">
      <c r="A124" s="5">
        <v>63</v>
      </c>
      <c r="B124" s="137">
        <f>'Assets-Liab 5-6'!D41</f>
        <v>2720724</v>
      </c>
      <c r="C124" s="2" t="s">
        <v>573</v>
      </c>
      <c r="D124" s="2" t="str">
        <f t="shared" si="0"/>
        <v>Error?</v>
      </c>
    </row>
    <row r="125" spans="1:4" x14ac:dyDescent="0.2">
      <c r="A125" s="10">
        <v>64</v>
      </c>
      <c r="D125" s="2" t="str">
        <f t="shared" si="0"/>
        <v>OK</v>
      </c>
    </row>
    <row r="126" spans="1:4" x14ac:dyDescent="0.2">
      <c r="A126" s="5">
        <v>65</v>
      </c>
      <c r="B126" s="137">
        <f>'Assets-Liab 5-6'!E6</f>
        <v>2798001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5456173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132935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132935</v>
      </c>
      <c r="C139" s="2" t="s">
        <v>573</v>
      </c>
      <c r="D139" s="2" t="str">
        <f t="shared" si="1"/>
        <v>Error?</v>
      </c>
    </row>
    <row r="140" spans="1:4" x14ac:dyDescent="0.2">
      <c r="A140" s="5">
        <v>79</v>
      </c>
      <c r="B140" s="137">
        <f>'Assets-Liab 5-6'!E39</f>
        <v>5323238</v>
      </c>
      <c r="D140" s="2" t="str">
        <f t="shared" si="1"/>
        <v>Error?</v>
      </c>
    </row>
    <row r="141" spans="1:4" x14ac:dyDescent="0.2">
      <c r="A141" s="5">
        <v>80</v>
      </c>
      <c r="B141" s="137">
        <f>'Assets-Liab 5-6'!E41</f>
        <v>5456173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281301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973654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12066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54653</v>
      </c>
      <c r="C169" s="2" t="s">
        <v>573</v>
      </c>
      <c r="D169" s="2" t="str">
        <f t="shared" si="1"/>
        <v>Error?</v>
      </c>
    </row>
    <row r="170" spans="1:4" x14ac:dyDescent="0.2">
      <c r="A170" s="5">
        <v>109</v>
      </c>
      <c r="B170" s="137">
        <f>'Assets-Liab 5-6'!F39</f>
        <v>919001</v>
      </c>
      <c r="D170" s="2" t="str">
        <f t="shared" si="1"/>
        <v>Error?</v>
      </c>
    </row>
    <row r="171" spans="1:4" x14ac:dyDescent="0.2">
      <c r="A171" s="5">
        <v>110</v>
      </c>
      <c r="B171" s="137">
        <f>'Assets-Liab 5-6'!F41</f>
        <v>973654</v>
      </c>
      <c r="C171" s="2" t="s">
        <v>573</v>
      </c>
      <c r="D171" s="2" t="str">
        <f t="shared" si="1"/>
        <v>Error?</v>
      </c>
    </row>
    <row r="172" spans="1:4" x14ac:dyDescent="0.2">
      <c r="A172" s="10">
        <v>111</v>
      </c>
      <c r="D172" s="2" t="str">
        <f t="shared" si="1"/>
        <v>OK</v>
      </c>
    </row>
    <row r="173" spans="1:4" x14ac:dyDescent="0.2">
      <c r="A173" s="5">
        <v>112</v>
      </c>
      <c r="B173" s="137">
        <f>'Assets-Liab 5-6'!G6</f>
        <v>262249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436645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10805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10805</v>
      </c>
      <c r="C188" s="2" t="s">
        <v>573</v>
      </c>
      <c r="D188" s="2" t="str">
        <f t="shared" si="1"/>
        <v>Error?</v>
      </c>
    </row>
    <row r="189" spans="1:4" x14ac:dyDescent="0.2">
      <c r="A189" s="5">
        <v>128</v>
      </c>
      <c r="B189" s="137">
        <f>'Assets-Liab 5-6'!G39</f>
        <v>425840</v>
      </c>
      <c r="D189" s="2" t="str">
        <f t="shared" si="1"/>
        <v>Error?</v>
      </c>
    </row>
    <row r="190" spans="1:4" x14ac:dyDescent="0.2">
      <c r="A190" s="5">
        <v>129</v>
      </c>
      <c r="B190" s="137">
        <f>'Assets-Liab 5-6'!G41</f>
        <v>436645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25644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25644</v>
      </c>
      <c r="D212" s="2" t="str">
        <f t="shared" si="2"/>
        <v>Error?</v>
      </c>
    </row>
    <row r="213" spans="1:4" x14ac:dyDescent="0.2">
      <c r="A213" s="12">
        <v>152</v>
      </c>
      <c r="B213" s="137">
        <f>'Assets-Liab 5-6'!H41</f>
        <v>25644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500000</v>
      </c>
      <c r="D273" s="2" t="str">
        <f t="shared" si="3"/>
        <v>Error?</v>
      </c>
    </row>
    <row r="274" spans="1:4" x14ac:dyDescent="0.2">
      <c r="A274" s="5">
        <v>213</v>
      </c>
      <c r="B274" s="137">
        <f>'Assets-Liab 5-6'!M17</f>
        <v>81709511</v>
      </c>
      <c r="D274" s="2" t="str">
        <f t="shared" si="3"/>
        <v>Error?</v>
      </c>
    </row>
    <row r="275" spans="1:4" x14ac:dyDescent="0.2">
      <c r="A275" s="5">
        <v>214</v>
      </c>
      <c r="B275" s="137">
        <f>'Assets-Liab 5-6'!M18</f>
        <v>7422581</v>
      </c>
      <c r="D275" s="2" t="str">
        <f t="shared" si="3"/>
        <v>Error?</v>
      </c>
    </row>
    <row r="276" spans="1:4" x14ac:dyDescent="0.2">
      <c r="A276" s="5">
        <v>215</v>
      </c>
      <c r="B276" s="137">
        <f>'Assets-Liab 5-6'!M19</f>
        <v>2514648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92900800</v>
      </c>
      <c r="C279" s="2" t="s">
        <v>573</v>
      </c>
      <c r="D279" s="2" t="str">
        <f t="shared" si="3"/>
        <v>Error?</v>
      </c>
    </row>
    <row r="280" spans="1:4" x14ac:dyDescent="0.2">
      <c r="A280" s="5">
        <v>219</v>
      </c>
      <c r="B280" s="137">
        <f>'Assets-Liab 5-6'!M40</f>
        <v>92900800</v>
      </c>
      <c r="D280" s="2" t="str">
        <f t="shared" si="3"/>
        <v>Error?</v>
      </c>
    </row>
    <row r="281" spans="1:4" x14ac:dyDescent="0.2">
      <c r="A281" s="5">
        <v>220</v>
      </c>
      <c r="B281" s="137">
        <f>'Assets-Liab 5-6'!M41</f>
        <v>92900800</v>
      </c>
      <c r="C281" s="2" t="s">
        <v>573</v>
      </c>
      <c r="D281" s="2" t="str">
        <f t="shared" si="3"/>
        <v>Error?</v>
      </c>
    </row>
    <row r="282" spans="1:4" x14ac:dyDescent="0.2">
      <c r="A282" s="5">
        <v>221</v>
      </c>
      <c r="B282" s="137">
        <f>'Assets-Liab 5-6'!N21</f>
        <v>5323238</v>
      </c>
      <c r="D282" s="2" t="str">
        <f t="shared" si="3"/>
        <v>Error?</v>
      </c>
    </row>
    <row r="283" spans="1:4" x14ac:dyDescent="0.2">
      <c r="A283" s="5">
        <v>222</v>
      </c>
      <c r="B283" s="137">
        <f>'Assets-Liab 5-6'!N22</f>
        <v>30780796</v>
      </c>
      <c r="D283" s="2" t="str">
        <f t="shared" si="3"/>
        <v>Error?</v>
      </c>
    </row>
    <row r="284" spans="1:4" x14ac:dyDescent="0.2">
      <c r="A284" s="5">
        <v>223</v>
      </c>
      <c r="B284" s="137">
        <f>'Assets-Liab 5-6'!N23</f>
        <v>36104034</v>
      </c>
      <c r="C284" s="2" t="s">
        <v>573</v>
      </c>
      <c r="D284" s="2" t="str">
        <f t="shared" si="3"/>
        <v>Error?</v>
      </c>
    </row>
    <row r="285" spans="1:4" x14ac:dyDescent="0.2">
      <c r="A285" s="5">
        <v>224</v>
      </c>
      <c r="B285" s="137">
        <f>'Assets-Liab 5-6'!N36</f>
        <v>36104034</v>
      </c>
      <c r="D285" s="2" t="str">
        <f t="shared" si="3"/>
        <v>Error?</v>
      </c>
    </row>
    <row r="286" spans="1:4" x14ac:dyDescent="0.2">
      <c r="A286" s="10">
        <v>225</v>
      </c>
      <c r="D286" s="2" t="str">
        <f t="shared" si="3"/>
        <v>OK</v>
      </c>
    </row>
    <row r="287" spans="1:4" x14ac:dyDescent="0.2">
      <c r="A287" s="5">
        <v>226</v>
      </c>
      <c r="B287" s="137">
        <f>'Assets-Liab 5-6'!N37</f>
        <v>36104034</v>
      </c>
      <c r="C287" s="2" t="s">
        <v>573</v>
      </c>
      <c r="D287" s="2" t="str">
        <f t="shared" si="3"/>
        <v>Error?</v>
      </c>
    </row>
    <row r="288" spans="1:4" x14ac:dyDescent="0.2">
      <c r="A288" s="5">
        <v>227</v>
      </c>
      <c r="B288" s="137">
        <f>'Assets-Liab 5-6'!N41</f>
        <v>36104034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8470970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82855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244764</v>
      </c>
      <c r="D717" s="2" t="str">
        <f t="shared" si="10"/>
        <v>Error?</v>
      </c>
    </row>
    <row r="718" spans="1:4" x14ac:dyDescent="0.2">
      <c r="A718" s="5">
        <v>657</v>
      </c>
      <c r="B718" s="137">
        <f>'Expenditures 15-22'!C14</f>
        <v>775686</v>
      </c>
      <c r="D718" s="2" t="str">
        <f t="shared" si="10"/>
        <v>Error?</v>
      </c>
    </row>
    <row r="719" spans="1:4" x14ac:dyDescent="0.2">
      <c r="A719" s="5">
        <v>658</v>
      </c>
      <c r="B719" s="137">
        <f>'Expenditures 15-22'!C15</f>
        <v>131099</v>
      </c>
      <c r="D719" s="2" t="str">
        <f t="shared" si="10"/>
        <v>Error?</v>
      </c>
    </row>
    <row r="720" spans="1:4" x14ac:dyDescent="0.2">
      <c r="A720" s="5">
        <v>659</v>
      </c>
      <c r="B720" s="137">
        <f>'Expenditures 15-22'!C33</f>
        <v>12017217</v>
      </c>
      <c r="C720" s="2" t="s">
        <v>573</v>
      </c>
      <c r="D720" s="2" t="str">
        <f t="shared" si="10"/>
        <v>Error?</v>
      </c>
    </row>
    <row r="721" spans="1:4" x14ac:dyDescent="0.2">
      <c r="A721" s="5">
        <v>660</v>
      </c>
      <c r="B721" s="137">
        <f>'Expenditures 15-22'!C36</f>
        <v>693184</v>
      </c>
      <c r="D721" s="2" t="str">
        <f t="shared" si="10"/>
        <v>Error?</v>
      </c>
    </row>
    <row r="722" spans="1:4" x14ac:dyDescent="0.2">
      <c r="A722" s="5">
        <v>661</v>
      </c>
      <c r="B722" s="137">
        <f>'Expenditures 15-22'!C37</f>
        <v>755122</v>
      </c>
      <c r="D722" s="2" t="str">
        <f t="shared" si="10"/>
        <v>Error?</v>
      </c>
    </row>
    <row r="723" spans="1:4" x14ac:dyDescent="0.2">
      <c r="A723" s="5">
        <v>662</v>
      </c>
      <c r="B723" s="137">
        <f>'Expenditures 15-22'!C38</f>
        <v>74813</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1523119</v>
      </c>
      <c r="C727" s="2" t="s">
        <v>573</v>
      </c>
      <c r="D727" s="2" t="str">
        <f t="shared" si="10"/>
        <v>Error?</v>
      </c>
    </row>
    <row r="728" spans="1:4" x14ac:dyDescent="0.2">
      <c r="A728" s="5">
        <v>667</v>
      </c>
      <c r="B728" s="137">
        <f>'Expenditures 15-22'!C44</f>
        <v>136468</v>
      </c>
      <c r="D728" s="2" t="str">
        <f t="shared" si="10"/>
        <v>Error?</v>
      </c>
    </row>
    <row r="729" spans="1:4" x14ac:dyDescent="0.2">
      <c r="A729" s="5">
        <v>668</v>
      </c>
      <c r="B729" s="137">
        <f>'Expenditures 15-22'!C45</f>
        <v>243851</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380319</v>
      </c>
      <c r="C731" s="2" t="s">
        <v>573</v>
      </c>
      <c r="D731" s="2" t="str">
        <f t="shared" si="10"/>
        <v>Error?</v>
      </c>
    </row>
    <row r="732" spans="1:4" x14ac:dyDescent="0.2">
      <c r="A732" s="5">
        <v>671</v>
      </c>
      <c r="B732" s="137">
        <f>'Expenditures 15-22'!C49</f>
        <v>16385</v>
      </c>
      <c r="D732" s="2" t="str">
        <f t="shared" si="10"/>
        <v>Error?</v>
      </c>
    </row>
    <row r="733" spans="1:4" x14ac:dyDescent="0.2">
      <c r="A733" s="5">
        <v>672</v>
      </c>
      <c r="B733" s="137">
        <f>'Expenditures 15-22'!C50</f>
        <v>312896</v>
      </c>
      <c r="D733" s="2" t="str">
        <f t="shared" si="10"/>
        <v>Error?</v>
      </c>
    </row>
    <row r="734" spans="1:4" x14ac:dyDescent="0.2">
      <c r="A734" s="5">
        <v>673</v>
      </c>
      <c r="B734" s="137">
        <f>'Expenditures 15-22'!C53</f>
        <v>329281</v>
      </c>
      <c r="C734" s="2" t="s">
        <v>573</v>
      </c>
      <c r="D734" s="2" t="str">
        <f t="shared" si="10"/>
        <v>Error?</v>
      </c>
    </row>
    <row r="735" spans="1:4" x14ac:dyDescent="0.2">
      <c r="A735" s="5">
        <v>674</v>
      </c>
      <c r="B735" s="137">
        <f>'Expenditures 15-22'!C55</f>
        <v>257203</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257203</v>
      </c>
      <c r="C737" s="2" t="s">
        <v>573</v>
      </c>
      <c r="D737" s="2" t="str">
        <f t="shared" si="10"/>
        <v>Error?</v>
      </c>
    </row>
    <row r="738" spans="1:4" x14ac:dyDescent="0.2">
      <c r="A738" s="5">
        <v>677</v>
      </c>
      <c r="B738" s="137">
        <f>'Expenditures 15-22'!C59</f>
        <v>93000</v>
      </c>
      <c r="D738" s="2" t="str">
        <f t="shared" si="10"/>
        <v>Error?</v>
      </c>
    </row>
    <row r="739" spans="1:4" x14ac:dyDescent="0.2">
      <c r="A739" s="5">
        <v>678</v>
      </c>
      <c r="B739" s="137">
        <f>'Expenditures 15-22'!C60</f>
        <v>179389</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272389</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192038</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75194</v>
      </c>
      <c r="D751" s="2" t="str">
        <f t="shared" si="10"/>
        <v>Error?</v>
      </c>
    </row>
    <row r="752" spans="1:4" x14ac:dyDescent="0.2">
      <c r="A752" s="10">
        <v>691</v>
      </c>
      <c r="D752" s="2" t="str">
        <f t="shared" si="10"/>
        <v>OK</v>
      </c>
    </row>
    <row r="753" spans="1:4" x14ac:dyDescent="0.2">
      <c r="A753" s="5">
        <v>692</v>
      </c>
      <c r="B753" s="137">
        <f>'Expenditures 15-22'!C72</f>
        <v>267232</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3029543</v>
      </c>
      <c r="C755" s="2" t="s">
        <v>573</v>
      </c>
      <c r="D755" s="2" t="str">
        <f t="shared" si="10"/>
        <v>Error?</v>
      </c>
    </row>
    <row r="756" spans="1:4" x14ac:dyDescent="0.2">
      <c r="A756" s="5">
        <v>695</v>
      </c>
      <c r="B756" s="137">
        <f>'Expenditures 15-22'!C75</f>
        <v>123995</v>
      </c>
      <c r="D756" s="2" t="str">
        <f t="shared" si="10"/>
        <v>Error?</v>
      </c>
    </row>
    <row r="757" spans="1:4" x14ac:dyDescent="0.2">
      <c r="A757" s="5">
        <v>696</v>
      </c>
      <c r="B757" s="137">
        <f>'Expenditures 15-22'!C114</f>
        <v>15170755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1858262</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9890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2322950</v>
      </c>
      <c r="C778" s="2" t="s">
        <v>573</v>
      </c>
      <c r="D778" s="2" t="str">
        <f t="shared" si="11"/>
        <v>Error?</v>
      </c>
    </row>
    <row r="779" spans="1:4" x14ac:dyDescent="0.2">
      <c r="A779" s="5">
        <v>718</v>
      </c>
      <c r="B779" s="137">
        <f>'Expenditures 15-22'!D36</f>
        <v>34741</v>
      </c>
      <c r="D779" s="2" t="str">
        <f t="shared" si="11"/>
        <v>Error?</v>
      </c>
    </row>
    <row r="780" spans="1:4" x14ac:dyDescent="0.2">
      <c r="A780" s="5">
        <v>719</v>
      </c>
      <c r="B780" s="137">
        <f>'Expenditures 15-22'!D37</f>
        <v>13558</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48299</v>
      </c>
      <c r="C785" s="2" t="s">
        <v>573</v>
      </c>
      <c r="D785" s="2" t="str">
        <f t="shared" si="11"/>
        <v>Error?</v>
      </c>
    </row>
    <row r="786" spans="1:4" x14ac:dyDescent="0.2">
      <c r="A786" s="5">
        <v>725</v>
      </c>
      <c r="B786" s="137">
        <f>'Expenditures 15-22'!D44</f>
        <v>11147</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11147</v>
      </c>
      <c r="C789" s="2" t="s">
        <v>573</v>
      </c>
      <c r="D789" s="2" t="str">
        <f t="shared" si="11"/>
        <v>Error?</v>
      </c>
    </row>
    <row r="790" spans="1:4" x14ac:dyDescent="0.2">
      <c r="A790" s="5">
        <v>729</v>
      </c>
      <c r="B790" s="137">
        <f>'Expenditures 15-22'!D49</f>
        <v>10000</v>
      </c>
      <c r="D790" s="2" t="str">
        <f t="shared" si="11"/>
        <v>Error?</v>
      </c>
    </row>
    <row r="791" spans="1:4" x14ac:dyDescent="0.2">
      <c r="A791" s="5">
        <v>730</v>
      </c>
      <c r="B791" s="137">
        <f>'Expenditures 15-22'!D50</f>
        <v>55660</v>
      </c>
      <c r="D791" s="2" t="str">
        <f t="shared" si="11"/>
        <v>Error?</v>
      </c>
    </row>
    <row r="792" spans="1:4" x14ac:dyDescent="0.2">
      <c r="A792" s="5">
        <v>731</v>
      </c>
      <c r="B792" s="137">
        <f>'Expenditures 15-22'!D53</f>
        <v>65660</v>
      </c>
      <c r="C792" s="2" t="s">
        <v>573</v>
      </c>
      <c r="D792" s="2" t="str">
        <f t="shared" si="11"/>
        <v>Error?</v>
      </c>
    </row>
    <row r="793" spans="1:4" x14ac:dyDescent="0.2">
      <c r="A793" s="5">
        <v>732</v>
      </c>
      <c r="B793" s="137">
        <f>'Expenditures 15-22'!D55</f>
        <v>13995</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13995</v>
      </c>
      <c r="C795" s="2" t="s">
        <v>573</v>
      </c>
      <c r="D795" s="2" t="str">
        <f t="shared" si="11"/>
        <v>Error?</v>
      </c>
    </row>
    <row r="796" spans="1:4" x14ac:dyDescent="0.2">
      <c r="A796" s="5">
        <v>735</v>
      </c>
      <c r="B796" s="137">
        <f>'Expenditures 15-22'!D59</f>
        <v>9198</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9198</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5093</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5093</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153392</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2476342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106365</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26336</v>
      </c>
      <c r="D833" s="2" t="str">
        <f t="shared" si="12"/>
        <v>Error?</v>
      </c>
    </row>
    <row r="834" spans="1:4" x14ac:dyDescent="0.2">
      <c r="A834" s="5">
        <v>773</v>
      </c>
      <c r="B834" s="137">
        <f>'Expenditures 15-22'!E14</f>
        <v>56192</v>
      </c>
      <c r="D834" s="2" t="str">
        <f t="shared" si="12"/>
        <v>Error?</v>
      </c>
    </row>
    <row r="835" spans="1:4" x14ac:dyDescent="0.2">
      <c r="A835" s="5">
        <v>774</v>
      </c>
      <c r="B835" s="137">
        <f>'Expenditures 15-22'!E15</f>
        <v>790</v>
      </c>
      <c r="D835" s="2" t="str">
        <f t="shared" si="12"/>
        <v>Error?</v>
      </c>
    </row>
    <row r="836" spans="1:4" x14ac:dyDescent="0.2">
      <c r="A836" s="5">
        <v>775</v>
      </c>
      <c r="B836" s="137">
        <f>'Expenditures 15-22'!E33</f>
        <v>237217</v>
      </c>
      <c r="C836" s="2" t="s">
        <v>573</v>
      </c>
      <c r="D836" s="2" t="str">
        <f t="shared" si="12"/>
        <v>Error?</v>
      </c>
    </row>
    <row r="837" spans="1:4" x14ac:dyDescent="0.2">
      <c r="A837" s="5">
        <v>776</v>
      </c>
      <c r="B837" s="137">
        <f>'Expenditures 15-22'!E36</f>
        <v>13523</v>
      </c>
      <c r="D837" s="2" t="str">
        <f t="shared" si="12"/>
        <v>Error?</v>
      </c>
    </row>
    <row r="838" spans="1:4" x14ac:dyDescent="0.2">
      <c r="A838" s="5">
        <v>777</v>
      </c>
      <c r="B838" s="137">
        <f>'Expenditures 15-22'!E37</f>
        <v>0</v>
      </c>
      <c r="D838" s="2" t="str">
        <f t="shared" si="12"/>
        <v>Error?</v>
      </c>
    </row>
    <row r="839" spans="1:4" x14ac:dyDescent="0.2">
      <c r="A839" s="5">
        <v>778</v>
      </c>
      <c r="B839" s="137">
        <f>'Expenditures 15-22'!E38</f>
        <v>315</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13838</v>
      </c>
      <c r="C843" s="2" t="s">
        <v>573</v>
      </c>
      <c r="D843" s="2" t="str">
        <f t="shared" si="12"/>
        <v>Error?</v>
      </c>
    </row>
    <row r="844" spans="1:4" x14ac:dyDescent="0.2">
      <c r="A844" s="5">
        <v>783</v>
      </c>
      <c r="B844" s="137">
        <f>'Expenditures 15-22'!E44</f>
        <v>46490</v>
      </c>
      <c r="D844" s="2" t="str">
        <f t="shared" si="12"/>
        <v>Error?</v>
      </c>
    </row>
    <row r="845" spans="1:4" x14ac:dyDescent="0.2">
      <c r="A845" s="5">
        <v>784</v>
      </c>
      <c r="B845" s="137">
        <f>'Expenditures 15-22'!E45</f>
        <v>7101</v>
      </c>
      <c r="D845" s="2" t="str">
        <f t="shared" si="12"/>
        <v>Error?</v>
      </c>
    </row>
    <row r="846" spans="1:4" x14ac:dyDescent="0.2">
      <c r="A846" s="5">
        <v>785</v>
      </c>
      <c r="B846" s="137">
        <f>'Expenditures 15-22'!E46</f>
        <v>0</v>
      </c>
      <c r="D846" s="2" t="str">
        <f t="shared" si="12"/>
        <v>Error?</v>
      </c>
    </row>
    <row r="847" spans="1:4" x14ac:dyDescent="0.2">
      <c r="A847" s="5">
        <v>786</v>
      </c>
      <c r="B847" s="137">
        <f>'Expenditures 15-22'!E47</f>
        <v>53591</v>
      </c>
      <c r="C847" s="2" t="s">
        <v>573</v>
      </c>
      <c r="D847" s="2" t="str">
        <f t="shared" si="12"/>
        <v>Error?</v>
      </c>
    </row>
    <row r="848" spans="1:4" x14ac:dyDescent="0.2">
      <c r="A848" s="5">
        <v>787</v>
      </c>
      <c r="B848" s="137">
        <f>'Expenditures 15-22'!E49</f>
        <v>201365</v>
      </c>
      <c r="D848" s="2" t="str">
        <f t="shared" si="12"/>
        <v>Error?</v>
      </c>
    </row>
    <row r="849" spans="1:4" x14ac:dyDescent="0.2">
      <c r="A849" s="5">
        <v>788</v>
      </c>
      <c r="B849" s="137">
        <f>'Expenditures 15-22'!E50</f>
        <v>1788</v>
      </c>
      <c r="D849" s="2" t="str">
        <f t="shared" si="12"/>
        <v>Error?</v>
      </c>
    </row>
    <row r="850" spans="1:4" x14ac:dyDescent="0.2">
      <c r="A850" s="5">
        <v>789</v>
      </c>
      <c r="B850" s="137">
        <f>'Expenditures 15-22'!E53</f>
        <v>203153</v>
      </c>
      <c r="C850" s="2" t="s">
        <v>573</v>
      </c>
      <c r="D850" s="2" t="str">
        <f t="shared" si="12"/>
        <v>Error?</v>
      </c>
    </row>
    <row r="851" spans="1:4" x14ac:dyDescent="0.2">
      <c r="A851" s="5">
        <v>790</v>
      </c>
      <c r="B851" s="137">
        <f>'Expenditures 15-22'!E55</f>
        <v>1326</v>
      </c>
      <c r="D851" s="2" t="str">
        <f t="shared" si="12"/>
        <v>Error?</v>
      </c>
    </row>
    <row r="852" spans="1:4" x14ac:dyDescent="0.2">
      <c r="A852" s="5">
        <v>791</v>
      </c>
      <c r="B852" s="137">
        <f>'Expenditures 15-22'!E56</f>
        <v>0</v>
      </c>
      <c r="D852" s="2" t="str">
        <f t="shared" si="12"/>
        <v>Error?</v>
      </c>
    </row>
    <row r="853" spans="1:4" x14ac:dyDescent="0.2">
      <c r="A853" s="5">
        <v>792</v>
      </c>
      <c r="B853" s="137">
        <f>'Expenditures 15-22'!E57</f>
        <v>1326</v>
      </c>
      <c r="C853" s="2" t="s">
        <v>573</v>
      </c>
      <c r="D853" s="2" t="str">
        <f t="shared" si="12"/>
        <v>Error?</v>
      </c>
    </row>
    <row r="854" spans="1:4" x14ac:dyDescent="0.2">
      <c r="A854" s="5">
        <v>793</v>
      </c>
      <c r="B854" s="137">
        <f>'Expenditures 15-22'!E59</f>
        <v>15576</v>
      </c>
      <c r="D854" s="2" t="str">
        <f t="shared" si="12"/>
        <v>Error?</v>
      </c>
    </row>
    <row r="855" spans="1:4" x14ac:dyDescent="0.2">
      <c r="A855" s="5">
        <v>794</v>
      </c>
      <c r="B855" s="137">
        <f>'Expenditures 15-22'!E60</f>
        <v>26828</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336055</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378459</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34728</v>
      </c>
      <c r="D863" s="2" t="str">
        <f t="shared" si="12"/>
        <v>Error?</v>
      </c>
    </row>
    <row r="864" spans="1:4" x14ac:dyDescent="0.2">
      <c r="A864" s="5">
        <v>803</v>
      </c>
      <c r="B864" s="137">
        <f>'Expenditures 15-22'!E69</f>
        <v>68422</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15274</v>
      </c>
      <c r="D867" s="2" t="str">
        <f t="shared" si="12"/>
        <v>Error?</v>
      </c>
    </row>
    <row r="868" spans="1:4" x14ac:dyDescent="0.2">
      <c r="A868" s="10">
        <v>807</v>
      </c>
      <c r="D868" s="2" t="str">
        <f t="shared" si="12"/>
        <v>OK</v>
      </c>
    </row>
    <row r="869" spans="1:4" x14ac:dyDescent="0.2">
      <c r="A869" s="5">
        <v>808</v>
      </c>
      <c r="B869" s="137">
        <f>'Expenditures 15-22'!E72</f>
        <v>118424</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768791</v>
      </c>
      <c r="C871" s="2" t="s">
        <v>573</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1589736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330754</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1314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58560</v>
      </c>
      <c r="D891" s="2" t="str">
        <f t="shared" si="12"/>
        <v>Error?</v>
      </c>
    </row>
    <row r="892" spans="1:4" x14ac:dyDescent="0.2">
      <c r="A892" s="5">
        <v>831</v>
      </c>
      <c r="B892" s="137">
        <f>'Expenditures 15-22'!F14</f>
        <v>41626</v>
      </c>
      <c r="D892" s="2" t="str">
        <f t="shared" si="12"/>
        <v>Error?</v>
      </c>
    </row>
    <row r="893" spans="1:4" x14ac:dyDescent="0.2">
      <c r="A893" s="5">
        <v>832</v>
      </c>
      <c r="B893" s="137">
        <f>'Expenditures 15-22'!F15</f>
        <v>12504</v>
      </c>
      <c r="D893" s="2" t="str">
        <f t="shared" si="12"/>
        <v>Error?</v>
      </c>
    </row>
    <row r="894" spans="1:4" x14ac:dyDescent="0.2">
      <c r="A894" s="5">
        <v>833</v>
      </c>
      <c r="B894" s="137">
        <f>'Expenditures 15-22'!F33</f>
        <v>465798</v>
      </c>
      <c r="C894" s="2" t="s">
        <v>573</v>
      </c>
      <c r="D894" s="2" t="str">
        <f t="shared" si="12"/>
        <v>Error?</v>
      </c>
    </row>
    <row r="895" spans="1:4" x14ac:dyDescent="0.2">
      <c r="A895" s="5">
        <v>834</v>
      </c>
      <c r="B895" s="137">
        <f>'Expenditures 15-22'!F36</f>
        <v>3840</v>
      </c>
      <c r="D895" s="2" t="str">
        <f t="shared" ref="D895:D958" si="13">IF(ISBLANK(B895),"OK",IF(A895-B895=0,"OK","Error?"))</f>
        <v>Error?</v>
      </c>
    </row>
    <row r="896" spans="1:4" x14ac:dyDescent="0.2">
      <c r="A896" s="5">
        <v>835</v>
      </c>
      <c r="B896" s="137">
        <f>'Expenditures 15-22'!F37</f>
        <v>3353</v>
      </c>
      <c r="D896" s="2" t="str">
        <f t="shared" si="13"/>
        <v>Error?</v>
      </c>
    </row>
    <row r="897" spans="1:4" x14ac:dyDescent="0.2">
      <c r="A897" s="5">
        <v>836</v>
      </c>
      <c r="B897" s="137">
        <f>'Expenditures 15-22'!F38</f>
        <v>1942</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9135</v>
      </c>
      <c r="C901" s="2" t="s">
        <v>573</v>
      </c>
      <c r="D901" s="2" t="str">
        <f t="shared" si="13"/>
        <v>Error?</v>
      </c>
    </row>
    <row r="902" spans="1:4" x14ac:dyDescent="0.2">
      <c r="A902" s="5">
        <v>841</v>
      </c>
      <c r="B902" s="137">
        <f>'Expenditures 15-22'!F44</f>
        <v>2742</v>
      </c>
      <c r="D902" s="2" t="str">
        <f t="shared" si="13"/>
        <v>Error?</v>
      </c>
    </row>
    <row r="903" spans="1:4" x14ac:dyDescent="0.2">
      <c r="A903" s="5">
        <v>842</v>
      </c>
      <c r="B903" s="137">
        <f>'Expenditures 15-22'!F45</f>
        <v>41884</v>
      </c>
      <c r="D903" s="2" t="str">
        <f t="shared" si="13"/>
        <v>Error?</v>
      </c>
    </row>
    <row r="904" spans="1:4" x14ac:dyDescent="0.2">
      <c r="A904" s="5">
        <v>843</v>
      </c>
      <c r="B904" s="137">
        <f>'Expenditures 15-22'!F46</f>
        <v>0</v>
      </c>
      <c r="D904" s="2" t="str">
        <f t="shared" si="13"/>
        <v>Error?</v>
      </c>
    </row>
    <row r="905" spans="1:4" x14ac:dyDescent="0.2">
      <c r="A905" s="5">
        <v>844</v>
      </c>
      <c r="B905" s="137">
        <f>'Expenditures 15-22'!F47</f>
        <v>44626</v>
      </c>
      <c r="C905" s="2" t="s">
        <v>573</v>
      </c>
      <c r="D905" s="2" t="str">
        <f t="shared" si="13"/>
        <v>Error?</v>
      </c>
    </row>
    <row r="906" spans="1:4" x14ac:dyDescent="0.2">
      <c r="A906" s="5">
        <v>845</v>
      </c>
      <c r="B906" s="137">
        <f>'Expenditures 15-22'!F49</f>
        <v>7113</v>
      </c>
      <c r="D906" s="2" t="str">
        <f t="shared" si="13"/>
        <v>Error?</v>
      </c>
    </row>
    <row r="907" spans="1:4" x14ac:dyDescent="0.2">
      <c r="A907" s="5">
        <v>846</v>
      </c>
      <c r="B907" s="137">
        <f>'Expenditures 15-22'!F50</f>
        <v>4180</v>
      </c>
      <c r="D907" s="2" t="str">
        <f t="shared" si="13"/>
        <v>Error?</v>
      </c>
    </row>
    <row r="908" spans="1:4" x14ac:dyDescent="0.2">
      <c r="A908" s="5">
        <v>847</v>
      </c>
      <c r="B908" s="137">
        <f>'Expenditures 15-22'!F53</f>
        <v>11293</v>
      </c>
      <c r="C908" s="2" t="s">
        <v>573</v>
      </c>
      <c r="D908" s="2" t="str">
        <f t="shared" si="13"/>
        <v>Error?</v>
      </c>
    </row>
    <row r="909" spans="1:4" x14ac:dyDescent="0.2">
      <c r="A909" s="5">
        <v>848</v>
      </c>
      <c r="B909" s="137">
        <f>'Expenditures 15-22'!F55</f>
        <v>23040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23040</v>
      </c>
      <c r="C911" s="2" t="s">
        <v>573</v>
      </c>
      <c r="D911" s="2" t="str">
        <f t="shared" si="13"/>
        <v>Error?</v>
      </c>
    </row>
    <row r="912" spans="1:4" x14ac:dyDescent="0.2">
      <c r="A912" s="5">
        <v>851</v>
      </c>
      <c r="B912" s="137">
        <f>'Expenditures 15-22'!F59</f>
        <v>-5</v>
      </c>
      <c r="D912" s="2" t="str">
        <f t="shared" si="13"/>
        <v>Error?</v>
      </c>
    </row>
    <row r="913" spans="1:4" x14ac:dyDescent="0.2">
      <c r="A913" s="5">
        <v>852</v>
      </c>
      <c r="B913" s="137">
        <f>'Expenditures 15-22'!F60</f>
        <v>2044</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100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2139</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163573</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374</v>
      </c>
      <c r="D925" s="2" t="str">
        <f t="shared" si="13"/>
        <v>Error?</v>
      </c>
    </row>
    <row r="926" spans="1:4" x14ac:dyDescent="0.2">
      <c r="A926" s="10">
        <v>865</v>
      </c>
      <c r="D926" s="2" t="str">
        <f t="shared" si="13"/>
        <v>OK</v>
      </c>
    </row>
    <row r="927" spans="1:4" x14ac:dyDescent="0.2">
      <c r="A927" s="5">
        <v>866</v>
      </c>
      <c r="B927" s="137">
        <f>'Expenditures 15-22'!F72</f>
        <v>163947</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254180</v>
      </c>
      <c r="C929" s="2" t="s">
        <v>573</v>
      </c>
      <c r="D929" s="2" t="str">
        <f t="shared" si="13"/>
        <v>Error?</v>
      </c>
    </row>
    <row r="930" spans="1:4" x14ac:dyDescent="0.2">
      <c r="A930" s="5">
        <v>869</v>
      </c>
      <c r="B930" s="137">
        <f>'Expenditures 15-22'!F75</f>
        <v>40</v>
      </c>
      <c r="D930" s="2" t="str">
        <f t="shared" si="13"/>
        <v>Error?</v>
      </c>
    </row>
    <row r="931" spans="1:4" x14ac:dyDescent="0.2">
      <c r="A931" s="5">
        <v>870</v>
      </c>
      <c r="B931" s="137">
        <f>'Expenditures 15-22'!F114</f>
        <v>720018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13142</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2225</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16862</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2796</v>
      </c>
      <c r="D961" s="2" t="str">
        <f t="shared" si="14"/>
        <v>Error?</v>
      </c>
    </row>
    <row r="962" spans="1:4" x14ac:dyDescent="0.2">
      <c r="A962" s="5">
        <v>901</v>
      </c>
      <c r="B962" s="137">
        <f>'Expenditures 15-22'!G46</f>
        <v>0</v>
      </c>
      <c r="D962" s="2" t="str">
        <f t="shared" si="14"/>
        <v>Error?</v>
      </c>
    </row>
    <row r="963" spans="1:4" x14ac:dyDescent="0.2">
      <c r="A963" s="5">
        <v>902</v>
      </c>
      <c r="B963" s="137">
        <f>'Expenditures 15-22'!G47</f>
        <v>2796</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3610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3610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23270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23270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29676</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46538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9159</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180</v>
      </c>
      <c r="D1007" s="2" t="str">
        <f t="shared" si="14"/>
        <v>Error?</v>
      </c>
    </row>
    <row r="1008" spans="1:4" x14ac:dyDescent="0.2">
      <c r="A1008" s="5">
        <v>947</v>
      </c>
      <c r="B1008" s="137">
        <f>'Expenditures 15-22'!H14</f>
        <v>40304</v>
      </c>
      <c r="D1008" s="2" t="str">
        <f t="shared" si="14"/>
        <v>Error?</v>
      </c>
    </row>
    <row r="1009" spans="1:4" x14ac:dyDescent="0.2">
      <c r="A1009" s="5">
        <v>948</v>
      </c>
      <c r="B1009" s="137">
        <f>'Expenditures 15-22'!H15</f>
        <v>1750</v>
      </c>
      <c r="D1009" s="2" t="str">
        <f t="shared" si="14"/>
        <v>Error?</v>
      </c>
    </row>
    <row r="1010" spans="1:4" x14ac:dyDescent="0.2">
      <c r="A1010" s="5">
        <v>949</v>
      </c>
      <c r="B1010" s="137">
        <f>'Expenditures 15-22'!H33</f>
        <v>1390354</v>
      </c>
      <c r="C1010" s="2" t="s">
        <v>573</v>
      </c>
      <c r="D1010" s="2" t="str">
        <f t="shared" si="14"/>
        <v>Error?</v>
      </c>
    </row>
    <row r="1011" spans="1:4" x14ac:dyDescent="0.2">
      <c r="A1011" s="5">
        <v>950</v>
      </c>
      <c r="B1011" s="137">
        <f>'Expenditures 15-22'!H36</f>
        <v>400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146</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546</v>
      </c>
      <c r="C1017" s="2" t="s">
        <v>573</v>
      </c>
      <c r="D1017" s="2" t="str">
        <f t="shared" si="14"/>
        <v>Error?</v>
      </c>
    </row>
    <row r="1018" spans="1:4" x14ac:dyDescent="0.2">
      <c r="A1018" s="5">
        <v>957</v>
      </c>
      <c r="B1018" s="137">
        <f>'Expenditures 15-22'!H44</f>
        <v>941</v>
      </c>
      <c r="D1018" s="2" t="str">
        <f t="shared" si="14"/>
        <v>Error?</v>
      </c>
    </row>
    <row r="1019" spans="1:4" x14ac:dyDescent="0.2">
      <c r="A1019" s="5">
        <v>958</v>
      </c>
      <c r="B1019" s="137">
        <f>'Expenditures 15-22'!H45</f>
        <v>3147</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4088</v>
      </c>
      <c r="C1021" s="2" t="s">
        <v>573</v>
      </c>
      <c r="D1021" s="2" t="str">
        <f t="shared" si="14"/>
        <v>Error?</v>
      </c>
    </row>
    <row r="1022" spans="1:4" x14ac:dyDescent="0.2">
      <c r="A1022" s="5">
        <v>961</v>
      </c>
      <c r="B1022" s="137">
        <f>'Expenditures 15-22'!H49</f>
        <v>8105</v>
      </c>
      <c r="D1022" s="2" t="str">
        <f t="shared" si="14"/>
        <v>Error?</v>
      </c>
    </row>
    <row r="1023" spans="1:4" x14ac:dyDescent="0.2">
      <c r="A1023" s="5">
        <v>962</v>
      </c>
      <c r="B1023" s="137">
        <f>'Expenditures 15-22'!H50</f>
        <v>3703</v>
      </c>
      <c r="D1023" s="2" t="str">
        <f t="shared" ref="D1023:D1086" si="15">IF(ISBLANK(B1023),"OK",IF(A1023-B1023=0,"OK","Error?"))</f>
        <v>Error?</v>
      </c>
    </row>
    <row r="1024" spans="1:4" x14ac:dyDescent="0.2">
      <c r="A1024" s="5">
        <v>963</v>
      </c>
      <c r="B1024" s="137">
        <f>'Expenditures 15-22'!H53</f>
        <v>11808</v>
      </c>
      <c r="C1024" s="2" t="s">
        <v>573</v>
      </c>
      <c r="D1024" s="2" t="str">
        <f t="shared" si="15"/>
        <v>Error?</v>
      </c>
    </row>
    <row r="1025" spans="1:4" x14ac:dyDescent="0.2">
      <c r="A1025" s="5">
        <v>964</v>
      </c>
      <c r="B1025" s="137">
        <f>'Expenditures 15-22'!H55</f>
        <v>1503</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1503</v>
      </c>
      <c r="C1027" s="2" t="s">
        <v>573</v>
      </c>
      <c r="D1027" s="2" t="str">
        <f t="shared" si="15"/>
        <v>Error?</v>
      </c>
    </row>
    <row r="1028" spans="1:4" x14ac:dyDescent="0.2">
      <c r="A1028" s="5">
        <v>967</v>
      </c>
      <c r="B1028" s="137">
        <f>'Expenditures 15-22'!H59</f>
        <v>956</v>
      </c>
      <c r="D1028" s="2" t="str">
        <f t="shared" si="15"/>
        <v>Error?</v>
      </c>
    </row>
    <row r="1029" spans="1:4" x14ac:dyDescent="0.2">
      <c r="A1029" s="5">
        <v>968</v>
      </c>
      <c r="B1029" s="137">
        <f>'Expenditures 15-22'!H60</f>
        <v>275</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1231</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154</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154</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19330</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28214</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1437898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10788542</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84169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333945</v>
      </c>
      <c r="C1105" s="2" t="s">
        <v>573</v>
      </c>
      <c r="D1105" s="2" t="str">
        <f t="shared" si="16"/>
        <v>Error?</v>
      </c>
    </row>
    <row r="1106" spans="1:4" x14ac:dyDescent="0.2">
      <c r="A1106" s="5">
        <v>1045</v>
      </c>
      <c r="B1106" s="137">
        <f>'Expenditures 15-22'!K14</f>
        <v>923698</v>
      </c>
      <c r="C1106" s="2" t="s">
        <v>573</v>
      </c>
      <c r="D1106" s="2" t="str">
        <f t="shared" si="16"/>
        <v>Error?</v>
      </c>
    </row>
    <row r="1107" spans="1:4" x14ac:dyDescent="0.2">
      <c r="A1107" s="5">
        <v>1046</v>
      </c>
      <c r="B1107" s="137">
        <f>'Expenditures 15-22'!K15</f>
        <v>146143</v>
      </c>
      <c r="C1107" s="2" t="s">
        <v>573</v>
      </c>
      <c r="D1107" s="2" t="str">
        <f t="shared" si="16"/>
        <v>Error?</v>
      </c>
    </row>
    <row r="1108" spans="1:4" x14ac:dyDescent="0.2">
      <c r="A1108" s="5">
        <v>1047</v>
      </c>
      <c r="B1108" s="137">
        <f>'Expenditures 15-22'!K33</f>
        <v>16456032</v>
      </c>
      <c r="C1108" s="2" t="s">
        <v>573</v>
      </c>
      <c r="D1108" s="2" t="str">
        <f t="shared" si="16"/>
        <v>Error?</v>
      </c>
    </row>
    <row r="1109" spans="1:4" x14ac:dyDescent="0.2">
      <c r="A1109" s="5">
        <v>1048</v>
      </c>
      <c r="B1109" s="137">
        <f>'Expenditures 15-22'!K36</f>
        <v>745688</v>
      </c>
      <c r="C1109" s="2" t="s">
        <v>573</v>
      </c>
      <c r="D1109" s="2" t="str">
        <f t="shared" si="16"/>
        <v>Error?</v>
      </c>
    </row>
    <row r="1110" spans="1:4" x14ac:dyDescent="0.2">
      <c r="A1110" s="5">
        <v>1049</v>
      </c>
      <c r="B1110" s="137">
        <f>'Expenditures 15-22'!K37</f>
        <v>772033</v>
      </c>
      <c r="C1110" s="2" t="s">
        <v>573</v>
      </c>
      <c r="D1110" s="2" t="str">
        <f t="shared" si="16"/>
        <v>Error?</v>
      </c>
    </row>
    <row r="1111" spans="1:4" x14ac:dyDescent="0.2">
      <c r="A1111" s="5">
        <v>1050</v>
      </c>
      <c r="B1111" s="137">
        <f>'Expenditures 15-22'!K38</f>
        <v>77216</v>
      </c>
      <c r="C1111" s="2" t="s">
        <v>573</v>
      </c>
      <c r="D1111" s="2" t="str">
        <f t="shared" si="16"/>
        <v>Error?</v>
      </c>
    </row>
    <row r="1112" spans="1:4" x14ac:dyDescent="0.2">
      <c r="A1112" s="5">
        <v>1051</v>
      </c>
      <c r="B1112" s="137">
        <f>'Expenditures 15-22'!K39</f>
        <v>0</v>
      </c>
      <c r="C1112" s="2" t="s">
        <v>573</v>
      </c>
      <c r="D1112" s="2" t="str">
        <f t="shared" si="16"/>
        <v>Error?</v>
      </c>
    </row>
    <row r="1113" spans="1:4" x14ac:dyDescent="0.2">
      <c r="A1113" s="5">
        <v>1052</v>
      </c>
      <c r="B1113" s="137">
        <f>'Expenditures 15-22'!K40</f>
        <v>0</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1594937</v>
      </c>
      <c r="C1115" s="2" t="s">
        <v>573</v>
      </c>
      <c r="D1115" s="2" t="str">
        <f t="shared" si="16"/>
        <v>Error?</v>
      </c>
    </row>
    <row r="1116" spans="1:4" x14ac:dyDescent="0.2">
      <c r="A1116" s="5">
        <v>1055</v>
      </c>
      <c r="B1116" s="137">
        <f>'Expenditures 15-22'!K44</f>
        <v>197788</v>
      </c>
      <c r="C1116" s="2" t="s">
        <v>573</v>
      </c>
      <c r="D1116" s="2" t="str">
        <f t="shared" si="16"/>
        <v>Error?</v>
      </c>
    </row>
    <row r="1117" spans="1:4" x14ac:dyDescent="0.2">
      <c r="A1117" s="5">
        <v>1056</v>
      </c>
      <c r="B1117" s="137">
        <f>'Expenditures 15-22'!K45</f>
        <v>312055</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509843</v>
      </c>
      <c r="C1119" s="2" t="s">
        <v>573</v>
      </c>
      <c r="D1119" s="2" t="str">
        <f t="shared" si="16"/>
        <v>Error?</v>
      </c>
    </row>
    <row r="1120" spans="1:4" x14ac:dyDescent="0.2">
      <c r="A1120" s="5">
        <v>1059</v>
      </c>
      <c r="B1120" s="137">
        <f>'Expenditures 15-22'!K49</f>
        <v>242968</v>
      </c>
      <c r="C1120" s="2" t="s">
        <v>573</v>
      </c>
      <c r="D1120" s="2" t="str">
        <f t="shared" si="16"/>
        <v>Error?</v>
      </c>
    </row>
    <row r="1121" spans="1:4" x14ac:dyDescent="0.2">
      <c r="A1121" s="5">
        <v>1060</v>
      </c>
      <c r="B1121" s="137">
        <f>'Expenditures 15-22'!K50</f>
        <v>378227</v>
      </c>
      <c r="C1121" s="2" t="s">
        <v>573</v>
      </c>
      <c r="D1121" s="2" t="str">
        <f t="shared" si="16"/>
        <v>Error?</v>
      </c>
    </row>
    <row r="1122" spans="1:4" x14ac:dyDescent="0.2">
      <c r="A1122" s="5">
        <v>1061</v>
      </c>
      <c r="B1122" s="137">
        <f>'Expenditures 15-22'!K53</f>
        <v>621195</v>
      </c>
      <c r="C1122" s="2" t="s">
        <v>573</v>
      </c>
      <c r="D1122" s="2" t="str">
        <f t="shared" si="16"/>
        <v>Error?</v>
      </c>
    </row>
    <row r="1123" spans="1:4" x14ac:dyDescent="0.2">
      <c r="A1123" s="5">
        <v>1062</v>
      </c>
      <c r="B1123" s="137">
        <f>'Expenditures 15-22'!K55</f>
        <v>297067</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297067</v>
      </c>
      <c r="C1125" s="2" t="s">
        <v>573</v>
      </c>
      <c r="D1125" s="2" t="str">
        <f t="shared" si="16"/>
        <v>Error?</v>
      </c>
    </row>
    <row r="1126" spans="1:4" x14ac:dyDescent="0.2">
      <c r="A1126" s="5">
        <v>1065</v>
      </c>
      <c r="B1126" s="137">
        <f>'Expenditures 15-22'!K59</f>
        <v>118725</v>
      </c>
      <c r="C1126" s="2" t="s">
        <v>573</v>
      </c>
      <c r="D1126" s="2" t="str">
        <f t="shared" si="16"/>
        <v>Error?</v>
      </c>
    </row>
    <row r="1127" spans="1:4" x14ac:dyDescent="0.2">
      <c r="A1127" s="5">
        <v>1066</v>
      </c>
      <c r="B1127" s="137">
        <f>'Expenditures 15-22'!K60</f>
        <v>208536</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339765</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667026</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34728</v>
      </c>
      <c r="C1135" s="2" t="s">
        <v>573</v>
      </c>
      <c r="D1135" s="2" t="str">
        <f t="shared" si="16"/>
        <v>Error?</v>
      </c>
    </row>
    <row r="1136" spans="1:4" x14ac:dyDescent="0.2">
      <c r="A1136" s="5">
        <v>1075</v>
      </c>
      <c r="B1136" s="137">
        <f>'Expenditures 15-22'!K69</f>
        <v>655871</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90842</v>
      </c>
      <c r="C1139" s="2" t="s">
        <v>573</v>
      </c>
      <c r="D1139" s="2" t="str">
        <f t="shared" si="16"/>
        <v>Error?</v>
      </c>
    </row>
    <row r="1140" spans="1:4" x14ac:dyDescent="0.2">
      <c r="A1140" s="10">
        <v>1079</v>
      </c>
      <c r="D1140" s="2" t="str">
        <f t="shared" si="16"/>
        <v>OK</v>
      </c>
    </row>
    <row r="1141" spans="1:4" x14ac:dyDescent="0.2">
      <c r="A1141" s="5">
        <v>1080</v>
      </c>
      <c r="B1141" s="137">
        <f>'Expenditures 15-22'!K72</f>
        <v>781441</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4471509</v>
      </c>
      <c r="C1143" s="2" t="s">
        <v>573</v>
      </c>
      <c r="D1143" s="2" t="str">
        <f t="shared" si="16"/>
        <v>Error?</v>
      </c>
    </row>
    <row r="1144" spans="1:4" x14ac:dyDescent="0.2">
      <c r="A1144" s="5">
        <v>1083</v>
      </c>
      <c r="B1144" s="137">
        <f>'Expenditures 15-22'!K75</f>
        <v>124035</v>
      </c>
      <c r="C1144" s="2" t="s">
        <v>573</v>
      </c>
      <c r="D1144" s="2" t="str">
        <f t="shared" si="16"/>
        <v>Error?</v>
      </c>
    </row>
    <row r="1145" spans="1:4" x14ac:dyDescent="0.2">
      <c r="A1145" s="5">
        <v>1084</v>
      </c>
      <c r="B1145" s="137">
        <f>'Expenditures 15-22'!K102</f>
        <v>611942</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21663518</v>
      </c>
      <c r="C1152" s="2" t="s">
        <v>573</v>
      </c>
      <c r="D1152" s="2" t="str">
        <f t="shared" si="17"/>
        <v>Error?</v>
      </c>
    </row>
    <row r="1153" spans="1:4" x14ac:dyDescent="0.2">
      <c r="A1153" s="5">
        <v>1092</v>
      </c>
      <c r="B1153" s="137">
        <f>'Expenditures 15-22'!K115</f>
        <v>82616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573</v>
      </c>
      <c r="D1225" s="2" t="str">
        <f t="shared" si="18"/>
        <v>Error?</v>
      </c>
    </row>
    <row r="1226" spans="1:4" x14ac:dyDescent="0.2">
      <c r="A1226" s="5">
        <v>1165</v>
      </c>
      <c r="B1226" s="137">
        <f>'Expenditures 15-22'!C151</f>
        <v>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573</v>
      </c>
      <c r="D1233" s="2" t="str">
        <f t="shared" si="18"/>
        <v>Error?</v>
      </c>
    </row>
    <row r="1234" spans="1:4" x14ac:dyDescent="0.2">
      <c r="A1234" s="5">
        <v>1173</v>
      </c>
      <c r="B1234" s="137">
        <f>'Expenditures 15-22'!D151</f>
        <v>0</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1771352</v>
      </c>
      <c r="D1237" s="2" t="str">
        <f t="shared" si="18"/>
        <v>Error?</v>
      </c>
    </row>
    <row r="1238" spans="1:4" x14ac:dyDescent="0.2">
      <c r="A1238" s="10">
        <v>1177</v>
      </c>
      <c r="D1238" s="2" t="str">
        <f t="shared" si="18"/>
        <v>OK</v>
      </c>
    </row>
    <row r="1239" spans="1:4" x14ac:dyDescent="0.2">
      <c r="A1239" s="5">
        <v>1178</v>
      </c>
      <c r="B1239" s="137">
        <f>'Expenditures 15-22'!E127</f>
        <v>1771352</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1771352</v>
      </c>
      <c r="C1241" s="2" t="s">
        <v>573</v>
      </c>
      <c r="D1241" s="2" t="str">
        <f t="shared" si="18"/>
        <v>Error?</v>
      </c>
    </row>
    <row r="1242" spans="1:4" x14ac:dyDescent="0.2">
      <c r="A1242" s="5">
        <v>1181</v>
      </c>
      <c r="B1242" s="137">
        <f>'Expenditures 15-22'!E151</f>
        <v>1771352</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689295</v>
      </c>
      <c r="D1245" s="2" t="str">
        <f t="shared" si="18"/>
        <v>Error?</v>
      </c>
    </row>
    <row r="1246" spans="1:4" x14ac:dyDescent="0.2">
      <c r="A1246" s="10">
        <v>1185</v>
      </c>
      <c r="D1246" s="2" t="str">
        <f t="shared" si="18"/>
        <v>OK</v>
      </c>
    </row>
    <row r="1247" spans="1:4" x14ac:dyDescent="0.2">
      <c r="A1247" s="5">
        <v>1186</v>
      </c>
      <c r="B1247" s="137">
        <f>'Expenditures 15-22'!F127</f>
        <v>689295</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689295</v>
      </c>
      <c r="C1249" s="2" t="s">
        <v>573</v>
      </c>
      <c r="D1249" s="2" t="str">
        <f t="shared" si="18"/>
        <v>Error?</v>
      </c>
    </row>
    <row r="1250" spans="1:4" x14ac:dyDescent="0.2">
      <c r="A1250" s="5">
        <v>1189</v>
      </c>
      <c r="B1250" s="137">
        <f>'Expenditures 15-22'!F151</f>
        <v>689295</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80231</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80231</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80231</v>
      </c>
      <c r="C1258" s="2" t="s">
        <v>573</v>
      </c>
      <c r="D1258" s="2" t="str">
        <f t="shared" si="18"/>
        <v>Error?</v>
      </c>
    </row>
    <row r="1259" spans="1:4" x14ac:dyDescent="0.2">
      <c r="A1259" s="5">
        <v>1198</v>
      </c>
      <c r="B1259" s="137">
        <f>'Expenditures 15-22'!G151</f>
        <v>80231</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2548610</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2548610</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2548610</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2548610</v>
      </c>
      <c r="C1288" s="2" t="s">
        <v>573</v>
      </c>
      <c r="D1288" s="2" t="str">
        <f t="shared" si="19"/>
        <v>Error?</v>
      </c>
    </row>
    <row r="1289" spans="1:4" x14ac:dyDescent="0.2">
      <c r="A1289" s="5">
        <v>1228</v>
      </c>
      <c r="B1289" s="137">
        <f>'Expenditures 15-22'!K152</f>
        <v>4406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1692771</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3859254</v>
      </c>
      <c r="D1315" s="2" t="str">
        <f t="shared" si="19"/>
        <v>Error?</v>
      </c>
    </row>
    <row r="1316" spans="1:4" x14ac:dyDescent="0.2">
      <c r="A1316" s="5">
        <v>1255</v>
      </c>
      <c r="B1316" s="137">
        <f>'Expenditures 15-22'!H171</f>
        <v>3875</v>
      </c>
      <c r="D1316" s="2" t="str">
        <f t="shared" si="19"/>
        <v>Error?</v>
      </c>
    </row>
    <row r="1317" spans="1:4" x14ac:dyDescent="0.2">
      <c r="A1317" s="5">
        <v>1256</v>
      </c>
      <c r="B1317" s="137">
        <f>'Expenditures 15-22'!H172</f>
        <v>5555900</v>
      </c>
      <c r="C1317" s="2" t="s">
        <v>573</v>
      </c>
      <c r="D1317" s="2" t="str">
        <f t="shared" si="19"/>
        <v>Error?</v>
      </c>
    </row>
    <row r="1318" spans="1:4" x14ac:dyDescent="0.2">
      <c r="A1318" s="5">
        <v>1257</v>
      </c>
      <c r="B1318" s="137">
        <f>'Expenditures 15-22'!H174</f>
        <v>5555900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1692771</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3859254</v>
      </c>
      <c r="C1329" s="2" t="s">
        <v>573</v>
      </c>
      <c r="D1329" s="2" t="str">
        <f t="shared" si="19"/>
        <v>Error?</v>
      </c>
    </row>
    <row r="1330" spans="1:4" x14ac:dyDescent="0.2">
      <c r="A1330" s="5">
        <v>1269</v>
      </c>
      <c r="B1330" s="137">
        <f>'Expenditures 15-22'!K171</f>
        <v>3875</v>
      </c>
      <c r="C1330" s="2" t="s">
        <v>573</v>
      </c>
      <c r="D1330" s="2" t="str">
        <f t="shared" si="19"/>
        <v>Error?</v>
      </c>
    </row>
    <row r="1331" spans="1:4" x14ac:dyDescent="0.2">
      <c r="A1331" s="5">
        <v>1270</v>
      </c>
      <c r="B1331" s="137">
        <f>'Expenditures 15-22'!K172</f>
        <v>5555900</v>
      </c>
      <c r="C1331" s="2" t="s">
        <v>573</v>
      </c>
      <c r="D1331" s="2" t="str">
        <f t="shared" si="19"/>
        <v>Error?</v>
      </c>
    </row>
    <row r="1332" spans="1:4" x14ac:dyDescent="0.2">
      <c r="A1332" s="5">
        <v>1271</v>
      </c>
      <c r="B1332" s="137">
        <f>'Expenditures 15-22'!K174</f>
        <v>5555900</v>
      </c>
      <c r="C1332" s="2" t="s">
        <v>573</v>
      </c>
      <c r="D1332" s="2" t="str">
        <f t="shared" si="19"/>
        <v>Error?</v>
      </c>
    </row>
    <row r="1333" spans="1:4" x14ac:dyDescent="0.2">
      <c r="A1333" s="5">
        <v>1272</v>
      </c>
      <c r="B1333" s="137">
        <f>'Expenditures 15-22'!K175</f>
        <v>337292</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701853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701853</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701853</v>
      </c>
      <c r="C1353" s="2" t="s">
        <v>573</v>
      </c>
      <c r="D1353" s="2" t="str">
        <f t="shared" si="20"/>
        <v>Error?</v>
      </c>
    </row>
    <row r="1354" spans="1:4" x14ac:dyDescent="0.2">
      <c r="A1354" s="5">
        <v>1293</v>
      </c>
      <c r="B1354" s="137">
        <f>'Expenditures 15-22'!F182</f>
        <v>806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806</v>
      </c>
      <c r="C1358" s="2" t="s">
        <v>573</v>
      </c>
      <c r="D1358" s="2" t="str">
        <f t="shared" si="20"/>
        <v>Error?</v>
      </c>
    </row>
    <row r="1359" spans="1:4" x14ac:dyDescent="0.2">
      <c r="A1359" s="5">
        <v>1298</v>
      </c>
      <c r="B1359" s="137">
        <f>'Expenditures 15-22'!F210</f>
        <v>806</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15292</v>
      </c>
      <c r="C1375" s="2" t="s">
        <v>573</v>
      </c>
      <c r="D1375" s="2" t="str">
        <f t="shared" si="20"/>
        <v>Error?</v>
      </c>
    </row>
    <row r="1376" spans="1:4" x14ac:dyDescent="0.2">
      <c r="A1376" s="5">
        <v>1315</v>
      </c>
      <c r="B1376" s="137">
        <f>'Expenditures 15-22'!H210</f>
        <v>15292</v>
      </c>
      <c r="C1376" s="2" t="s">
        <v>573</v>
      </c>
      <c r="D1376" s="2" t="str">
        <f t="shared" si="20"/>
        <v>Error?</v>
      </c>
    </row>
    <row r="1377" spans="1:4" x14ac:dyDescent="0.2">
      <c r="A1377" s="5">
        <v>1316</v>
      </c>
      <c r="B1377" s="137">
        <f>'Expenditures 15-22'!K182</f>
        <v>702659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702659</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15292</v>
      </c>
      <c r="C1387" s="2" t="s">
        <v>573</v>
      </c>
      <c r="D1387" s="2" t="str">
        <f t="shared" si="20"/>
        <v>Error?</v>
      </c>
    </row>
    <row r="1388" spans="1:4" x14ac:dyDescent="0.2">
      <c r="A1388" s="5">
        <v>1327</v>
      </c>
      <c r="B1388" s="137">
        <f>'Expenditures 15-22'!K210</f>
        <v>717951</v>
      </c>
      <c r="C1388" s="2" t="s">
        <v>573</v>
      </c>
      <c r="D1388" s="2" t="str">
        <f t="shared" si="20"/>
        <v>Error?</v>
      </c>
    </row>
    <row r="1389" spans="1:4" x14ac:dyDescent="0.2">
      <c r="A1389" s="5">
        <v>1328</v>
      </c>
      <c r="B1389" s="137">
        <f>'Expenditures 15-22'!K211</f>
        <v>226535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3463</v>
      </c>
      <c r="D1407" s="2" t="str">
        <f t="shared" ref="D1407:D1470" si="21">IF(ISBLANK(B1407),"OK",IF(A1407-B1407=0,"OK","Error?"))</f>
        <v>Error?</v>
      </c>
    </row>
    <row r="1408" spans="1:4" x14ac:dyDescent="0.2">
      <c r="A1408" s="5">
        <v>1347</v>
      </c>
      <c r="B1408" s="137">
        <f>'Expenditures 15-22'!D223</f>
        <v>31259</v>
      </c>
      <c r="D1408" s="2" t="str">
        <f t="shared" si="21"/>
        <v>Error?</v>
      </c>
    </row>
    <row r="1409" spans="1:4" x14ac:dyDescent="0.2">
      <c r="A1409" s="5">
        <v>1348</v>
      </c>
      <c r="B1409" s="137">
        <f>'Expenditures 15-22'!D224</f>
        <v>3512</v>
      </c>
      <c r="D1409" s="2" t="str">
        <f t="shared" si="21"/>
        <v>Error?</v>
      </c>
    </row>
    <row r="1410" spans="1:4" x14ac:dyDescent="0.2">
      <c r="A1410" s="5">
        <v>1349</v>
      </c>
      <c r="B1410" s="137">
        <f>'Expenditures 15-22'!D229</f>
        <v>327988</v>
      </c>
      <c r="C1410" s="2" t="s">
        <v>573</v>
      </c>
      <c r="D1410" s="2" t="str">
        <f t="shared" si="21"/>
        <v>Error?</v>
      </c>
    </row>
    <row r="1411" spans="1:4" x14ac:dyDescent="0.2">
      <c r="A1411" s="5">
        <v>1350</v>
      </c>
      <c r="B1411" s="137">
        <f>'Expenditures 15-22'!D232</f>
        <v>54378</v>
      </c>
      <c r="D1411" s="2" t="str">
        <f t="shared" si="21"/>
        <v>Error?</v>
      </c>
    </row>
    <row r="1412" spans="1:4" x14ac:dyDescent="0.2">
      <c r="A1412" s="5">
        <v>1351</v>
      </c>
      <c r="B1412" s="137">
        <f>'Expenditures 15-22'!D233</f>
        <v>18459</v>
      </c>
      <c r="D1412" s="2" t="str">
        <f t="shared" si="21"/>
        <v>Error?</v>
      </c>
    </row>
    <row r="1413" spans="1:4" x14ac:dyDescent="0.2">
      <c r="A1413" s="5">
        <v>1352</v>
      </c>
      <c r="B1413" s="137">
        <f>'Expenditures 15-22'!D234</f>
        <v>9971</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82808</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24532</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24532</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16255</v>
      </c>
      <c r="D1423" s="2" t="str">
        <f t="shared" si="21"/>
        <v>Error?</v>
      </c>
    </row>
    <row r="1424" spans="1:4" x14ac:dyDescent="0.2">
      <c r="A1424" s="5">
        <v>1363</v>
      </c>
      <c r="B1424" s="137">
        <f>'Expenditures 15-22'!D257</f>
        <v>16255</v>
      </c>
      <c r="C1424" s="2" t="s">
        <v>573</v>
      </c>
      <c r="D1424" s="2" t="str">
        <f t="shared" si="21"/>
        <v>Error?</v>
      </c>
    </row>
    <row r="1425" spans="1:4" x14ac:dyDescent="0.2">
      <c r="A1425" s="5">
        <v>1364</v>
      </c>
      <c r="B1425" s="137">
        <f>'Expenditures 15-22'!D259</f>
        <v>17544</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17544</v>
      </c>
      <c r="C1427" s="2" t="s">
        <v>573</v>
      </c>
      <c r="D1427" s="2" t="str">
        <f t="shared" si="21"/>
        <v>Error?</v>
      </c>
    </row>
    <row r="1428" spans="1:4" x14ac:dyDescent="0.2">
      <c r="A1428" s="5">
        <v>1367</v>
      </c>
      <c r="B1428" s="137">
        <f>'Expenditures 15-22'!D263</f>
        <v>1350</v>
      </c>
      <c r="D1428" s="2" t="str">
        <f t="shared" si="21"/>
        <v>Error?</v>
      </c>
    </row>
    <row r="1429" spans="1:4" x14ac:dyDescent="0.2">
      <c r="A1429" s="5">
        <v>1368</v>
      </c>
      <c r="B1429" s="137">
        <f>'Expenditures 15-22'!D264</f>
        <v>24564</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25914</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10424</v>
      </c>
      <c r="D1442" s="2" t="str">
        <f t="shared" si="21"/>
        <v>Error?</v>
      </c>
    </row>
    <row r="1443" spans="1:4" x14ac:dyDescent="0.2">
      <c r="A1443" s="10">
        <v>1382</v>
      </c>
      <c r="D1443" s="2" t="str">
        <f t="shared" si="21"/>
        <v>OK</v>
      </c>
    </row>
    <row r="1444" spans="1:4" x14ac:dyDescent="0.2">
      <c r="A1444" s="5">
        <v>1383</v>
      </c>
      <c r="B1444" s="137">
        <f>'Expenditures 15-22'!D277</f>
        <v>10424</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177477</v>
      </c>
      <c r="C1446" s="2" t="s">
        <v>573</v>
      </c>
      <c r="D1446" s="2" t="str">
        <f t="shared" si="21"/>
        <v>Error?</v>
      </c>
    </row>
    <row r="1447" spans="1:4" x14ac:dyDescent="0.2">
      <c r="A1447" s="5">
        <v>1386</v>
      </c>
      <c r="B1447" s="137">
        <f>'Expenditures 15-22'!D280</f>
        <v>15205</v>
      </c>
      <c r="D1447" s="2" t="str">
        <f t="shared" si="21"/>
        <v>Error?</v>
      </c>
    </row>
    <row r="1448" spans="1:4" x14ac:dyDescent="0.2">
      <c r="A1448" s="5">
        <v>1387</v>
      </c>
      <c r="B1448" s="137">
        <f>'Expenditures 15-22'!D295</f>
        <v>520670</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3463</v>
      </c>
      <c r="C1471" s="2" t="s">
        <v>573</v>
      </c>
      <c r="D1471" s="2" t="str">
        <f t="shared" ref="D1471:D1534" si="22">IF(ISBLANK(B1471),"OK",IF(A1471-B1471=0,"OK","Error?"))</f>
        <v>Error?</v>
      </c>
    </row>
    <row r="1472" spans="1:4" x14ac:dyDescent="0.2">
      <c r="A1472" s="5">
        <v>1411</v>
      </c>
      <c r="B1472" s="137">
        <f>'Expenditures 15-22'!K223</f>
        <v>31259</v>
      </c>
      <c r="C1472" s="2" t="s">
        <v>573</v>
      </c>
      <c r="D1472" s="2" t="str">
        <f t="shared" si="22"/>
        <v>Error?</v>
      </c>
    </row>
    <row r="1473" spans="1:4" x14ac:dyDescent="0.2">
      <c r="A1473" s="5">
        <v>1412</v>
      </c>
      <c r="B1473" s="137">
        <f>'Expenditures 15-22'!K224</f>
        <v>3512</v>
      </c>
      <c r="C1473" s="2" t="s">
        <v>573</v>
      </c>
      <c r="D1473" s="2" t="str">
        <f t="shared" si="22"/>
        <v>Error?</v>
      </c>
    </row>
    <row r="1474" spans="1:4" x14ac:dyDescent="0.2">
      <c r="A1474" s="5">
        <v>1413</v>
      </c>
      <c r="B1474" s="137">
        <f>'Expenditures 15-22'!K229</f>
        <v>327988</v>
      </c>
      <c r="C1474" s="2" t="s">
        <v>573</v>
      </c>
      <c r="D1474" s="2" t="str">
        <f t="shared" si="22"/>
        <v>Error?</v>
      </c>
    </row>
    <row r="1475" spans="1:4" x14ac:dyDescent="0.2">
      <c r="A1475" s="5">
        <v>1414</v>
      </c>
      <c r="B1475" s="137">
        <f>'Expenditures 15-22'!K232</f>
        <v>54378</v>
      </c>
      <c r="C1475" s="2" t="s">
        <v>573</v>
      </c>
      <c r="D1475" s="2" t="str">
        <f t="shared" si="22"/>
        <v>Error?</v>
      </c>
    </row>
    <row r="1476" spans="1:4" x14ac:dyDescent="0.2">
      <c r="A1476" s="5">
        <v>1415</v>
      </c>
      <c r="B1476" s="137">
        <f>'Expenditures 15-22'!K233</f>
        <v>18459</v>
      </c>
      <c r="C1476" s="2" t="s">
        <v>573</v>
      </c>
      <c r="D1476" s="2" t="str">
        <f t="shared" si="22"/>
        <v>Error?</v>
      </c>
    </row>
    <row r="1477" spans="1:4" x14ac:dyDescent="0.2">
      <c r="A1477" s="5">
        <v>1416</v>
      </c>
      <c r="B1477" s="137">
        <f>'Expenditures 15-22'!K234</f>
        <v>9971</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82808</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24532</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24532</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16255</v>
      </c>
      <c r="C1487" s="2" t="s">
        <v>573</v>
      </c>
      <c r="D1487" s="2" t="str">
        <f t="shared" si="22"/>
        <v>Error?</v>
      </c>
    </row>
    <row r="1488" spans="1:4" x14ac:dyDescent="0.2">
      <c r="A1488" s="5">
        <v>1427</v>
      </c>
      <c r="B1488" s="137">
        <f>'Expenditures 15-22'!K257</f>
        <v>16255</v>
      </c>
      <c r="C1488" s="2" t="s">
        <v>573</v>
      </c>
      <c r="D1488" s="2" t="str">
        <f t="shared" si="22"/>
        <v>Error?</v>
      </c>
    </row>
    <row r="1489" spans="1:4" x14ac:dyDescent="0.2">
      <c r="A1489" s="5">
        <v>1428</v>
      </c>
      <c r="B1489" s="137">
        <f>'Expenditures 15-22'!K259</f>
        <v>17544</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17544</v>
      </c>
      <c r="C1491" s="2" t="s">
        <v>573</v>
      </c>
      <c r="D1491" s="2" t="str">
        <f t="shared" si="22"/>
        <v>Error?</v>
      </c>
    </row>
    <row r="1492" spans="1:4" x14ac:dyDescent="0.2">
      <c r="A1492" s="5">
        <v>1431</v>
      </c>
      <c r="B1492" s="137">
        <f>'Expenditures 15-22'!K263</f>
        <v>1350</v>
      </c>
      <c r="C1492" s="2" t="s">
        <v>573</v>
      </c>
      <c r="D1492" s="2" t="str">
        <f t="shared" si="22"/>
        <v>Error?</v>
      </c>
    </row>
    <row r="1493" spans="1:4" x14ac:dyDescent="0.2">
      <c r="A1493" s="5">
        <v>1432</v>
      </c>
      <c r="B1493" s="137">
        <f>'Expenditures 15-22'!K264</f>
        <v>24564</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0</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25914</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10424</v>
      </c>
      <c r="C1506" s="2" t="s">
        <v>573</v>
      </c>
      <c r="D1506" s="2" t="str">
        <f t="shared" si="22"/>
        <v>Error?</v>
      </c>
    </row>
    <row r="1507" spans="1:4" x14ac:dyDescent="0.2">
      <c r="A1507" s="10">
        <v>1446</v>
      </c>
      <c r="D1507" s="2" t="str">
        <f t="shared" si="22"/>
        <v>OK</v>
      </c>
    </row>
    <row r="1508" spans="1:4" x14ac:dyDescent="0.2">
      <c r="A1508" s="5">
        <v>1447</v>
      </c>
      <c r="B1508" s="137">
        <f>'Expenditures 15-22'!K277</f>
        <v>10424</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177477</v>
      </c>
      <c r="C1510" s="2" t="s">
        <v>573</v>
      </c>
      <c r="D1510" s="2" t="str">
        <f t="shared" si="22"/>
        <v>Error?</v>
      </c>
    </row>
    <row r="1511" spans="1:4" x14ac:dyDescent="0.2">
      <c r="A1511" s="5">
        <v>1450</v>
      </c>
      <c r="B1511" s="137">
        <f>'Expenditures 15-22'!K280</f>
        <v>15205</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520670</v>
      </c>
      <c r="C1517" s="2" t="s">
        <v>573</v>
      </c>
      <c r="D1517" s="2" t="str">
        <f t="shared" si="22"/>
        <v>Error?</v>
      </c>
    </row>
    <row r="1518" spans="1:4" x14ac:dyDescent="0.2">
      <c r="A1518" s="5">
        <v>1457</v>
      </c>
      <c r="B1518" s="137">
        <f>'Expenditures 15-22'!K296</f>
        <v>39723</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28438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28438</v>
      </c>
      <c r="C1547" s="2" t="s">
        <v>573</v>
      </c>
      <c r="D1547" s="2" t="str">
        <f t="shared" si="23"/>
        <v>Error?</v>
      </c>
    </row>
    <row r="1548" spans="1:4" x14ac:dyDescent="0.2">
      <c r="A1548" s="5">
        <v>1487</v>
      </c>
      <c r="B1548" s="137">
        <f>'Expenditures 15-22'!G312</f>
        <v>28438</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28438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28438</v>
      </c>
      <c r="C1559" s="2" t="s">
        <v>573</v>
      </c>
      <c r="D1559" s="2" t="str">
        <f t="shared" si="23"/>
        <v>Error?</v>
      </c>
    </row>
    <row r="1560" spans="1:4" x14ac:dyDescent="0.2">
      <c r="A1560" s="5">
        <v>1499</v>
      </c>
      <c r="B1560" s="137">
        <f>'Expenditures 15-22'!K312</f>
        <v>28438</v>
      </c>
      <c r="C1560" s="2" t="s">
        <v>573</v>
      </c>
      <c r="D1560" s="2" t="str">
        <f t="shared" si="23"/>
        <v>Error?</v>
      </c>
    </row>
    <row r="1561" spans="1:4" x14ac:dyDescent="0.2">
      <c r="A1561" s="5">
        <v>1500</v>
      </c>
      <c r="B1561" s="137">
        <f>'Expenditures 15-22'!K313</f>
        <v>-28009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13383456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13478550</v>
      </c>
      <c r="C1630" s="2" t="s">
        <v>573</v>
      </c>
      <c r="D1630" s="2" t="str">
        <f t="shared" si="24"/>
        <v>Error?</v>
      </c>
    </row>
    <row r="1631" spans="1:4" x14ac:dyDescent="0.2">
      <c r="A1631" s="5">
        <v>1570</v>
      </c>
      <c r="B1631" s="137">
        <f>'Acct Summary 7-8'!D79</f>
        <v>2615336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2619742</v>
      </c>
      <c r="C1644" s="2" t="s">
        <v>573</v>
      </c>
      <c r="D1644" s="2" t="str">
        <f t="shared" si="24"/>
        <v>Error?</v>
      </c>
    </row>
    <row r="1645" spans="1:4" x14ac:dyDescent="0.2">
      <c r="A1645" s="5">
        <v>1584</v>
      </c>
      <c r="B1645" s="137">
        <f>'Acct Summary 7-8'!E79</f>
        <v>4998424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5323238</v>
      </c>
      <c r="C1658" s="2" t="s">
        <v>573</v>
      </c>
      <c r="D1658" s="2" t="str">
        <f t="shared" si="24"/>
        <v>Error?</v>
      </c>
    </row>
    <row r="1659" spans="1:4" x14ac:dyDescent="0.2">
      <c r="A1659" s="5">
        <v>1598</v>
      </c>
      <c r="B1659" s="137">
        <f>'Acct Summary 7-8'!F79</f>
        <v>692466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919001</v>
      </c>
      <c r="C1672" s="2" t="s">
        <v>573</v>
      </c>
      <c r="D1672" s="2" t="str">
        <f t="shared" si="25"/>
        <v>Error?</v>
      </c>
    </row>
    <row r="1673" spans="1:4" x14ac:dyDescent="0.2">
      <c r="A1673" s="5">
        <v>1612</v>
      </c>
      <c r="B1673" s="137">
        <f>'Acct Summary 7-8'!G79</f>
        <v>386117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425840</v>
      </c>
      <c r="C1686" s="2" t="s">
        <v>573</v>
      </c>
      <c r="D1686" s="2" t="str">
        <f t="shared" si="25"/>
        <v>Error?</v>
      </c>
    </row>
    <row r="1687" spans="1:4" x14ac:dyDescent="0.2">
      <c r="A1687" s="5">
        <v>1626</v>
      </c>
      <c r="B1687" s="137">
        <f>'Acct Summary 7-8'!H79</f>
        <v>3653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25644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16895166</v>
      </c>
      <c r="C1744" s="2" t="s">
        <v>573</v>
      </c>
      <c r="D1744" s="2" t="str">
        <f t="shared" si="26"/>
        <v>Error?</v>
      </c>
    </row>
    <row r="1745" spans="1:5" x14ac:dyDescent="0.2">
      <c r="A1745" s="5">
        <v>1684</v>
      </c>
      <c r="B1745" s="137">
        <f>'Tax Sched 23'!B5</f>
        <v>1893343</v>
      </c>
      <c r="C1745" s="2" t="s">
        <v>573</v>
      </c>
      <c r="D1745" s="2" t="str">
        <f t="shared" si="26"/>
        <v>Error?</v>
      </c>
    </row>
    <row r="1746" spans="1:5" x14ac:dyDescent="0.2">
      <c r="A1746" s="5">
        <v>1685</v>
      </c>
      <c r="B1746" s="137">
        <f>'Tax Sched 23'!B6</f>
        <v>5837514</v>
      </c>
      <c r="C1746" s="2" t="s">
        <v>573</v>
      </c>
      <c r="D1746" s="2" t="str">
        <f t="shared" si="26"/>
        <v>Error?</v>
      </c>
    </row>
    <row r="1747" spans="1:5" x14ac:dyDescent="0.2">
      <c r="A1747" s="5">
        <v>1686</v>
      </c>
      <c r="B1747" s="137">
        <f>'Tax Sched 23'!B7</f>
        <v>589848</v>
      </c>
      <c r="C1747" s="2" t="s">
        <v>573</v>
      </c>
      <c r="D1747" s="2" t="str">
        <f t="shared" si="26"/>
        <v>Error?</v>
      </c>
    </row>
    <row r="1748" spans="1:5" x14ac:dyDescent="0.2">
      <c r="A1748" s="5">
        <v>1687</v>
      </c>
      <c r="B1748" s="137">
        <f>'Tax Sched 23'!B8</f>
        <v>212404</v>
      </c>
      <c r="C1748" s="2" t="s">
        <v>573</v>
      </c>
      <c r="D1748" s="2" t="str">
        <f t="shared" si="26"/>
        <v>Error?</v>
      </c>
    </row>
    <row r="1749" spans="1:5" x14ac:dyDescent="0.2">
      <c r="A1749" s="5">
        <v>1688</v>
      </c>
      <c r="B1749" s="137">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0</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158017</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25923096</v>
      </c>
      <c r="C1759" s="2" t="s">
        <v>573</v>
      </c>
      <c r="D1759" s="2" t="str">
        <f t="shared" si="26"/>
        <v>Error?</v>
      </c>
    </row>
    <row r="1760" spans="1:5" x14ac:dyDescent="0.2">
      <c r="A1760" s="5">
        <v>1699</v>
      </c>
      <c r="B1760" s="137">
        <f>'Tax Sched 23'!D4</f>
        <v>7861768</v>
      </c>
      <c r="C1760" s="2" t="s">
        <v>573</v>
      </c>
      <c r="D1760" s="2" t="str">
        <f t="shared" si="26"/>
        <v>Error?</v>
      </c>
    </row>
    <row r="1761" spans="1:5" x14ac:dyDescent="0.2">
      <c r="A1761" s="5">
        <v>1700</v>
      </c>
      <c r="B1761" s="137">
        <f>'Tax Sched 23'!D5</f>
        <v>880705</v>
      </c>
      <c r="C1761" s="2" t="s">
        <v>573</v>
      </c>
      <c r="D1761" s="2" t="str">
        <f t="shared" si="26"/>
        <v>Error?</v>
      </c>
    </row>
    <row r="1762" spans="1:5" s="8" customFormat="1" x14ac:dyDescent="0.2">
      <c r="A1762" s="5">
        <v>1701</v>
      </c>
      <c r="B1762" s="137">
        <f>'Tax Sched 23'!D6</f>
        <v>2723409</v>
      </c>
      <c r="C1762" s="2" t="s">
        <v>573</v>
      </c>
      <c r="D1762" s="2" t="str">
        <f t="shared" si="26"/>
        <v>Error?</v>
      </c>
      <c r="E1762" s="9"/>
    </row>
    <row r="1763" spans="1:5" x14ac:dyDescent="0.2">
      <c r="A1763" s="5">
        <v>1702</v>
      </c>
      <c r="B1763" s="137">
        <f>'Tax Sched 23'!D7</f>
        <v>275390</v>
      </c>
      <c r="C1763" s="2" t="s">
        <v>573</v>
      </c>
      <c r="D1763" s="2" t="str">
        <f t="shared" si="26"/>
        <v>Error?</v>
      </c>
    </row>
    <row r="1764" spans="1:5" x14ac:dyDescent="0.2">
      <c r="A1764" s="5">
        <v>1703</v>
      </c>
      <c r="B1764" s="137">
        <f>'Tax Sched 23'!D8</f>
        <v>98811</v>
      </c>
      <c r="C1764" s="2" t="s">
        <v>573</v>
      </c>
      <c r="D1764" s="2" t="str">
        <f t="shared" si="26"/>
        <v>Error?</v>
      </c>
    </row>
    <row r="1765" spans="1:5" x14ac:dyDescent="0.2">
      <c r="A1765" s="5">
        <v>1704</v>
      </c>
      <c r="B1765" s="137">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0</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73515</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12070316</v>
      </c>
      <c r="C1775" s="2" t="s">
        <v>573</v>
      </c>
      <c r="D1775" s="2" t="str">
        <f t="shared" si="26"/>
        <v>Error?</v>
      </c>
    </row>
    <row r="1776" spans="1:5" x14ac:dyDescent="0.2">
      <c r="A1776" s="5">
        <v>1715</v>
      </c>
      <c r="B1776" s="137">
        <f>'Tax Sched 23'!C4</f>
        <v>9033398</v>
      </c>
      <c r="D1776" s="2" t="str">
        <f t="shared" si="26"/>
        <v>Error?</v>
      </c>
    </row>
    <row r="1777" spans="1:4" x14ac:dyDescent="0.2">
      <c r="A1777" s="5">
        <v>1716</v>
      </c>
      <c r="B1777" s="137">
        <f>'Tax Sched 23'!C5</f>
        <v>1012638</v>
      </c>
      <c r="D1777" s="2" t="str">
        <f t="shared" si="26"/>
        <v>Error?</v>
      </c>
    </row>
    <row r="1778" spans="1:4" x14ac:dyDescent="0.2">
      <c r="A1778" s="5">
        <v>1717</v>
      </c>
      <c r="B1778" s="137">
        <f>'Tax Sched 23'!C6</f>
        <v>3114105</v>
      </c>
      <c r="D1778" s="2" t="str">
        <f t="shared" si="26"/>
        <v>Error?</v>
      </c>
    </row>
    <row r="1779" spans="1:4" x14ac:dyDescent="0.2">
      <c r="A1779" s="5">
        <v>1718</v>
      </c>
      <c r="B1779" s="137">
        <f>'Tax Sched 23'!C7</f>
        <v>314458</v>
      </c>
      <c r="D1779" s="2" t="str">
        <f t="shared" si="26"/>
        <v>Error?</v>
      </c>
    </row>
    <row r="1780" spans="1:4" x14ac:dyDescent="0.2">
      <c r="A1780" s="5">
        <v>1719</v>
      </c>
      <c r="B1780" s="137">
        <f>'Tax Sched 23'!C8</f>
        <v>113593</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84502</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13852780</v>
      </c>
      <c r="C1791" s="2" t="s">
        <v>573</v>
      </c>
      <c r="D1791" s="2" t="str">
        <f t="shared" ref="D1791:D1854" si="27">IF(ISBLANK(B1791),"OK",IF(A1791-B1791=0,"OK","Error?"))</f>
        <v>Error?</v>
      </c>
    </row>
    <row r="1792" spans="1:4" x14ac:dyDescent="0.2">
      <c r="A1792" s="5">
        <v>1731</v>
      </c>
      <c r="B1792" s="137">
        <f>'Tax Sched 23'!F4</f>
        <v>8292327</v>
      </c>
      <c r="C1792" s="2" t="s">
        <v>573</v>
      </c>
      <c r="D1792" s="2" t="str">
        <f t="shared" si="27"/>
        <v>Error?</v>
      </c>
    </row>
    <row r="1793" spans="1:4" x14ac:dyDescent="0.2">
      <c r="A1793" s="5">
        <v>1732</v>
      </c>
      <c r="B1793" s="137">
        <f>'Tax Sched 23'!F5</f>
        <v>928801</v>
      </c>
      <c r="C1793" s="2" t="s">
        <v>573</v>
      </c>
      <c r="D1793" s="2" t="str">
        <f t="shared" si="27"/>
        <v>Error?</v>
      </c>
    </row>
    <row r="1794" spans="1:4" x14ac:dyDescent="0.2">
      <c r="A1794" s="5">
        <v>1733</v>
      </c>
      <c r="B1794" s="137">
        <f>'Tax Sched 23'!F6</f>
        <v>2857719</v>
      </c>
      <c r="C1794" s="2" t="s">
        <v>573</v>
      </c>
      <c r="D1794" s="2" t="str">
        <f t="shared" si="27"/>
        <v>Error?</v>
      </c>
    </row>
    <row r="1795" spans="1:4" x14ac:dyDescent="0.2">
      <c r="A1795" s="5">
        <v>1734</v>
      </c>
      <c r="B1795" s="137">
        <f>'Tax Sched 23'!F7</f>
        <v>287319</v>
      </c>
      <c r="C1795" s="2" t="s">
        <v>573</v>
      </c>
      <c r="D1795" s="2" t="str">
        <f t="shared" si="27"/>
        <v>Error?</v>
      </c>
    </row>
    <row r="1796" spans="1:4" x14ac:dyDescent="0.2">
      <c r="A1796" s="5">
        <v>1735</v>
      </c>
      <c r="B1796" s="137">
        <f>'Tax Sched 23'!F8</f>
        <v>102978</v>
      </c>
      <c r="C1796" s="2" t="s">
        <v>573</v>
      </c>
      <c r="D1796" s="2" t="str">
        <f t="shared" si="27"/>
        <v>Error?</v>
      </c>
    </row>
    <row r="1797" spans="1:4" x14ac:dyDescent="0.2">
      <c r="A1797" s="5">
        <v>1736</v>
      </c>
      <c r="B1797" s="137">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76428</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12710459</v>
      </c>
      <c r="C1807" s="2" t="s">
        <v>573</v>
      </c>
      <c r="D1807" s="2" t="str">
        <f t="shared" si="27"/>
        <v>Error?</v>
      </c>
    </row>
    <row r="1808" spans="1:4" x14ac:dyDescent="0.2">
      <c r="A1808" s="5">
        <v>1747</v>
      </c>
      <c r="B1808" s="137">
        <f>'Tax Sched 23'!E4</f>
        <v>17325725</v>
      </c>
      <c r="D1808" s="2" t="str">
        <f t="shared" si="27"/>
        <v>Error?</v>
      </c>
    </row>
    <row r="1809" spans="1:4" x14ac:dyDescent="0.2">
      <c r="A1809" s="5">
        <v>1748</v>
      </c>
      <c r="B1809" s="137">
        <f>'Tax Sched 23'!E5</f>
        <v>1941439</v>
      </c>
      <c r="D1809" s="2" t="str">
        <f t="shared" si="27"/>
        <v>Error?</v>
      </c>
    </row>
    <row r="1810" spans="1:4" x14ac:dyDescent="0.2">
      <c r="A1810" s="5">
        <v>1749</v>
      </c>
      <c r="B1810" s="137">
        <f>'Tax Sched 23'!E6</f>
        <v>5971824</v>
      </c>
      <c r="D1810" s="2" t="str">
        <f t="shared" si="27"/>
        <v>Error?</v>
      </c>
    </row>
    <row r="1811" spans="1:4" x14ac:dyDescent="0.2">
      <c r="A1811" s="5">
        <v>1750</v>
      </c>
      <c r="B1811" s="137">
        <f>'Tax Sched 23'!E7</f>
        <v>601777</v>
      </c>
      <c r="D1811" s="2" t="str">
        <f t="shared" si="27"/>
        <v>Error?</v>
      </c>
    </row>
    <row r="1812" spans="1:4" x14ac:dyDescent="0.2">
      <c r="A1812" s="5">
        <v>1751</v>
      </c>
      <c r="B1812" s="137">
        <f>'Tax Sched 23'!E8</f>
        <v>216571</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160930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26563239</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39976591</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158017</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158017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158017</v>
      </c>
      <c r="D1980" s="2" t="str">
        <f t="shared" si="29"/>
        <v>Error?</v>
      </c>
    </row>
    <row r="1981" spans="1:5" x14ac:dyDescent="0.2">
      <c r="A1981" s="10">
        <v>1920</v>
      </c>
      <c r="D1981" s="2" t="str">
        <f t="shared" si="29"/>
        <v>OK</v>
      </c>
      <c r="E1981" s="2" t="s">
        <v>135</v>
      </c>
    </row>
    <row r="1982" spans="1:5" x14ac:dyDescent="0.2">
      <c r="A1982" s="5">
        <v>1921</v>
      </c>
      <c r="B1982" s="137">
        <f>'Rest Tax Levies-Tort Im 25'!H23</f>
        <v>158017</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500000</v>
      </c>
      <c r="D2008" s="2" t="str">
        <f t="shared" si="30"/>
        <v>Error?</v>
      </c>
    </row>
    <row r="2009" spans="1:4" x14ac:dyDescent="0.2">
      <c r="A2009" s="5">
        <v>1948</v>
      </c>
      <c r="B2009" s="137">
        <f>'Cap Outlay Deprec 26'!C8</f>
        <v>81619381</v>
      </c>
      <c r="D2009" s="2" t="str">
        <f t="shared" si="30"/>
        <v>Error?</v>
      </c>
    </row>
    <row r="2010" spans="1:4" x14ac:dyDescent="0.2">
      <c r="A2010" s="5">
        <v>1949</v>
      </c>
      <c r="B2010" s="137">
        <f>'Cap Outlay Deprec 26'!C10</f>
        <v>7335584</v>
      </c>
      <c r="D2010" s="2" t="str">
        <f t="shared" si="30"/>
        <v>Error?</v>
      </c>
    </row>
    <row r="2011" spans="1:4" x14ac:dyDescent="0.2">
      <c r="A2011" s="5">
        <v>1950</v>
      </c>
      <c r="B2011" s="137">
        <f>'Cap Outlay Deprec 26'!C12</f>
        <v>2446438</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91901403</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90130</v>
      </c>
      <c r="D2015" s="2" t="str">
        <f t="shared" si="30"/>
        <v>Error?</v>
      </c>
    </row>
    <row r="2016" spans="1:4" x14ac:dyDescent="0.2">
      <c r="A2016" s="5">
        <v>1955</v>
      </c>
      <c r="B2016" s="137">
        <f>'Cap Outlay Deprec 26'!D10</f>
        <v>86997</v>
      </c>
      <c r="D2016" s="2" t="str">
        <f t="shared" si="30"/>
        <v>Error?</v>
      </c>
    </row>
    <row r="2017" spans="1:4" x14ac:dyDescent="0.2">
      <c r="A2017" s="5">
        <v>1956</v>
      </c>
      <c r="B2017" s="137">
        <f>'Cap Outlay Deprec 26'!D12</f>
        <v>68210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999397</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500000</v>
      </c>
      <c r="C2026" s="2" t="s">
        <v>573</v>
      </c>
      <c r="D2026" s="2" t="str">
        <f t="shared" si="30"/>
        <v>Error?</v>
      </c>
    </row>
    <row r="2027" spans="1:4" x14ac:dyDescent="0.2">
      <c r="A2027" s="5">
        <v>1966</v>
      </c>
      <c r="B2027" s="137">
        <f>'Cap Outlay Deprec 26'!F8</f>
        <v>81709511</v>
      </c>
      <c r="C2027" s="2" t="s">
        <v>573</v>
      </c>
      <c r="D2027" s="2" t="str">
        <f t="shared" si="30"/>
        <v>Error?</v>
      </c>
    </row>
    <row r="2028" spans="1:4" x14ac:dyDescent="0.2">
      <c r="A2028" s="5">
        <v>1967</v>
      </c>
      <c r="B2028" s="137">
        <f>'Cap Outlay Deprec 26'!F10</f>
        <v>7422581</v>
      </c>
      <c r="C2028" s="2" t="s">
        <v>573</v>
      </c>
      <c r="D2028" s="2" t="str">
        <f t="shared" si="30"/>
        <v>Error?</v>
      </c>
    </row>
    <row r="2029" spans="1:4" x14ac:dyDescent="0.2">
      <c r="A2029" s="5">
        <v>1968</v>
      </c>
      <c r="B2029" s="137">
        <f>'Cap Outlay Deprec 26'!F12</f>
        <v>2514648</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92900800</v>
      </c>
      <c r="C2031" s="2" t="s">
        <v>573</v>
      </c>
      <c r="D2031" s="2" t="str">
        <f t="shared" si="30"/>
        <v>Error?</v>
      </c>
    </row>
    <row r="2032" spans="1:4" x14ac:dyDescent="0.2">
      <c r="A2032" s="10">
        <v>1971</v>
      </c>
      <c r="D2032" s="2" t="str">
        <f t="shared" si="30"/>
        <v>OK</v>
      </c>
    </row>
    <row r="2033" spans="1:4" x14ac:dyDescent="0.2">
      <c r="A2033" s="5">
        <v>1972</v>
      </c>
      <c r="B2033" s="137">
        <f>'Cap Outlay Deprec 26'!H8</f>
        <v>19109783</v>
      </c>
      <c r="D2033" s="2" t="str">
        <f t="shared" si="30"/>
        <v>Error?</v>
      </c>
    </row>
    <row r="2034" spans="1:4" x14ac:dyDescent="0.2">
      <c r="A2034" s="5">
        <v>1973</v>
      </c>
      <c r="B2034" s="137">
        <f>'Cap Outlay Deprec 26'!H10</f>
        <v>1766014</v>
      </c>
      <c r="D2034" s="2" t="str">
        <f t="shared" si="30"/>
        <v>Error?</v>
      </c>
    </row>
    <row r="2035" spans="1:4" x14ac:dyDescent="0.2">
      <c r="A2035" s="5">
        <v>1974</v>
      </c>
      <c r="B2035" s="137">
        <f>'Cap Outlay Deprec 26'!H12</f>
        <v>2079063</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22954860</v>
      </c>
      <c r="C2037" s="2" t="s">
        <v>573</v>
      </c>
      <c r="D2037" s="2" t="str">
        <f t="shared" si="30"/>
        <v>Error?</v>
      </c>
    </row>
    <row r="2038" spans="1:4" x14ac:dyDescent="0.2">
      <c r="A2038" s="10">
        <v>1977</v>
      </c>
      <c r="D2038" s="2" t="str">
        <f t="shared" si="30"/>
        <v>OK</v>
      </c>
    </row>
    <row r="2039" spans="1:4" x14ac:dyDescent="0.2">
      <c r="A2039" s="5">
        <v>1978</v>
      </c>
      <c r="B2039" s="137">
        <f>'Cap Outlay Deprec 26'!I8</f>
        <v>1735800</v>
      </c>
      <c r="D2039" s="2" t="str">
        <f t="shared" si="30"/>
        <v>Error?</v>
      </c>
    </row>
    <row r="2040" spans="1:4" x14ac:dyDescent="0.2">
      <c r="A2040" s="5">
        <v>1979</v>
      </c>
      <c r="B2040" s="137">
        <f>'Cap Outlay Deprec 26'!I10</f>
        <v>321141</v>
      </c>
      <c r="D2040" s="2" t="str">
        <f t="shared" si="30"/>
        <v>Error?</v>
      </c>
    </row>
    <row r="2041" spans="1:4" x14ac:dyDescent="0.2">
      <c r="A2041" s="5">
        <v>1980</v>
      </c>
      <c r="B2041" s="137">
        <f>'Cap Outlay Deprec 26'!I12</f>
        <v>188152</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2245093</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20845583</v>
      </c>
      <c r="C2051" s="2" t="s">
        <v>573</v>
      </c>
      <c r="D2051" s="2" t="str">
        <f t="shared" si="31"/>
        <v>Error?</v>
      </c>
    </row>
    <row r="2052" spans="1:4" x14ac:dyDescent="0.2">
      <c r="A2052" s="5">
        <v>1991</v>
      </c>
      <c r="B2052" s="137">
        <f>'Cap Outlay Deprec 26'!K10</f>
        <v>2087155</v>
      </c>
      <c r="C2052" s="2" t="s">
        <v>573</v>
      </c>
      <c r="D2052" s="2" t="str">
        <f t="shared" si="31"/>
        <v>Error?</v>
      </c>
    </row>
    <row r="2053" spans="1:4" x14ac:dyDescent="0.2">
      <c r="A2053" s="5">
        <v>1992</v>
      </c>
      <c r="B2053" s="137">
        <f>'Cap Outlay Deprec 26'!K12</f>
        <v>2267215</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25199953</v>
      </c>
      <c r="C2055" s="2" t="s">
        <v>573</v>
      </c>
      <c r="D2055" s="2" t="str">
        <f t="shared" si="31"/>
        <v>Error?</v>
      </c>
    </row>
    <row r="2056" spans="1:4" x14ac:dyDescent="0.2">
      <c r="A2056" s="5">
        <v>1995</v>
      </c>
      <c r="B2056" s="137">
        <f>'Cap Outlay Deprec 26'!L5</f>
        <v>500000</v>
      </c>
      <c r="C2056" s="2" t="s">
        <v>573</v>
      </c>
      <c r="D2056" s="2" t="str">
        <f t="shared" si="31"/>
        <v>Error?</v>
      </c>
    </row>
    <row r="2057" spans="1:4" x14ac:dyDescent="0.2">
      <c r="A2057" s="5">
        <v>1996</v>
      </c>
      <c r="B2057" s="137">
        <f>'Cap Outlay Deprec 26'!L8</f>
        <v>60863928</v>
      </c>
      <c r="C2057" s="2" t="s">
        <v>573</v>
      </c>
      <c r="D2057" s="2" t="str">
        <f t="shared" si="31"/>
        <v>Error?</v>
      </c>
    </row>
    <row r="2058" spans="1:4" x14ac:dyDescent="0.2">
      <c r="A2058" s="5">
        <v>1997</v>
      </c>
      <c r="B2058" s="137">
        <f>'Cap Outlay Deprec 26'!L10</f>
        <v>5335426</v>
      </c>
      <c r="C2058" s="2" t="s">
        <v>573</v>
      </c>
      <c r="D2058" s="2" t="str">
        <f t="shared" si="31"/>
        <v>Error?</v>
      </c>
    </row>
    <row r="2059" spans="1:4" x14ac:dyDescent="0.2">
      <c r="A2059" s="5">
        <v>1998</v>
      </c>
      <c r="B2059" s="137">
        <f>'Cap Outlay Deprec 26'!L12</f>
        <v>247433</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67700847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583728</v>
      </c>
      <c r="C2088" s="2" t="s">
        <v>573</v>
      </c>
      <c r="D2088" s="2" t="str">
        <f t="shared" si="31"/>
        <v>Error?</v>
      </c>
    </row>
    <row r="2089" spans="1:4" x14ac:dyDescent="0.2">
      <c r="A2089" s="5">
        <v>2028</v>
      </c>
      <c r="B2089" s="137">
        <f>'Expenditures 15-22'!K92</f>
        <v>28214</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18901594</v>
      </c>
      <c r="C2551" s="2" t="s">
        <v>573</v>
      </c>
      <c r="D2551" s="2" t="str">
        <f t="shared" si="38"/>
        <v>Error?</v>
      </c>
    </row>
    <row r="2552" spans="1:4" x14ac:dyDescent="0.2">
      <c r="A2552" s="10">
        <v>2491</v>
      </c>
      <c r="D2552" s="2" t="str">
        <f t="shared" si="38"/>
        <v>OK</v>
      </c>
    </row>
    <row r="2553" spans="1:4" x14ac:dyDescent="0.2">
      <c r="A2553" s="5">
        <v>2492</v>
      </c>
      <c r="B2553" s="137">
        <f>'Acct Summary 7-8'!C6</f>
        <v>2314539</v>
      </c>
      <c r="C2553" s="2" t="s">
        <v>573</v>
      </c>
      <c r="D2553" s="2" t="str">
        <f t="shared" si="38"/>
        <v>Error?</v>
      </c>
    </row>
    <row r="2554" spans="1:4" x14ac:dyDescent="0.2">
      <c r="A2554" s="5">
        <v>2493</v>
      </c>
      <c r="B2554" s="137">
        <f>'Acct Summary 7-8'!C7</f>
        <v>530001</v>
      </c>
      <c r="C2554" s="2" t="s">
        <v>573</v>
      </c>
      <c r="D2554" s="2" t="str">
        <f t="shared" si="38"/>
        <v>Error?</v>
      </c>
    </row>
    <row r="2555" spans="1:4" x14ac:dyDescent="0.2">
      <c r="A2555" s="5">
        <v>2494</v>
      </c>
      <c r="B2555" s="137">
        <f>'Acct Summary 7-8'!C8</f>
        <v>21746134</v>
      </c>
      <c r="C2555" s="2" t="s">
        <v>573</v>
      </c>
      <c r="D2555" s="2" t="str">
        <f t="shared" si="38"/>
        <v>Error?</v>
      </c>
    </row>
    <row r="2556" spans="1:4" x14ac:dyDescent="0.2">
      <c r="A2556" s="5">
        <v>2495</v>
      </c>
      <c r="B2556" s="137">
        <f>'Acct Summary 7-8'!C12</f>
        <v>16456032</v>
      </c>
      <c r="C2556" s="2" t="s">
        <v>573</v>
      </c>
      <c r="D2556" s="2" t="str">
        <f t="shared" si="38"/>
        <v>Error?</v>
      </c>
    </row>
    <row r="2557" spans="1:4" x14ac:dyDescent="0.2">
      <c r="A2557" s="5">
        <v>2496</v>
      </c>
      <c r="B2557" s="137">
        <f>'Acct Summary 7-8'!C13</f>
        <v>4471509</v>
      </c>
      <c r="C2557" s="2" t="s">
        <v>573</v>
      </c>
      <c r="D2557" s="2" t="str">
        <f t="shared" si="38"/>
        <v>Error?</v>
      </c>
    </row>
    <row r="2558" spans="1:4" x14ac:dyDescent="0.2">
      <c r="A2558" s="5">
        <v>2497</v>
      </c>
      <c r="B2558" s="137">
        <f>'Acct Summary 7-8'!C14</f>
        <v>124035</v>
      </c>
      <c r="C2558" s="2" t="s">
        <v>573</v>
      </c>
      <c r="D2558" s="2" t="str">
        <f t="shared" si="38"/>
        <v>Error?</v>
      </c>
    </row>
    <row r="2559" spans="1:4" x14ac:dyDescent="0.2">
      <c r="A2559" s="5">
        <v>2498</v>
      </c>
      <c r="B2559" s="137">
        <f>'Acct Summary 7-8'!C15</f>
        <v>611942</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21663518</v>
      </c>
      <c r="C2561" s="2" t="s">
        <v>573</v>
      </c>
      <c r="D2561" s="2" t="str">
        <f t="shared" si="39"/>
        <v>Error?</v>
      </c>
    </row>
    <row r="2562" spans="1:4" x14ac:dyDescent="0.2">
      <c r="A2562" s="5">
        <v>2501</v>
      </c>
      <c r="B2562" s="137">
        <f>'Acct Summary 7-8'!C20</f>
        <v>82616</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2553016</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2553016</v>
      </c>
      <c r="C2568" s="2" t="s">
        <v>573</v>
      </c>
      <c r="D2568" s="2" t="str">
        <f t="shared" si="39"/>
        <v>Error?</v>
      </c>
    </row>
    <row r="2569" spans="1:4" x14ac:dyDescent="0.2">
      <c r="A2569" s="5">
        <v>2508</v>
      </c>
      <c r="B2569" s="137">
        <f>'Acct Summary 7-8'!D13</f>
        <v>2548610</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2548610</v>
      </c>
      <c r="C2573" s="2" t="s">
        <v>573</v>
      </c>
      <c r="D2573" s="2" t="str">
        <f t="shared" si="39"/>
        <v>Error?</v>
      </c>
    </row>
    <row r="2574" spans="1:4" x14ac:dyDescent="0.2">
      <c r="A2574" s="5">
        <v>2513</v>
      </c>
      <c r="B2574" s="137">
        <f>'Acct Summary 7-8'!D20</f>
        <v>4406</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604813</v>
      </c>
      <c r="C2591" s="2" t="s">
        <v>573</v>
      </c>
      <c r="D2591" s="2" t="str">
        <f t="shared" si="39"/>
        <v>Error?</v>
      </c>
    </row>
    <row r="2592" spans="1:4" x14ac:dyDescent="0.2">
      <c r="A2592" s="10">
        <v>2531</v>
      </c>
      <c r="D2592" s="2" t="str">
        <f t="shared" si="39"/>
        <v>OK</v>
      </c>
    </row>
    <row r="2593" spans="1:4" x14ac:dyDescent="0.2">
      <c r="A2593" s="5">
        <v>2532</v>
      </c>
      <c r="B2593" s="137">
        <f>'Acct Summary 7-8'!F6</f>
        <v>339673</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944486</v>
      </c>
      <c r="C2595" s="2" t="s">
        <v>573</v>
      </c>
      <c r="D2595" s="2" t="str">
        <f t="shared" si="39"/>
        <v>Error?</v>
      </c>
    </row>
    <row r="2596" spans="1:4" x14ac:dyDescent="0.2">
      <c r="A2596" s="5">
        <v>2535</v>
      </c>
      <c r="B2596" s="137">
        <f>'Acct Summary 7-8'!F13</f>
        <v>702659</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15292</v>
      </c>
      <c r="C2599" s="2" t="s">
        <v>573</v>
      </c>
      <c r="D2599" s="2" t="str">
        <f t="shared" si="39"/>
        <v>Error?</v>
      </c>
    </row>
    <row r="2600" spans="1:4" x14ac:dyDescent="0.2">
      <c r="A2600" s="5">
        <v>2539</v>
      </c>
      <c r="B2600" s="137">
        <f>'Acct Summary 7-8'!F17</f>
        <v>717951</v>
      </c>
      <c r="C2600" s="2" t="s">
        <v>573</v>
      </c>
      <c r="D2600" s="2" t="str">
        <f t="shared" si="39"/>
        <v>Error?</v>
      </c>
    </row>
    <row r="2601" spans="1:4" x14ac:dyDescent="0.2">
      <c r="A2601" s="5">
        <v>2540</v>
      </c>
      <c r="B2601" s="137">
        <f>'Acct Summary 7-8'!F20</f>
        <v>226535</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560393</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560393</v>
      </c>
      <c r="C2606" s="2" t="s">
        <v>573</v>
      </c>
      <c r="D2606" s="2" t="str">
        <f t="shared" si="39"/>
        <v>Error?</v>
      </c>
    </row>
    <row r="2607" spans="1:4" x14ac:dyDescent="0.2">
      <c r="A2607" s="5">
        <v>2546</v>
      </c>
      <c r="B2607" s="137">
        <f>'Acct Summary 7-8'!G12</f>
        <v>327988</v>
      </c>
      <c r="C2607" s="2" t="s">
        <v>573</v>
      </c>
      <c r="D2607" s="2" t="str">
        <f t="shared" si="39"/>
        <v>Error?</v>
      </c>
    </row>
    <row r="2608" spans="1:4" x14ac:dyDescent="0.2">
      <c r="A2608" s="5">
        <v>2547</v>
      </c>
      <c r="B2608" s="137">
        <f>'Acct Summary 7-8'!G13</f>
        <v>177477</v>
      </c>
      <c r="C2608" s="2" t="s">
        <v>573</v>
      </c>
      <c r="D2608" s="2" t="str">
        <f t="shared" si="39"/>
        <v>Error?</v>
      </c>
    </row>
    <row r="2609" spans="1:4" x14ac:dyDescent="0.2">
      <c r="A2609" s="5">
        <v>2548</v>
      </c>
      <c r="B2609" s="137">
        <f>'Acct Summary 7-8'!G14</f>
        <v>15205</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520670</v>
      </c>
      <c r="C2612" s="2" t="s">
        <v>573</v>
      </c>
      <c r="D2612" s="2" t="str">
        <f t="shared" si="39"/>
        <v>Error?</v>
      </c>
    </row>
    <row r="2613" spans="1:4" x14ac:dyDescent="0.2">
      <c r="A2613" s="5">
        <v>2552</v>
      </c>
      <c r="B2613" s="137">
        <f>'Acct Summary 7-8'!G20</f>
        <v>39723</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5893192</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5893192</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5555900</v>
      </c>
      <c r="C2634" s="2" t="s">
        <v>573</v>
      </c>
      <c r="D2634" s="2" t="str">
        <f t="shared" si="40"/>
        <v>Error?</v>
      </c>
    </row>
    <row r="2635" spans="1:4" x14ac:dyDescent="0.2">
      <c r="A2635" s="5">
        <v>2574</v>
      </c>
      <c r="B2635" s="137">
        <f>'Acct Summary 7-8'!E17</f>
        <v>5555900</v>
      </c>
      <c r="C2635" s="2" t="s">
        <v>573</v>
      </c>
      <c r="D2635" s="2" t="str">
        <f t="shared" si="40"/>
        <v>Error?</v>
      </c>
    </row>
    <row r="2636" spans="1:4" x14ac:dyDescent="0.2">
      <c r="A2636" s="5">
        <v>2575</v>
      </c>
      <c r="B2636" s="137">
        <f>'Acct Summary 7-8'!E20</f>
        <v>337292</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429</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429</v>
      </c>
      <c r="C2658" s="2" t="s">
        <v>573</v>
      </c>
      <c r="D2658" s="2" t="str">
        <f t="shared" si="40"/>
        <v>Error?</v>
      </c>
    </row>
    <row r="2659" spans="1:4" x14ac:dyDescent="0.2">
      <c r="A2659" s="5">
        <v>2598</v>
      </c>
      <c r="B2659" s="137">
        <f>'Acct Summary 7-8'!H13</f>
        <v>28438</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28438</v>
      </c>
      <c r="C2661" s="2" t="s">
        <v>573</v>
      </c>
      <c r="D2661" s="2" t="str">
        <f t="shared" si="40"/>
        <v>Error?</v>
      </c>
    </row>
    <row r="2662" spans="1:4" x14ac:dyDescent="0.2">
      <c r="A2662" s="5">
        <v>2601</v>
      </c>
      <c r="B2662" s="137">
        <f>'Acct Summary 7-8'!H20</f>
        <v>-28009</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55678</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583728</v>
      </c>
      <c r="C2789" s="2" t="s">
        <v>573</v>
      </c>
      <c r="D2789" s="2" t="str">
        <f t="shared" si="42"/>
        <v>Error?</v>
      </c>
    </row>
    <row r="2790" spans="1:4" x14ac:dyDescent="0.2">
      <c r="A2790" s="5">
        <v>2729</v>
      </c>
      <c r="B2790" s="137">
        <f>'Expenditures 15-22'!E102</f>
        <v>583728</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55678</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754060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7971816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398847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7971816</v>
      </c>
      <c r="D2912" s="2" t="str">
        <f t="shared" si="44"/>
        <v>Error?</v>
      </c>
    </row>
    <row r="2913" spans="1:4" x14ac:dyDescent="0.2">
      <c r="A2913" s="5">
        <v>2852</v>
      </c>
      <c r="B2913" s="137">
        <f>'Assets-Liab 5-6'!I41</f>
        <v>7971816</v>
      </c>
      <c r="C2913" s="2" t="s">
        <v>573</v>
      </c>
      <c r="D2913" s="2" t="str">
        <f t="shared" si="44"/>
        <v>Error?</v>
      </c>
    </row>
    <row r="2914" spans="1:4" x14ac:dyDescent="0.2">
      <c r="A2914" s="5">
        <v>2853</v>
      </c>
      <c r="B2914" s="137">
        <f>'Assets-Liab 5-6'!L33</f>
        <v>398847</v>
      </c>
      <c r="D2914" s="2" t="str">
        <f t="shared" si="44"/>
        <v>Error?</v>
      </c>
    </row>
    <row r="2915" spans="1:4" x14ac:dyDescent="0.2">
      <c r="A2915" s="10">
        <v>2854</v>
      </c>
      <c r="D2915" s="2" t="str">
        <f t="shared" si="44"/>
        <v>OK</v>
      </c>
    </row>
    <row r="2916" spans="1:4" x14ac:dyDescent="0.2">
      <c r="A2916" s="5">
        <v>2855</v>
      </c>
      <c r="B2916" s="137">
        <f>'Assets-Liab 5-6'!L34</f>
        <v>398847</v>
      </c>
      <c r="C2916" s="2" t="s">
        <v>573</v>
      </c>
      <c r="D2916" s="2" t="str">
        <f t="shared" si="44"/>
        <v>Error?</v>
      </c>
    </row>
    <row r="2917" spans="1:4" x14ac:dyDescent="0.2">
      <c r="A2917" s="5">
        <v>2856</v>
      </c>
      <c r="B2917" s="137">
        <f>'Assets-Liab 5-6'!L41</f>
        <v>398847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583728</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583728</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52298</v>
      </c>
      <c r="D3055" s="2" t="str">
        <f t="shared" si="46"/>
        <v>Error?</v>
      </c>
    </row>
    <row r="3056" spans="1:4" x14ac:dyDescent="0.2">
      <c r="A3056" s="5">
        <v>2995</v>
      </c>
      <c r="B3056" s="137">
        <f>'Expenditures 15-22'!D10</f>
        <v>603</v>
      </c>
      <c r="D3056" s="2" t="str">
        <f t="shared" si="46"/>
        <v>Error?</v>
      </c>
    </row>
    <row r="3057" spans="1:4" x14ac:dyDescent="0.2">
      <c r="A3057" s="5">
        <v>2996</v>
      </c>
      <c r="B3057" s="137">
        <f>'Expenditures 15-22'!E10</f>
        <v>27173</v>
      </c>
      <c r="D3057" s="2" t="str">
        <f t="shared" si="46"/>
        <v>Error?</v>
      </c>
    </row>
    <row r="3058" spans="1:4" x14ac:dyDescent="0.2">
      <c r="A3058" s="5">
        <v>2997</v>
      </c>
      <c r="B3058" s="137">
        <f>'Expenditures 15-22'!F10</f>
        <v>6986</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87060</v>
      </c>
      <c r="C3062" s="2" t="s">
        <v>573</v>
      </c>
      <c r="D3062" s="2" t="str">
        <f t="shared" si="46"/>
        <v>Error?</v>
      </c>
    </row>
    <row r="3063" spans="1:4" x14ac:dyDescent="0.2">
      <c r="A3063" s="10">
        <v>3002</v>
      </c>
      <c r="D3063" s="2" t="str">
        <f t="shared" si="46"/>
        <v>OK</v>
      </c>
    </row>
    <row r="3064" spans="1:4" x14ac:dyDescent="0.2">
      <c r="A3064" s="5">
        <v>3003</v>
      </c>
      <c r="B3064" s="137">
        <f>'Expenditures 15-22'!D219</f>
        <v>7743</v>
      </c>
      <c r="D3064" s="2" t="str">
        <f t="shared" si="46"/>
        <v>Error?</v>
      </c>
    </row>
    <row r="3065" spans="1:4" x14ac:dyDescent="0.2">
      <c r="A3065" s="5">
        <v>3004</v>
      </c>
      <c r="B3065" s="137">
        <f>'Expenditures 15-22'!K219</f>
        <v>7743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125205</v>
      </c>
      <c r="C3225" s="2" t="s">
        <v>573</v>
      </c>
      <c r="D3225" s="2" t="str">
        <f t="shared" si="49"/>
        <v>Error?</v>
      </c>
    </row>
    <row r="3226" spans="1:4" x14ac:dyDescent="0.2">
      <c r="A3226" s="5">
        <v>3165</v>
      </c>
      <c r="B3226" s="137">
        <f>'Acct Summary 7-8'!I8</f>
        <v>125205</v>
      </c>
      <c r="C3226" s="2" t="s">
        <v>573</v>
      </c>
      <c r="D3226" s="2" t="str">
        <f t="shared" si="49"/>
        <v>Error?</v>
      </c>
    </row>
    <row r="3227" spans="1:4" x14ac:dyDescent="0.2">
      <c r="A3227" s="5">
        <v>3166</v>
      </c>
      <c r="B3227" s="137">
        <f>'Acct Summary 7-8'!I20</f>
        <v>125205</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55678</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43200</v>
      </c>
      <c r="C3231" s="2" t="s">
        <v>573</v>
      </c>
      <c r="D3231" s="2" t="str">
        <f t="shared" si="49"/>
        <v>Error?</v>
      </c>
    </row>
    <row r="3232" spans="1:4" x14ac:dyDescent="0.2">
      <c r="A3232" s="5">
        <v>3171</v>
      </c>
      <c r="B3232" s="137">
        <f>'Acct Summary 7-8'!C77</f>
        <v>12478</v>
      </c>
      <c r="C3232" s="2" t="s">
        <v>573</v>
      </c>
      <c r="D3232" s="2" t="str">
        <f t="shared" si="49"/>
        <v>Error?</v>
      </c>
    </row>
    <row r="3233" spans="1:4" x14ac:dyDescent="0.2">
      <c r="A3233" s="5">
        <v>3172</v>
      </c>
      <c r="B3233" s="137">
        <f>'Acct Summary 7-8'!C78</f>
        <v>95094</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4406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226535</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39723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43200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55678</v>
      </c>
      <c r="C3276" s="2" t="s">
        <v>573</v>
      </c>
      <c r="D3276" s="2" t="str">
        <f t="shared" si="50"/>
        <v>Error?</v>
      </c>
    </row>
    <row r="3277" spans="1:4" x14ac:dyDescent="0.2">
      <c r="A3277" s="5">
        <v>3216</v>
      </c>
      <c r="B3277" s="137">
        <f>'Acct Summary 7-8'!E77</f>
        <v>-12478</v>
      </c>
      <c r="C3277" s="2" t="s">
        <v>573</v>
      </c>
      <c r="D3277" s="2" t="str">
        <f t="shared" si="50"/>
        <v>Error?</v>
      </c>
    </row>
    <row r="3278" spans="1:4" x14ac:dyDescent="0.2">
      <c r="A3278" s="5">
        <v>3217</v>
      </c>
      <c r="B3278" s="137">
        <f>'Acct Summary 7-8'!E78</f>
        <v>324814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50000</v>
      </c>
      <c r="D3295" s="2" t="str">
        <f t="shared" si="50"/>
        <v>Error?</v>
      </c>
    </row>
    <row r="3296" spans="1:4" x14ac:dyDescent="0.2">
      <c r="A3296" s="5">
        <v>3235</v>
      </c>
      <c r="B3296" s="137">
        <f>'Acct Summary 7-8'!H44</f>
        <v>50000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50000</v>
      </c>
      <c r="C3299" s="2" t="s">
        <v>573</v>
      </c>
      <c r="D3299" s="2" t="str">
        <f t="shared" si="50"/>
        <v>Error?</v>
      </c>
    </row>
    <row r="3300" spans="1:4" x14ac:dyDescent="0.2">
      <c r="A3300" s="5">
        <v>3239</v>
      </c>
      <c r="B3300" s="137">
        <f>'Acct Summary 7-8'!H78</f>
        <v>21991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50000</v>
      </c>
      <c r="C3318" s="2" t="s">
        <v>573</v>
      </c>
      <c r="D3318" s="2" t="str">
        <f t="shared" si="50"/>
        <v>Error?</v>
      </c>
    </row>
    <row r="3319" spans="1:4" x14ac:dyDescent="0.2">
      <c r="A3319" s="5">
        <v>3258</v>
      </c>
      <c r="B3319" s="137">
        <f>'Acct Summary 7-8'!I77</f>
        <v>-50000</v>
      </c>
      <c r="C3319" s="2" t="s">
        <v>573</v>
      </c>
      <c r="D3319" s="2" t="str">
        <f t="shared" si="50"/>
        <v>Error?</v>
      </c>
    </row>
    <row r="3320" spans="1:4" x14ac:dyDescent="0.2">
      <c r="A3320" s="5">
        <v>3259</v>
      </c>
      <c r="B3320" s="137">
        <f>'Acct Summary 7-8'!I78</f>
        <v>75205</v>
      </c>
      <c r="C3320" s="2" t="s">
        <v>573</v>
      </c>
      <c r="D3320" s="2" t="str">
        <f t="shared" si="50"/>
        <v>Error?</v>
      </c>
    </row>
    <row r="3321" spans="1:4" x14ac:dyDescent="0.2">
      <c r="A3321" s="5">
        <v>3260</v>
      </c>
      <c r="B3321" s="137">
        <f>'Acct Summary 7-8'!I79</f>
        <v>7896611</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7971816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2202718</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454195</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18018</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14019</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1495</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225</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2694534</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170577</v>
      </c>
      <c r="D3387" s="2" t="str">
        <f t="shared" si="51"/>
        <v>Error?</v>
      </c>
    </row>
    <row r="3388" spans="1:4" x14ac:dyDescent="0.2">
      <c r="A3388" s="5">
        <v>3327</v>
      </c>
      <c r="B3388" s="137">
        <f>'Expenditures 15-22'!D217</f>
        <v>111434</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170577</v>
      </c>
      <c r="C3390" s="2" t="s">
        <v>573</v>
      </c>
      <c r="D3390" s="2" t="str">
        <f t="shared" si="51"/>
        <v>Error?</v>
      </c>
    </row>
    <row r="3391" spans="1:4" x14ac:dyDescent="0.2">
      <c r="A3391" s="5">
        <v>3330</v>
      </c>
      <c r="B3391" s="137">
        <f>'Expenditures 15-22'!K217</f>
        <v>111434</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5778139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1728196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2658172</v>
      </c>
      <c r="D3417" s="2" t="str">
        <f t="shared" si="52"/>
        <v>Error?</v>
      </c>
    </row>
    <row r="3418" spans="1:4" x14ac:dyDescent="0.2">
      <c r="A3418" s="10">
        <v>3357</v>
      </c>
      <c r="D3418" s="2" t="str">
        <f t="shared" si="52"/>
        <v>OK</v>
      </c>
    </row>
    <row r="3419" spans="1:4" x14ac:dyDescent="0.2">
      <c r="A3419" s="5">
        <v>3358</v>
      </c>
      <c r="B3419" s="137">
        <f>'Assets-Liab 5-6'!F4</f>
        <v>608306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174396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25644</v>
      </c>
      <c r="D3425" s="2" t="str">
        <f t="shared" si="52"/>
        <v>Error?</v>
      </c>
    </row>
    <row r="3426" spans="1:4" x14ac:dyDescent="0.2">
      <c r="A3426" s="10">
        <v>3365</v>
      </c>
      <c r="D3426" s="2" t="str">
        <f t="shared" si="52"/>
        <v>OK</v>
      </c>
    </row>
    <row r="3427" spans="1:4" x14ac:dyDescent="0.2">
      <c r="A3427" s="5">
        <v>3366</v>
      </c>
      <c r="B3427" s="137">
        <f>'Assets-Liab 5-6'!I4</f>
        <v>7971816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398847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336804</v>
      </c>
      <c r="C3446" s="2" t="s">
        <v>573</v>
      </c>
      <c r="D3446" s="2" t="str">
        <f t="shared" si="52"/>
        <v>Error?</v>
      </c>
    </row>
    <row r="3447" spans="1:4" x14ac:dyDescent="0.2">
      <c r="A3447" s="5">
        <v>3386</v>
      </c>
      <c r="B3447" s="137">
        <f>'Tax Sched 23'!D16</f>
        <v>156718</v>
      </c>
      <c r="C3447" s="2" t="s">
        <v>573</v>
      </c>
      <c r="D3447" s="2" t="str">
        <f t="shared" si="52"/>
        <v>Error?</v>
      </c>
    </row>
    <row r="3448" spans="1:4" x14ac:dyDescent="0.2">
      <c r="A3448" s="5">
        <v>3387</v>
      </c>
      <c r="B3448" s="137">
        <f>'Tax Sched 23'!C16</f>
        <v>180086</v>
      </c>
      <c r="D3448" s="2" t="str">
        <f t="shared" si="52"/>
        <v>Error?</v>
      </c>
    </row>
    <row r="3449" spans="1:4" x14ac:dyDescent="0.2">
      <c r="A3449" s="5">
        <v>3388</v>
      </c>
      <c r="B3449" s="137">
        <f>'Tax Sched 23'!F16</f>
        <v>164887</v>
      </c>
      <c r="C3449" s="2" t="s">
        <v>573</v>
      </c>
      <c r="D3449" s="2" t="str">
        <f t="shared" si="52"/>
        <v>Error?</v>
      </c>
    </row>
    <row r="3450" spans="1:4" x14ac:dyDescent="0.2">
      <c r="A3450" s="5">
        <v>3389</v>
      </c>
      <c r="B3450" s="137">
        <f>'Tax Sched 23'!E16</f>
        <v>344973</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754060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754060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754060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1945361</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1945361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609038</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1336323</v>
      </c>
      <c r="D3567" s="2" t="str">
        <f t="shared" si="54"/>
        <v>Error?</v>
      </c>
    </row>
    <row r="3568" spans="1:4" x14ac:dyDescent="0.2">
      <c r="A3568" s="5">
        <v>3507</v>
      </c>
      <c r="B3568" s="137">
        <f>'Assets-Liab 5-6'!K41</f>
        <v>1945361</v>
      </c>
      <c r="C3568" s="2" t="s">
        <v>573</v>
      </c>
      <c r="D3568" s="2" t="str">
        <f t="shared" si="54"/>
        <v>Error?</v>
      </c>
    </row>
    <row r="3569" spans="1:4" x14ac:dyDescent="0.2">
      <c r="A3569" s="5">
        <v>3508</v>
      </c>
      <c r="B3569" s="137">
        <f>'Acct Summary 7-8'!K4</f>
        <v>34699</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34699</v>
      </c>
      <c r="C3571" s="2" t="s">
        <v>573</v>
      </c>
      <c r="D3571" s="2" t="str">
        <f t="shared" si="54"/>
        <v>Error?</v>
      </c>
    </row>
    <row r="3572" spans="1:4" x14ac:dyDescent="0.2">
      <c r="A3572" s="5">
        <v>3511</v>
      </c>
      <c r="B3572" s="137">
        <f>'Acct Summary 7-8'!K13</f>
        <v>846325</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846325</v>
      </c>
      <c r="C3575" s="2" t="s">
        <v>573</v>
      </c>
      <c r="D3575" s="2" t="str">
        <f t="shared" si="54"/>
        <v>Error?</v>
      </c>
    </row>
    <row r="3576" spans="1:4" x14ac:dyDescent="0.2">
      <c r="A3576" s="5">
        <v>3515</v>
      </c>
      <c r="B3576" s="137">
        <f>'Acct Summary 7-8'!K20</f>
        <v>-811626</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-811626</v>
      </c>
      <c r="C3588" s="2" t="s">
        <v>573</v>
      </c>
      <c r="D3588" s="2" t="str">
        <f t="shared" si="55"/>
        <v>Error?</v>
      </c>
    </row>
    <row r="3589" spans="1:4" x14ac:dyDescent="0.2">
      <c r="A3589" s="5">
        <v>3528</v>
      </c>
      <c r="B3589" s="137">
        <f>'Acct Summary 7-8'!K79</f>
        <v>2147949</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1336323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1360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1360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1360</v>
      </c>
      <c r="C3636" s="2" t="s">
        <v>573</v>
      </c>
      <c r="D3636" s="2" t="str">
        <f t="shared" si="55"/>
        <v>Error?</v>
      </c>
    </row>
    <row r="3637" spans="1:4" x14ac:dyDescent="0.2">
      <c r="A3637" s="10">
        <v>3576</v>
      </c>
      <c r="D3637" s="2" t="str">
        <f t="shared" si="55"/>
        <v>OK</v>
      </c>
    </row>
    <row r="3638" spans="1:4" x14ac:dyDescent="0.2">
      <c r="A3638" s="5">
        <v>3577</v>
      </c>
      <c r="B3638" s="137">
        <f>'Expenditures 15-22'!F348</f>
        <v>775</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775</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775</v>
      </c>
      <c r="C3642" s="2" t="s">
        <v>573</v>
      </c>
      <c r="D3642" s="2" t="str">
        <f t="shared" si="55"/>
        <v>Error?</v>
      </c>
    </row>
    <row r="3643" spans="1:4" x14ac:dyDescent="0.2">
      <c r="A3643" s="5">
        <v>3582</v>
      </c>
      <c r="B3643" s="137">
        <f>'Expenditures 15-22'!F367</f>
        <v>775</v>
      </c>
      <c r="C3643" s="2" t="s">
        <v>573</v>
      </c>
      <c r="D3643" s="2" t="str">
        <f t="shared" si="55"/>
        <v>Error?</v>
      </c>
    </row>
    <row r="3644" spans="1:4" x14ac:dyDescent="0.2">
      <c r="A3644" s="10">
        <v>3583</v>
      </c>
      <c r="D3644" s="2" t="str">
        <f t="shared" si="55"/>
        <v>OK</v>
      </c>
    </row>
    <row r="3645" spans="1:4" x14ac:dyDescent="0.2">
      <c r="A3645" s="5">
        <v>3584</v>
      </c>
      <c r="B3645" s="137">
        <f>'Expenditures 15-22'!G348</f>
        <v>844190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844190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844190</v>
      </c>
      <c r="C3649" s="2" t="s">
        <v>573</v>
      </c>
      <c r="D3649" s="2" t="str">
        <f t="shared" si="56"/>
        <v>Error?</v>
      </c>
    </row>
    <row r="3650" spans="1:4" x14ac:dyDescent="0.2">
      <c r="A3650" s="5">
        <v>3589</v>
      </c>
      <c r="B3650" s="137">
        <f>'Expenditures 15-22'!G367</f>
        <v>844190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846325</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846325</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846325</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846325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-811626</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8887433</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30633567</v>
      </c>
      <c r="C4122" s="2" t="s">
        <v>573</v>
      </c>
      <c r="D4122" s="2" t="str">
        <f t="shared" si="63"/>
        <v>Error?</v>
      </c>
    </row>
    <row r="4123" spans="1:4" x14ac:dyDescent="0.2">
      <c r="A4123" s="5">
        <v>4062</v>
      </c>
      <c r="B4123" s="137">
        <f>'Acct Summary 7-8'!D10</f>
        <v>2553016</v>
      </c>
      <c r="C4123" s="2" t="s">
        <v>573</v>
      </c>
      <c r="D4123" s="2" t="str">
        <f t="shared" si="63"/>
        <v>Error?</v>
      </c>
    </row>
    <row r="4124" spans="1:4" x14ac:dyDescent="0.2">
      <c r="A4124" s="5">
        <v>4063</v>
      </c>
      <c r="B4124" s="137">
        <f>'Acct Summary 7-8'!E10</f>
        <v>5893192</v>
      </c>
      <c r="C4124" s="2" t="s">
        <v>573</v>
      </c>
      <c r="D4124" s="2" t="str">
        <f t="shared" si="63"/>
        <v>Error?</v>
      </c>
    </row>
    <row r="4125" spans="1:4" x14ac:dyDescent="0.2">
      <c r="A4125" s="5">
        <v>4064</v>
      </c>
      <c r="B4125" s="137">
        <f>'Acct Summary 7-8'!F10</f>
        <v>944486</v>
      </c>
      <c r="C4125" s="2" t="s">
        <v>573</v>
      </c>
      <c r="D4125" s="2" t="str">
        <f t="shared" si="63"/>
        <v>Error?</v>
      </c>
    </row>
    <row r="4126" spans="1:4" x14ac:dyDescent="0.2">
      <c r="A4126" s="5">
        <v>4065</v>
      </c>
      <c r="B4126" s="137">
        <f>'Acct Summary 7-8'!G10</f>
        <v>560393</v>
      </c>
      <c r="C4126" s="2" t="s">
        <v>573</v>
      </c>
      <c r="D4126" s="2" t="str">
        <f t="shared" si="63"/>
        <v>Error?</v>
      </c>
    </row>
    <row r="4127" spans="1:4" x14ac:dyDescent="0.2">
      <c r="A4127" s="5">
        <v>4066</v>
      </c>
      <c r="B4127" s="137">
        <f>'Acct Summary 7-8'!H10</f>
        <v>429</v>
      </c>
      <c r="C4127" s="2" t="s">
        <v>573</v>
      </c>
      <c r="D4127" s="2" t="str">
        <f t="shared" si="63"/>
        <v>Error?</v>
      </c>
    </row>
    <row r="4128" spans="1:4" x14ac:dyDescent="0.2">
      <c r="A4128" s="5">
        <v>4067</v>
      </c>
      <c r="B4128" s="137">
        <f>'Acct Summary 7-8'!I10</f>
        <v>125205</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34699</v>
      </c>
      <c r="C4130" s="2" t="s">
        <v>573</v>
      </c>
      <c r="D4130" s="2" t="str">
        <f t="shared" si="63"/>
        <v>Error?</v>
      </c>
    </row>
    <row r="4131" spans="1:4" x14ac:dyDescent="0.2">
      <c r="A4131" s="5">
        <v>4070</v>
      </c>
      <c r="B4131" s="137">
        <f>'Acct Summary 7-8'!C18</f>
        <v>8887433</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30550951</v>
      </c>
      <c r="C4136" s="2" t="s">
        <v>573</v>
      </c>
      <c r="D4136" s="2" t="str">
        <f t="shared" si="63"/>
        <v>Error?</v>
      </c>
    </row>
    <row r="4137" spans="1:4" x14ac:dyDescent="0.2">
      <c r="A4137" s="5">
        <v>4076</v>
      </c>
      <c r="B4137" s="137">
        <f>'Acct Summary 7-8'!D19</f>
        <v>2548610</v>
      </c>
      <c r="C4137" s="2" t="s">
        <v>573</v>
      </c>
      <c r="D4137" s="2" t="str">
        <f t="shared" si="63"/>
        <v>Error?</v>
      </c>
    </row>
    <row r="4138" spans="1:4" x14ac:dyDescent="0.2">
      <c r="A4138" s="5">
        <v>4077</v>
      </c>
      <c r="B4138" s="137">
        <f>'Acct Summary 7-8'!E19</f>
        <v>5555900</v>
      </c>
      <c r="C4138" s="2" t="s">
        <v>573</v>
      </c>
      <c r="D4138" s="2" t="str">
        <f t="shared" si="63"/>
        <v>Error?</v>
      </c>
    </row>
    <row r="4139" spans="1:4" x14ac:dyDescent="0.2">
      <c r="A4139" s="5">
        <v>4078</v>
      </c>
      <c r="B4139" s="137">
        <f>'Acct Summary 7-8'!F19</f>
        <v>717951</v>
      </c>
      <c r="C4139" s="2" t="s">
        <v>573</v>
      </c>
      <c r="D4139" s="2" t="str">
        <f t="shared" si="63"/>
        <v>Error?</v>
      </c>
    </row>
    <row r="4140" spans="1:4" x14ac:dyDescent="0.2">
      <c r="A4140" s="5">
        <v>4079</v>
      </c>
      <c r="B4140" s="137">
        <f>'Acct Summary 7-8'!G19</f>
        <v>520670</v>
      </c>
      <c r="C4140" s="2" t="s">
        <v>573</v>
      </c>
      <c r="D4140" s="2" t="str">
        <f t="shared" si="63"/>
        <v>Error?</v>
      </c>
    </row>
    <row r="4141" spans="1:4" x14ac:dyDescent="0.2">
      <c r="A4141" s="5">
        <v>4080</v>
      </c>
      <c r="B4141" s="137">
        <f>'Acct Summary 7-8'!H19</f>
        <v>28438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846325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36104034</v>
      </c>
      <c r="C4171" s="2" t="s">
        <v>573</v>
      </c>
      <c r="D4171" s="2" t="str">
        <f t="shared" si="64"/>
        <v>Error?</v>
      </c>
    </row>
    <row r="4172" spans="1:4" x14ac:dyDescent="0.2">
      <c r="A4172" s="5">
        <v>4111</v>
      </c>
      <c r="B4172" s="137">
        <f>'Short-Term Long-Term Debt 24'!J49</f>
        <v>30780796</v>
      </c>
      <c r="C4172" s="2" t="s">
        <v>573</v>
      </c>
      <c r="D4172" s="2" t="str">
        <f t="shared" si="64"/>
        <v>Error?</v>
      </c>
    </row>
    <row r="4173" spans="1:4" x14ac:dyDescent="0.2">
      <c r="A4173" s="5">
        <v>4112</v>
      </c>
      <c r="B4173" s="137">
        <f>'Short-Term Long-Term Debt 24'!H49</f>
        <v>3872557</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13303</v>
      </c>
      <c r="D4210" s="2" t="str">
        <f t="shared" si="64"/>
        <v>Error?</v>
      </c>
    </row>
    <row r="4211" spans="1:4" x14ac:dyDescent="0.2">
      <c r="A4211" s="5">
        <v>4150</v>
      </c>
      <c r="B4211" s="137">
        <f>'Expenditures 15-22'!K206</f>
        <v>13303</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2024</v>
      </c>
      <c r="C4265" s="2" t="s">
        <v>573</v>
      </c>
      <c r="D4265" s="2" t="str">
        <f t="shared" si="65"/>
        <v>Error?</v>
      </c>
      <c r="E4265" s="127"/>
    </row>
    <row r="4266" spans="1:5" x14ac:dyDescent="0.2">
      <c r="A4266" s="12">
        <v>4205</v>
      </c>
      <c r="B4266" s="137">
        <f>('FP Info 3'!F10)*100000</f>
        <v>226.8</v>
      </c>
      <c r="C4266" s="2" t="s">
        <v>573</v>
      </c>
      <c r="D4266" s="2" t="str">
        <f t="shared" si="65"/>
        <v>Error?</v>
      </c>
      <c r="E4266" s="127"/>
    </row>
    <row r="4267" spans="1:5" x14ac:dyDescent="0.2">
      <c r="A4267" s="12">
        <v>4206</v>
      </c>
      <c r="B4267" s="137">
        <f>('FP Info 3'!H10)*100000</f>
        <v>70.3</v>
      </c>
      <c r="C4267" s="2" t="s">
        <v>573</v>
      </c>
      <c r="D4267" s="2" t="str">
        <f t="shared" si="65"/>
        <v>Error?</v>
      </c>
      <c r="E4267" s="127"/>
    </row>
    <row r="4268" spans="1:5" x14ac:dyDescent="0.2">
      <c r="A4268" s="12">
        <v>4207</v>
      </c>
      <c r="B4268" s="137">
        <f>('FP Info 3'!J10)*100000</f>
        <v>2321</v>
      </c>
      <c r="C4268" s="2" t="s">
        <v>573</v>
      </c>
      <c r="D4268" s="2" t="str">
        <f t="shared" si="65"/>
        <v>Error?</v>
      </c>
    </row>
    <row r="4269" spans="1:5" x14ac:dyDescent="0.2">
      <c r="A4269" s="12">
        <v>4208</v>
      </c>
      <c r="B4269" s="137">
        <f>'FP Info 3'!J16</f>
        <v>24989109</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9981</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34556</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18098</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29512</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1211</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856014087</v>
      </c>
      <c r="D4995" s="2" t="str">
        <f t="shared" si="77"/>
        <v>Error?</v>
      </c>
    </row>
    <row r="4996" spans="1:4" x14ac:dyDescent="0.2">
      <c r="A4996" s="12">
        <v>4935</v>
      </c>
      <c r="B4996" s="137">
        <f>'FP Info 3'!H31</f>
        <v>59064972.003000006</v>
      </c>
      <c r="D4996" s="2" t="str">
        <f t="shared" si="77"/>
        <v>Error?</v>
      </c>
    </row>
    <row r="4997" spans="1:4" x14ac:dyDescent="0.2">
      <c r="A4997" s="12">
        <v>4936</v>
      </c>
      <c r="B4997" s="137">
        <f>'FP Info 3'!H37</f>
        <v>36104034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16895166</v>
      </c>
      <c r="D5061" s="2" t="str">
        <f t="shared" si="78"/>
        <v>Error?</v>
      </c>
    </row>
    <row r="5062" spans="1:4" x14ac:dyDescent="0.2">
      <c r="A5062" s="10">
        <v>5001</v>
      </c>
      <c r="D5062" s="2" t="str">
        <f t="shared" si="78"/>
        <v>OK</v>
      </c>
    </row>
    <row r="5063" spans="1:4" x14ac:dyDescent="0.2">
      <c r="A5063" s="5">
        <v>5002</v>
      </c>
      <c r="B5063" s="137">
        <f>'Revenues 9-14'!C7</f>
        <v>158017</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17053183</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142776</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142776</v>
      </c>
      <c r="C5087" s="2" t="s">
        <v>573</v>
      </c>
      <c r="D5087" s="2" t="str">
        <f t="shared" si="78"/>
        <v>Error?</v>
      </c>
    </row>
    <row r="5088" spans="1:4" x14ac:dyDescent="0.2">
      <c r="A5088" s="5">
        <v>5027</v>
      </c>
      <c r="B5088" s="137">
        <f>'Revenues 9-14'!C65</f>
        <v>121068</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121068</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79097</v>
      </c>
      <c r="C5096" s="2" t="s">
        <v>573</v>
      </c>
      <c r="D5096" s="2" t="str">
        <f t="shared" si="78"/>
        <v>Error?</v>
      </c>
    </row>
    <row r="5097" spans="1:4" x14ac:dyDescent="0.2">
      <c r="A5097" s="5">
        <v>5036</v>
      </c>
      <c r="B5097" s="137">
        <f>'Revenues 9-14'!C77</f>
        <v>30176</v>
      </c>
      <c r="D5097" s="2" t="str">
        <f t="shared" si="78"/>
        <v>Error?</v>
      </c>
    </row>
    <row r="5098" spans="1:4" x14ac:dyDescent="0.2">
      <c r="A5098" s="5">
        <v>5037</v>
      </c>
      <c r="B5098" s="137">
        <f>'Revenues 9-14'!C78</f>
        <v>0</v>
      </c>
      <c r="D5098" s="2" t="str">
        <f t="shared" si="78"/>
        <v>Error?</v>
      </c>
    </row>
    <row r="5099" spans="1:4" x14ac:dyDescent="0.2">
      <c r="A5099" s="5">
        <v>5038</v>
      </c>
      <c r="B5099" s="137">
        <f>'Revenues 9-14'!C79</f>
        <v>810592</v>
      </c>
      <c r="D5099" s="2" t="str">
        <f t="shared" si="78"/>
        <v>Error?</v>
      </c>
    </row>
    <row r="5100" spans="1:4" x14ac:dyDescent="0.2">
      <c r="A5100" s="5">
        <v>5039</v>
      </c>
      <c r="B5100" s="137">
        <f>'Revenues 9-14'!C80</f>
        <v>0</v>
      </c>
      <c r="D5100" s="2" t="str">
        <f t="shared" si="78"/>
        <v>Error?</v>
      </c>
    </row>
    <row r="5101" spans="1:4" x14ac:dyDescent="0.2">
      <c r="A5101" s="5">
        <v>5040</v>
      </c>
      <c r="B5101" s="137">
        <f>'Revenues 9-14'!C81</f>
        <v>9153</v>
      </c>
      <c r="D5101" s="2" t="str">
        <f t="shared" si="78"/>
        <v>Error?</v>
      </c>
    </row>
    <row r="5102" spans="1:4" x14ac:dyDescent="0.2">
      <c r="A5102" s="5">
        <v>5041</v>
      </c>
      <c r="B5102" s="137">
        <f>'Revenues 9-14'!C82</f>
        <v>849921</v>
      </c>
      <c r="C5102" s="2" t="s">
        <v>573</v>
      </c>
      <c r="D5102" s="2" t="str">
        <f t="shared" si="78"/>
        <v>Error?</v>
      </c>
    </row>
    <row r="5103" spans="1:4" x14ac:dyDescent="0.2">
      <c r="A5103" s="5">
        <v>5042</v>
      </c>
      <c r="B5103" s="137">
        <f>'Revenues 9-14'!C84</f>
        <v>270884</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270884</v>
      </c>
      <c r="C5112" s="2" t="s">
        <v>573</v>
      </c>
      <c r="D5112" s="2" t="str">
        <f t="shared" si="78"/>
        <v>Error?</v>
      </c>
    </row>
    <row r="5113" spans="1:4" x14ac:dyDescent="0.2">
      <c r="A5113" s="5">
        <v>5052</v>
      </c>
      <c r="B5113" s="137">
        <f>'Revenues 9-14'!C95</f>
        <v>1656</v>
      </c>
      <c r="D5113" s="2" t="str">
        <f t="shared" si="78"/>
        <v>Error?</v>
      </c>
    </row>
    <row r="5114" spans="1:4" x14ac:dyDescent="0.2">
      <c r="A5114" s="5">
        <v>5053</v>
      </c>
      <c r="B5114" s="137">
        <f>'Revenues 9-14'!C96</f>
        <v>0</v>
      </c>
      <c r="D5114" s="2" t="str">
        <f t="shared" si="78"/>
        <v>Error?</v>
      </c>
    </row>
    <row r="5115" spans="1:4" x14ac:dyDescent="0.2">
      <c r="A5115" s="5">
        <v>5054</v>
      </c>
      <c r="B5115" s="137">
        <f>'Revenues 9-14'!C98</f>
        <v>311695</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30053</v>
      </c>
      <c r="D5119" s="2" t="str">
        <f t="shared" ref="D5119:D5182" si="79">IF(ISBLANK(B5119),"OK",IF(A5119-B5119=0,"OK","Error?"))</f>
        <v>Error?</v>
      </c>
    </row>
    <row r="5120" spans="1:4" x14ac:dyDescent="0.2">
      <c r="A5120" s="5">
        <v>5059</v>
      </c>
      <c r="B5120" s="137">
        <f>'Revenues 9-14'!C108</f>
        <v>384665</v>
      </c>
      <c r="C5120" s="2" t="s">
        <v>573</v>
      </c>
      <c r="D5120" s="2" t="str">
        <f t="shared" si="79"/>
        <v>Error?</v>
      </c>
    </row>
    <row r="5121" spans="1:4" x14ac:dyDescent="0.2">
      <c r="A5121" s="5">
        <v>5060</v>
      </c>
      <c r="B5121" s="137">
        <f>'Revenues 9-14'!C109</f>
        <v>18901594</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1987893</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1987893</v>
      </c>
      <c r="C5132" s="2" t="s">
        <v>573</v>
      </c>
      <c r="D5132" s="2" t="str">
        <f t="shared" si="79"/>
        <v>Error?</v>
      </c>
    </row>
    <row r="5133" spans="1:4" x14ac:dyDescent="0.2">
      <c r="A5133" s="5">
        <v>5072</v>
      </c>
      <c r="B5133" s="137">
        <f>'Revenues 9-14'!C125</f>
        <v>219323</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71792</v>
      </c>
      <c r="D5137" s="2" t="str">
        <f t="shared" si="79"/>
        <v>Error?</v>
      </c>
    </row>
    <row r="5138" spans="1:4" x14ac:dyDescent="0.2">
      <c r="A5138" s="10">
        <v>5077</v>
      </c>
      <c r="D5138" s="2" t="str">
        <f t="shared" si="79"/>
        <v>OK</v>
      </c>
    </row>
    <row r="5139" spans="1:4" x14ac:dyDescent="0.2">
      <c r="A5139" s="5">
        <v>5078</v>
      </c>
      <c r="B5139" s="137">
        <f>'Revenues 9-14'!C129</f>
        <v>6928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298043</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0</v>
      </c>
      <c r="D5167" s="2" t="str">
        <f t="shared" si="79"/>
        <v>Error?</v>
      </c>
    </row>
    <row r="5168" spans="1:4" x14ac:dyDescent="0.2">
      <c r="A5168" s="5">
        <v>5107</v>
      </c>
      <c r="B5168" s="137">
        <f>'Revenues 9-14'!C148</f>
        <v>27392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326646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2314539</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0</v>
      </c>
      <c r="C5246" s="2" t="s">
        <v>573</v>
      </c>
      <c r="D5246" s="2" t="str">
        <f t="shared" si="80"/>
        <v>Error?</v>
      </c>
    </row>
    <row r="5247" spans="1:4" x14ac:dyDescent="0.2">
      <c r="A5247" s="5">
        <v>5186</v>
      </c>
      <c r="B5247" s="137">
        <f>'Revenues 9-14'!C200</f>
        <v>102131</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7">
        <f>'Revenues 9-14'!C202</f>
        <v>0</v>
      </c>
      <c r="D5255" s="2" t="str">
        <f t="shared" si="81"/>
        <v>Error?</v>
      </c>
    </row>
    <row r="5256" spans="1:5" x14ac:dyDescent="0.2">
      <c r="A5256" s="5">
        <v>5195</v>
      </c>
      <c r="B5256" s="137">
        <f>'Revenues 9-14'!C206</f>
        <v>18098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102131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4826</v>
      </c>
      <c r="D5278" s="2" t="str">
        <f t="shared" si="81"/>
        <v>Error?</v>
      </c>
    </row>
    <row r="5279" spans="1:4" x14ac:dyDescent="0.2">
      <c r="A5279" s="5">
        <v>5218</v>
      </c>
      <c r="B5279" s="137">
        <f>'Revenues 9-14'!C214</f>
        <v>263980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268806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66917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66917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530001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530001</v>
      </c>
      <c r="C5326" s="2" t="s">
        <v>573</v>
      </c>
      <c r="D5326" s="2" t="str">
        <f t="shared" si="82"/>
        <v>Error?</v>
      </c>
    </row>
    <row r="5327" spans="1:5" x14ac:dyDescent="0.2">
      <c r="A5327" s="5">
        <v>5266</v>
      </c>
      <c r="B5327" s="137">
        <f>'Revenues 9-14'!C268</f>
        <v>21746134</v>
      </c>
      <c r="C5327" s="2" t="s">
        <v>573</v>
      </c>
      <c r="D5327" s="2" t="str">
        <f t="shared" si="82"/>
        <v>Error?</v>
      </c>
    </row>
    <row r="5328" spans="1:5" x14ac:dyDescent="0.2">
      <c r="A5328" s="5">
        <v>5267</v>
      </c>
      <c r="B5328" s="137">
        <f>'Revenues 9-14'!D5</f>
        <v>1893343</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1893343</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367729</v>
      </c>
      <c r="D5337" s="2" t="str">
        <f t="shared" si="82"/>
        <v>Error?</v>
      </c>
    </row>
    <row r="5338" spans="1:4" x14ac:dyDescent="0.2">
      <c r="A5338" s="5">
        <v>5277</v>
      </c>
      <c r="B5338" s="137">
        <f>'Revenues 9-14'!D17</f>
        <v>0</v>
      </c>
      <c r="D5338" s="2" t="str">
        <f t="shared" si="82"/>
        <v>Error?</v>
      </c>
    </row>
    <row r="5339" spans="1:4" x14ac:dyDescent="0.2">
      <c r="A5339" s="5">
        <v>5278</v>
      </c>
      <c r="B5339" s="137">
        <f>'Revenues 9-14'!D18</f>
        <v>367729</v>
      </c>
      <c r="C5339" s="2" t="s">
        <v>573</v>
      </c>
      <c r="D5339" s="2" t="str">
        <f t="shared" si="82"/>
        <v>Error?</v>
      </c>
    </row>
    <row r="5340" spans="1:4" x14ac:dyDescent="0.2">
      <c r="A5340" s="5">
        <v>5279</v>
      </c>
      <c r="B5340" s="137">
        <f>'Revenues 9-14'!D65</f>
        <v>22121</v>
      </c>
      <c r="D5340" s="2" t="str">
        <f t="shared" si="82"/>
        <v>Error?</v>
      </c>
    </row>
    <row r="5341" spans="1:4" x14ac:dyDescent="0.2">
      <c r="A5341" s="5">
        <v>5280</v>
      </c>
      <c r="B5341" s="137">
        <f>'Revenues 9-14'!D66</f>
        <v>0</v>
      </c>
      <c r="D5341" s="2" t="str">
        <f t="shared" si="82"/>
        <v>Error?</v>
      </c>
    </row>
    <row r="5342" spans="1:4" x14ac:dyDescent="0.2">
      <c r="A5342" s="5">
        <v>5281</v>
      </c>
      <c r="B5342" s="137">
        <f>'Revenues 9-14'!D67</f>
        <v>22121</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158469</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111354</v>
      </c>
      <c r="D5354" s="2" t="str">
        <f t="shared" si="82"/>
        <v>Error?</v>
      </c>
    </row>
    <row r="5355" spans="1:4" x14ac:dyDescent="0.2">
      <c r="A5355" s="5">
        <v>5294</v>
      </c>
      <c r="B5355" s="137">
        <f>'Revenues 9-14'!D108</f>
        <v>269823</v>
      </c>
      <c r="C5355" s="2" t="s">
        <v>573</v>
      </c>
      <c r="D5355" s="2" t="str">
        <f t="shared" si="82"/>
        <v>Error?</v>
      </c>
    </row>
    <row r="5356" spans="1:4" x14ac:dyDescent="0.2">
      <c r="A5356" s="5">
        <v>5295</v>
      </c>
      <c r="B5356" s="137">
        <f>'Revenues 9-14'!D109</f>
        <v>2553016</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2553016</v>
      </c>
      <c r="C5508" s="2" t="s">
        <v>573</v>
      </c>
      <c r="D5508" s="2" t="str">
        <f t="shared" si="85"/>
        <v>Error?</v>
      </c>
    </row>
    <row r="5509" spans="1:4" x14ac:dyDescent="0.2">
      <c r="A5509" s="5">
        <v>5448</v>
      </c>
      <c r="B5509" s="137">
        <f>'Revenues 9-14'!E5</f>
        <v>5837514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5837514</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55678</v>
      </c>
      <c r="D5519" s="2" t="str">
        <f t="shared" si="85"/>
        <v>Error?</v>
      </c>
    </row>
    <row r="5520" spans="1:4" x14ac:dyDescent="0.2">
      <c r="A5520" s="5">
        <v>5459</v>
      </c>
      <c r="B5520" s="137">
        <f>'Revenues 9-14'!E66</f>
        <v>0</v>
      </c>
      <c r="D5520" s="2" t="str">
        <f t="shared" si="85"/>
        <v>Error?</v>
      </c>
    </row>
    <row r="5521" spans="1:4" x14ac:dyDescent="0.2">
      <c r="A5521" s="5">
        <v>5460</v>
      </c>
      <c r="B5521" s="137">
        <f>'Revenues 9-14'!E67</f>
        <v>55678</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5893192</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5893192</v>
      </c>
      <c r="C5552" s="2" t="s">
        <v>573</v>
      </c>
      <c r="D5552" s="2" t="str">
        <f t="shared" si="85"/>
        <v>Error?</v>
      </c>
    </row>
    <row r="5553" spans="1:4" x14ac:dyDescent="0.2">
      <c r="A5553" s="5">
        <v>5492</v>
      </c>
      <c r="B5553" s="137">
        <f>'Revenues 9-14'!F5</f>
        <v>589848</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589848</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14965</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14965</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604813</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272</v>
      </c>
      <c r="D5615" s="2" t="str">
        <f t="shared" si="86"/>
        <v>Error?</v>
      </c>
    </row>
    <row r="5616" spans="1:4" x14ac:dyDescent="0.2">
      <c r="A5616" s="10">
        <v>5555</v>
      </c>
      <c r="D5616" s="2" t="str">
        <f t="shared" si="86"/>
        <v>OK</v>
      </c>
    </row>
    <row r="5617" spans="1:5" x14ac:dyDescent="0.2">
      <c r="A5617" s="5">
        <v>5556</v>
      </c>
      <c r="B5617" s="137">
        <f>'Revenues 9-14'!F153</f>
        <v>339401</v>
      </c>
      <c r="D5617" s="2" t="str">
        <f t="shared" si="86"/>
        <v>Error?</v>
      </c>
    </row>
    <row r="5618" spans="1:5" x14ac:dyDescent="0.2">
      <c r="A5618" s="5">
        <v>5557</v>
      </c>
      <c r="B5618" s="137">
        <f>'Revenues 9-14'!F155</f>
        <v>339673</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339673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339673</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944486</v>
      </c>
      <c r="C5720" s="2" t="s">
        <v>573</v>
      </c>
      <c r="D5720" s="2" t="str">
        <f t="shared" si="88"/>
        <v>Error?</v>
      </c>
    </row>
    <row r="5721" spans="1:4" x14ac:dyDescent="0.2">
      <c r="A5721" s="5">
        <v>5660</v>
      </c>
      <c r="B5721" s="137">
        <f>'Revenues 9-14'!G5</f>
        <v>212404</v>
      </c>
      <c r="D5721" s="2" t="str">
        <f t="shared" si="88"/>
        <v>Error?</v>
      </c>
    </row>
    <row r="5722" spans="1:4" x14ac:dyDescent="0.2">
      <c r="A5722" s="5">
        <v>5661</v>
      </c>
      <c r="B5722" s="137">
        <f>'Revenues 9-14'!G7</f>
        <v>0</v>
      </c>
      <c r="D5722" s="2" t="str">
        <f t="shared" si="88"/>
        <v>Error?</v>
      </c>
    </row>
    <row r="5723" spans="1:4" x14ac:dyDescent="0.2">
      <c r="A5723" s="5">
        <v>5662</v>
      </c>
      <c r="B5723" s="137">
        <f>'Revenues 9-14'!G8</f>
        <v>336804</v>
      </c>
      <c r="D5723" s="2" t="str">
        <f t="shared" si="88"/>
        <v>Error?</v>
      </c>
    </row>
    <row r="5724" spans="1:4" x14ac:dyDescent="0.2">
      <c r="A5724" s="5">
        <v>5663</v>
      </c>
      <c r="B5724" s="137">
        <f>'Revenues 9-14'!G11</f>
        <v>0</v>
      </c>
      <c r="D5724" s="2" t="str">
        <f t="shared" si="88"/>
        <v>Error?</v>
      </c>
    </row>
    <row r="5725" spans="1:4" x14ac:dyDescent="0.2">
      <c r="A5725" s="5">
        <v>5664</v>
      </c>
      <c r="B5725" s="137">
        <f>'Revenues 9-14'!G12</f>
        <v>549208</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7853</v>
      </c>
      <c r="D5728" s="2" t="str">
        <f t="shared" si="88"/>
        <v>Error?</v>
      </c>
    </row>
    <row r="5729" spans="1:4" x14ac:dyDescent="0.2">
      <c r="A5729" s="5">
        <v>5668</v>
      </c>
      <c r="B5729" s="137">
        <f>'Revenues 9-14'!G17</f>
        <v>0</v>
      </c>
      <c r="D5729" s="2" t="str">
        <f t="shared" si="88"/>
        <v>Error?</v>
      </c>
    </row>
    <row r="5730" spans="1:4" x14ac:dyDescent="0.2">
      <c r="A5730" s="5">
        <v>5669</v>
      </c>
      <c r="B5730" s="137">
        <f>'Revenues 9-14'!G18</f>
        <v>7853</v>
      </c>
      <c r="C5730" s="2" t="s">
        <v>573</v>
      </c>
      <c r="D5730" s="2" t="str">
        <f t="shared" si="88"/>
        <v>Error?</v>
      </c>
    </row>
    <row r="5731" spans="1:4" x14ac:dyDescent="0.2">
      <c r="A5731" s="5">
        <v>5670</v>
      </c>
      <c r="B5731" s="137">
        <f>'Revenues 9-14'!G65</f>
        <v>3332</v>
      </c>
      <c r="D5731" s="2" t="str">
        <f t="shared" si="88"/>
        <v>Error?</v>
      </c>
    </row>
    <row r="5732" spans="1:4" x14ac:dyDescent="0.2">
      <c r="A5732" s="5">
        <v>5671</v>
      </c>
      <c r="B5732" s="137">
        <f>'Revenues 9-14'!G66</f>
        <v>0</v>
      </c>
      <c r="D5732" s="2" t="str">
        <f t="shared" si="88"/>
        <v>Error?</v>
      </c>
    </row>
    <row r="5733" spans="1:4" x14ac:dyDescent="0.2">
      <c r="A5733" s="5">
        <v>5672</v>
      </c>
      <c r="B5733" s="137">
        <f>'Revenues 9-14'!G67</f>
        <v>3332</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560393</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429</v>
      </c>
      <c r="D5879" s="2" t="str">
        <f t="shared" si="90"/>
        <v>Error?</v>
      </c>
    </row>
    <row r="5880" spans="1:4" x14ac:dyDescent="0.2">
      <c r="A5880" s="5">
        <v>5819</v>
      </c>
      <c r="B5880" s="137">
        <f>'Revenues 9-14'!H66</f>
        <v>0</v>
      </c>
      <c r="D5880" s="2" t="str">
        <f t="shared" si="90"/>
        <v>Error?</v>
      </c>
    </row>
    <row r="5881" spans="1:4" x14ac:dyDescent="0.2">
      <c r="A5881" s="5">
        <v>5820</v>
      </c>
      <c r="B5881" s="137">
        <f>'Revenues 9-14'!H67</f>
        <v>429</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429</v>
      </c>
      <c r="C5915" s="2" t="s">
        <v>573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125205</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125205</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125205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34699</v>
      </c>
      <c r="D5993" s="2" t="str">
        <f t="shared" si="92"/>
        <v>Error?</v>
      </c>
    </row>
    <row r="5994" spans="1:4" x14ac:dyDescent="0.2">
      <c r="A5994" s="5">
        <v>5933</v>
      </c>
      <c r="B5994" s="137">
        <f>'Revenues 9-14'!K66</f>
        <v>0</v>
      </c>
      <c r="D5994" s="2" t="str">
        <f t="shared" si="92"/>
        <v>Error?</v>
      </c>
    </row>
    <row r="5995" spans="1:4" x14ac:dyDescent="0.2">
      <c r="A5995" s="5">
        <v>5934</v>
      </c>
      <c r="B5995" s="137">
        <f>'Revenues 9-14'!K67</f>
        <v>34699</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34699</v>
      </c>
      <c r="C6023" s="2" t="s">
        <v>573</v>
      </c>
      <c r="D6023" s="2" t="str">
        <f t="shared" si="93"/>
        <v>Error?</v>
      </c>
    </row>
    <row r="6024" spans="1:5" x14ac:dyDescent="0.2">
      <c r="A6024" s="5">
        <v>5963</v>
      </c>
      <c r="B6024" s="137">
        <f>'Revenues 9-14'!G109</f>
        <v>560393</v>
      </c>
      <c r="C6024" s="2" t="s">
        <v>573</v>
      </c>
      <c r="D6024" s="2" t="str">
        <f t="shared" si="93"/>
        <v>Error?</v>
      </c>
    </row>
    <row r="6025" spans="1:5" x14ac:dyDescent="0.2">
      <c r="A6025" s="5">
        <v>5964</v>
      </c>
      <c r="B6025" s="137">
        <f>'Revenues 9-14'!H109</f>
        <v>429</v>
      </c>
      <c r="C6025" s="2" t="s">
        <v>573</v>
      </c>
      <c r="D6025" s="2" t="str">
        <f t="shared" si="93"/>
        <v>Error?</v>
      </c>
    </row>
    <row r="6026" spans="1:5" x14ac:dyDescent="0.2">
      <c r="A6026" s="5">
        <v>5965</v>
      </c>
      <c r="B6026" s="137">
        <f>'Revenues 9-14'!I109</f>
        <v>125205</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34699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79097</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1533.4</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75900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84047</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23050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174622</v>
      </c>
      <c r="D6142" s="2" t="str">
        <f t="shared" si="94"/>
        <v>Error?</v>
      </c>
      <c r="E6142" s="2" t="s">
        <v>190</v>
      </c>
    </row>
    <row r="6143" spans="1:5" x14ac:dyDescent="0.2">
      <c r="A6143">
        <v>6082</v>
      </c>
      <c r="B6143" s="137">
        <f>'Assets-Liab 5-6'!D27</f>
        <v>58601</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42587</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609038</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50000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95094</v>
      </c>
      <c r="D6267" s="2" t="str">
        <f t="shared" si="96"/>
        <v>Error?</v>
      </c>
      <c r="E6267" s="2" t="s">
        <v>190</v>
      </c>
    </row>
    <row r="6268" spans="1:5" x14ac:dyDescent="0.2">
      <c r="A6268">
        <v>6207</v>
      </c>
      <c r="B6268" s="137">
        <f>'Acct Summary 7-8'!D82</f>
        <v>4406</v>
      </c>
      <c r="D6268" s="2" t="str">
        <f t="shared" si="96"/>
        <v>Error?</v>
      </c>
      <c r="E6268" s="2" t="s">
        <v>190</v>
      </c>
    </row>
    <row r="6269" spans="1:5" x14ac:dyDescent="0.2">
      <c r="A6269">
        <v>6208</v>
      </c>
      <c r="B6269" s="137">
        <f>'Acct Summary 7-8'!E82</f>
        <v>324814</v>
      </c>
      <c r="D6269" s="2" t="str">
        <f t="shared" si="96"/>
        <v>Error?</v>
      </c>
      <c r="E6269" s="2" t="s">
        <v>190</v>
      </c>
    </row>
    <row r="6270" spans="1:5" x14ac:dyDescent="0.2">
      <c r="A6270">
        <v>6209</v>
      </c>
      <c r="B6270" s="137">
        <f>'Acct Summary 7-8'!F82</f>
        <v>226535</v>
      </c>
      <c r="D6270" s="2" t="str">
        <f t="shared" si="96"/>
        <v>Error?</v>
      </c>
      <c r="E6270" s="2" t="s">
        <v>190</v>
      </c>
    </row>
    <row r="6271" spans="1:5" x14ac:dyDescent="0.2">
      <c r="A6271">
        <v>6210</v>
      </c>
      <c r="B6271" s="137">
        <f>'Acct Summary 7-8'!G82</f>
        <v>39723</v>
      </c>
      <c r="D6271" s="2" t="str">
        <f t="shared" ref="D6271:D6334" si="97">IF(ISBLANK(B6271),"OK",IF(A6271-B6271=0,"OK","Error?"))</f>
        <v>Error?</v>
      </c>
      <c r="E6271" s="2" t="s">
        <v>190</v>
      </c>
    </row>
    <row r="6272" spans="1:5" x14ac:dyDescent="0.2">
      <c r="A6272">
        <v>6211</v>
      </c>
      <c r="B6272" s="137">
        <f>'Acct Summary 7-8'!H82</f>
        <v>21991</v>
      </c>
      <c r="D6272" s="2" t="str">
        <f t="shared" si="97"/>
        <v>Error?</v>
      </c>
      <c r="E6272" s="2" t="s">
        <v>190</v>
      </c>
    </row>
    <row r="6273" spans="1:5" x14ac:dyDescent="0.2">
      <c r="A6273">
        <v>6212</v>
      </c>
      <c r="B6273" s="137">
        <f>'Acct Summary 7-8'!I82</f>
        <v>75205</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-811626</v>
      </c>
      <c r="D6275" s="2" t="str">
        <f t="shared" si="97"/>
        <v>Error?</v>
      </c>
      <c r="E6275" s="2" t="s">
        <v>190</v>
      </c>
    </row>
    <row r="6276" spans="1:5" x14ac:dyDescent="0.2">
      <c r="A6276">
        <v>6215</v>
      </c>
      <c r="B6276" s="137">
        <f>'Acct Summary 7-8'!C83</f>
        <v>7.0552099446898964E-3</v>
      </c>
      <c r="D6276" s="2" t="str">
        <f t="shared" si="97"/>
        <v>Error?</v>
      </c>
      <c r="E6276" s="2" t="s">
        <v>190</v>
      </c>
    </row>
    <row r="6277" spans="1:5" x14ac:dyDescent="0.2">
      <c r="A6277">
        <v>6216</v>
      </c>
      <c r="B6277" s="137">
        <f>'Acct Summary 7-8'!D83</f>
        <v>1.6818450061112887E-3</v>
      </c>
      <c r="D6277" s="2" t="str">
        <f t="shared" si="97"/>
        <v>Error?</v>
      </c>
      <c r="E6277" s="2" t="s">
        <v>190</v>
      </c>
    </row>
    <row r="6278" spans="1:5" x14ac:dyDescent="0.2">
      <c r="A6278">
        <v>6217</v>
      </c>
      <c r="B6278" s="137">
        <f>'Acct Summary 7-8'!E83</f>
        <v>6.1018124682758877E-2</v>
      </c>
      <c r="D6278" s="2" t="str">
        <f t="shared" si="97"/>
        <v>Error?</v>
      </c>
      <c r="E6278" s="2" t="s">
        <v>190</v>
      </c>
    </row>
    <row r="6279" spans="1:5" x14ac:dyDescent="0.2">
      <c r="A6279">
        <v>6218</v>
      </c>
      <c r="B6279" s="137">
        <f>'Acct Summary 7-8'!F83</f>
        <v>0.24650136398110556</v>
      </c>
      <c r="D6279" s="2" t="str">
        <f t="shared" si="97"/>
        <v>Error?</v>
      </c>
      <c r="E6279" s="2" t="s">
        <v>190</v>
      </c>
    </row>
    <row r="6280" spans="1:5" x14ac:dyDescent="0.2">
      <c r="A6280">
        <v>6219</v>
      </c>
      <c r="B6280" s="137">
        <f>'Acct Summary 7-8'!G83</f>
        <v>9.3281514183730985E-2</v>
      </c>
      <c r="D6280" s="2" t="str">
        <f t="shared" si="97"/>
        <v>Error?</v>
      </c>
      <c r="E6280" s="2" t="s">
        <v>190</v>
      </c>
    </row>
    <row r="6281" spans="1:5" x14ac:dyDescent="0.2">
      <c r="A6281">
        <v>6220</v>
      </c>
      <c r="B6281" s="137">
        <f>'Acct Summary 7-8'!H83</f>
        <v>0.85754952425518638</v>
      </c>
      <c r="D6281" s="2" t="str">
        <f t="shared" si="97"/>
        <v>Error?</v>
      </c>
      <c r="E6281" s="2" t="s">
        <v>190</v>
      </c>
    </row>
    <row r="6282" spans="1:5" x14ac:dyDescent="0.2">
      <c r="A6282">
        <v>6221</v>
      </c>
      <c r="B6282" s="137">
        <f>'Acct Summary 7-8'!I83</f>
        <v>9.43386049050806E-3</v>
      </c>
      <c r="D6282" s="2" t="str">
        <f t="shared" si="97"/>
        <v>Error?</v>
      </c>
      <c r="E6282" s="2" t="s">
        <v>190</v>
      </c>
    </row>
    <row r="6283" spans="1:5" x14ac:dyDescent="0.2">
      <c r="A6283">
        <v>6222</v>
      </c>
      <c r="B6283" s="137" t="e">
        <f>'Acct Summary 7-8'!J83</f>
        <v>#DIV/0!</v>
      </c>
      <c r="D6283" s="2" t="e">
        <f t="shared" si="97"/>
        <v>#DIV/0!</v>
      </c>
      <c r="E6283" s="2" t="s">
        <v>190</v>
      </c>
    </row>
    <row r="6284" spans="1:5" x14ac:dyDescent="0.2">
      <c r="A6284">
        <v>6223</v>
      </c>
      <c r="B6284" s="137">
        <f>'Acct Summary 7-8'!K83</f>
        <v>-0.60735765230412109</v>
      </c>
      <c r="D6284" s="2" t="str">
        <f t="shared" si="97"/>
        <v>Error?</v>
      </c>
      <c r="E6284" s="2" t="s">
        <v>190</v>
      </c>
    </row>
    <row r="6285" spans="1:5" x14ac:dyDescent="0.2">
      <c r="A6285">
        <v>6224</v>
      </c>
      <c r="B6285" s="137">
        <f>'Acct Summary 7-8'!E37</f>
        <v>34254</v>
      </c>
      <c r="D6285" s="2" t="str">
        <f t="shared" si="97"/>
        <v>Error?</v>
      </c>
      <c r="E6285" s="2" t="s">
        <v>190</v>
      </c>
    </row>
    <row r="6286" spans="1:5" x14ac:dyDescent="0.2">
      <c r="A6286">
        <v>6225</v>
      </c>
      <c r="B6286" s="137">
        <f>'Acct Summary 7-8'!E38</f>
        <v>8946</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41261</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1937</v>
      </c>
    </row>
    <row r="6383" spans="1:6" x14ac:dyDescent="0.2">
      <c r="A6383" s="128">
        <v>6322</v>
      </c>
      <c r="D6383" s="2" t="str">
        <f t="shared" si="98"/>
        <v>OK</v>
      </c>
      <c r="E6383" s="2" t="s">
        <v>190</v>
      </c>
      <c r="F6383" s="1" t="s">
        <v>1937</v>
      </c>
    </row>
    <row r="6384" spans="1:6" x14ac:dyDescent="0.2">
      <c r="A6384" s="128">
        <v>6323</v>
      </c>
      <c r="D6384" s="2" t="str">
        <f t="shared" si="98"/>
        <v>OK</v>
      </c>
      <c r="E6384" s="2" t="s">
        <v>190</v>
      </c>
      <c r="F6384" s="1" t="s">
        <v>1937</v>
      </c>
    </row>
    <row r="6385" spans="1:6" x14ac:dyDescent="0.2">
      <c r="A6385" s="128">
        <v>6324</v>
      </c>
      <c r="D6385" s="2" t="str">
        <f t="shared" si="98"/>
        <v>OK</v>
      </c>
      <c r="E6385" s="2" t="s">
        <v>190</v>
      </c>
      <c r="F6385" s="1" t="s">
        <v>1937</v>
      </c>
    </row>
    <row r="6386" spans="1:6" x14ac:dyDescent="0.2">
      <c r="A6386" s="128">
        <v>6325</v>
      </c>
      <c r="D6386" s="2" t="str">
        <f t="shared" si="98"/>
        <v>OK</v>
      </c>
      <c r="E6386" s="2" t="s">
        <v>190</v>
      </c>
      <c r="F6386" s="1" t="s">
        <v>1937</v>
      </c>
    </row>
    <row r="6387" spans="1:6" x14ac:dyDescent="0.2">
      <c r="A6387" s="128">
        <v>6326</v>
      </c>
      <c r="D6387" s="2" t="str">
        <f t="shared" si="98"/>
        <v>OK</v>
      </c>
      <c r="E6387" s="2" t="s">
        <v>190</v>
      </c>
      <c r="F6387" s="1" t="s">
        <v>1937</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1937</v>
      </c>
    </row>
    <row r="6411" spans="1:6" x14ac:dyDescent="0.2">
      <c r="A6411" s="128">
        <v>6350</v>
      </c>
      <c r="D6411" s="2" t="str">
        <f t="shared" si="99"/>
        <v>OK</v>
      </c>
      <c r="E6411" s="2" t="s">
        <v>190</v>
      </c>
      <c r="F6411" s="1" t="s">
        <v>1937</v>
      </c>
    </row>
    <row r="6412" spans="1:6" x14ac:dyDescent="0.2">
      <c r="A6412" s="128">
        <v>6351</v>
      </c>
      <c r="D6412" s="2" t="str">
        <f t="shared" si="99"/>
        <v>OK</v>
      </c>
      <c r="E6412" s="2" t="s">
        <v>190</v>
      </c>
      <c r="F6412" s="1" t="s">
        <v>1937</v>
      </c>
    </row>
    <row r="6413" spans="1:6" x14ac:dyDescent="0.2">
      <c r="A6413" s="128">
        <v>6352</v>
      </c>
      <c r="D6413" s="2" t="str">
        <f t="shared" si="99"/>
        <v>OK</v>
      </c>
      <c r="E6413" s="2" t="s">
        <v>190</v>
      </c>
      <c r="F6413" s="1" t="s">
        <v>1937</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1937</v>
      </c>
    </row>
    <row r="6842" spans="1:5" x14ac:dyDescent="0.2">
      <c r="A6842" s="128">
        <v>6781</v>
      </c>
      <c r="D6842" s="2" t="str">
        <f t="shared" si="105"/>
        <v>OK</v>
      </c>
      <c r="E6842" s="1" t="s">
        <v>1937</v>
      </c>
    </row>
    <row r="6843" spans="1:5" x14ac:dyDescent="0.2">
      <c r="A6843" s="128">
        <v>6782</v>
      </c>
      <c r="D6843" s="2" t="str">
        <f t="shared" si="105"/>
        <v>OK</v>
      </c>
      <c r="E6843" s="1" t="s">
        <v>1937</v>
      </c>
    </row>
    <row r="6844" spans="1:5" x14ac:dyDescent="0.2">
      <c r="A6844">
        <v>6783</v>
      </c>
      <c r="B6844" s="137">
        <f>'Expenditures 15-22'!I5</f>
        <v>-110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3864</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1880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59205</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1338736</v>
      </c>
      <c r="D6880" s="2" t="str">
        <f t="shared" si="106"/>
        <v>Error?</v>
      </c>
    </row>
    <row r="6881" spans="1:4" x14ac:dyDescent="0.2">
      <c r="A6881">
        <v>6820</v>
      </c>
      <c r="B6881" s="137">
        <f>'Expenditures 15-22'!K22</f>
        <v>1338736</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5634</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13276</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13276</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203321</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203321</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216597</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21446</v>
      </c>
      <c r="D6981" s="2" t="str">
        <f t="shared" si="108"/>
        <v>Error?</v>
      </c>
    </row>
    <row r="6982" spans="1:4" x14ac:dyDescent="0.2">
      <c r="A6982">
        <v>6921</v>
      </c>
      <c r="B6982" s="137">
        <f>'Expenditures 15-22'!K85</f>
        <v>21446</v>
      </c>
      <c r="D6982" s="2" t="str">
        <f t="shared" si="108"/>
        <v>Error?</v>
      </c>
    </row>
    <row r="6983" spans="1:4" x14ac:dyDescent="0.2">
      <c r="A6983">
        <v>6922</v>
      </c>
      <c r="B6983" s="137">
        <f>'Expenditures 15-22'!H86</f>
        <v>6768</v>
      </c>
      <c r="D6983" s="2" t="str">
        <f t="shared" si="108"/>
        <v>Error?</v>
      </c>
    </row>
    <row r="6984" spans="1:4" x14ac:dyDescent="0.2">
      <c r="A6984">
        <v>6923</v>
      </c>
      <c r="B6984" s="137">
        <f>'Expenditures 15-22'!K86</f>
        <v>6768</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28214</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222231</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7732</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7732</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7732</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7732</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1989</v>
      </c>
      <c r="D7067" s="2" t="str">
        <f t="shared" si="109"/>
        <v>Error?</v>
      </c>
    </row>
    <row r="7068" spans="1:4" x14ac:dyDescent="0.2">
      <c r="A7068">
        <v>7007</v>
      </c>
      <c r="B7068" s="137">
        <f>'Expenditures 15-22'!K205</f>
        <v>1989</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56827</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2343</v>
      </c>
      <c r="D7265" s="2" t="str">
        <f t="shared" si="112"/>
        <v>Error?</v>
      </c>
    </row>
    <row r="7266" spans="1:5" x14ac:dyDescent="0.2">
      <c r="A7266">
        <f t="shared" si="113"/>
        <v>7205</v>
      </c>
      <c r="B7266" s="137">
        <f>'Expenditures 15-22'!F17</f>
        <v>35</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229963</v>
      </c>
      <c r="D7624" s="2" t="str">
        <f t="shared" si="124"/>
        <v>Error?</v>
      </c>
      <c r="E7624" s="2" t="s">
        <v>19</v>
      </c>
    </row>
    <row r="7625" spans="1:5" x14ac:dyDescent="0.2">
      <c r="A7625">
        <f t="shared" si="123"/>
        <v>7564</v>
      </c>
      <c r="B7625" s="137">
        <f>'Cap Outlay Deprec 26'!I17</f>
        <v>22996.3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2268089.2999999998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34254</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8946</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41621</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27392</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69013</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69013</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558996</v>
      </c>
      <c r="D7759" s="2" t="str">
        <f t="shared" si="127"/>
        <v>Error?</v>
      </c>
      <c r="E7759" s="4" t="s">
        <v>1333</v>
      </c>
    </row>
    <row r="7760" spans="1:6" x14ac:dyDescent="0.2">
      <c r="A7760">
        <v>7699</v>
      </c>
      <c r="B7760" s="137">
        <f>'Aud Quest 2'!J90</f>
        <v>558996</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29'!D142</f>
        <v>3319425</v>
      </c>
      <c r="D7797" s="2" t="str">
        <f t="shared" si="127"/>
        <v>Error?</v>
      </c>
      <c r="E7797" s="4" t="s">
        <v>1903</v>
      </c>
    </row>
    <row r="7798" spans="1:5" x14ac:dyDescent="0.2">
      <c r="A7798">
        <v>7737</v>
      </c>
      <c r="B7798" s="137">
        <f>'Contracts Paid in CY 29'!F142</f>
        <v>314298</v>
      </c>
      <c r="D7798" s="2" t="str">
        <f t="shared" si="127"/>
        <v>Error?</v>
      </c>
      <c r="E7798" s="4" t="s">
        <v>1903</v>
      </c>
    </row>
    <row r="7799" spans="1:5" x14ac:dyDescent="0.2">
      <c r="A7799">
        <v>7738</v>
      </c>
      <c r="B7799" s="137">
        <f>'Contracts Paid in CY 29'!G142</f>
        <v>3005127</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1939</v>
      </c>
    </row>
    <row r="7802" spans="1:5" x14ac:dyDescent="0.2">
      <c r="A7802">
        <v>7741</v>
      </c>
      <c r="B7802" s="137">
        <f>'Revenues 9-14'!D120</f>
        <v>0</v>
      </c>
      <c r="D7802" s="2" t="str">
        <f t="shared" si="127"/>
        <v>Error?</v>
      </c>
      <c r="E7802" s="4" t="s">
        <v>1939</v>
      </c>
    </row>
    <row r="7803" spans="1:5" x14ac:dyDescent="0.2">
      <c r="A7803">
        <v>7742</v>
      </c>
      <c r="B7803" s="137">
        <f>'Revenues 9-14'!E120</f>
        <v>0</v>
      </c>
      <c r="D7803" s="2" t="str">
        <f t="shared" si="127"/>
        <v>Error?</v>
      </c>
      <c r="E7803" s="4" t="s">
        <v>1939</v>
      </c>
    </row>
    <row r="7804" spans="1:5" x14ac:dyDescent="0.2">
      <c r="A7804">
        <v>7743</v>
      </c>
      <c r="B7804" s="137">
        <f>'Revenues 9-14'!F120</f>
        <v>0</v>
      </c>
      <c r="D7804" s="2" t="str">
        <f t="shared" si="127"/>
        <v>Error?</v>
      </c>
      <c r="E7804" s="4" t="s">
        <v>1939</v>
      </c>
    </row>
    <row r="7805" spans="1:5" x14ac:dyDescent="0.2">
      <c r="A7805">
        <v>7744</v>
      </c>
      <c r="B7805" s="137">
        <f>'Revenues 9-14'!G120</f>
        <v>0</v>
      </c>
      <c r="D7805" s="2" t="str">
        <f t="shared" si="127"/>
        <v>Error?</v>
      </c>
      <c r="E7805" s="4" t="s">
        <v>1939</v>
      </c>
    </row>
    <row r="7806" spans="1:5" x14ac:dyDescent="0.2">
      <c r="A7806">
        <v>7745</v>
      </c>
      <c r="B7806" s="137">
        <f>'Revenues 9-14'!H120</f>
        <v>0</v>
      </c>
      <c r="D7806" s="2" t="str">
        <f t="shared" si="127"/>
        <v>Error?</v>
      </c>
      <c r="E7806" s="4" t="s">
        <v>1939</v>
      </c>
    </row>
    <row r="7807" spans="1:5" x14ac:dyDescent="0.2">
      <c r="A7807">
        <v>7746</v>
      </c>
      <c r="B7807" s="137">
        <f>'Revenues 9-14'!J120</f>
        <v>0</v>
      </c>
      <c r="D7807" s="2" t="str">
        <f t="shared" ref="D7807:D7816" si="128">IF(ISBLANK(B7807),"OK",IF(A7807-B7807=0,"OK","Error?"))</f>
        <v>Error?</v>
      </c>
      <c r="E7807" s="4" t="s">
        <v>1939</v>
      </c>
    </row>
    <row r="7808" spans="1:5" x14ac:dyDescent="0.2">
      <c r="A7808">
        <v>7747</v>
      </c>
      <c r="B7808" s="137">
        <f>'Revenues 9-14'!K120</f>
        <v>0</v>
      </c>
      <c r="D7808" s="2" t="str">
        <f t="shared" si="128"/>
        <v>Error?</v>
      </c>
      <c r="E7808" s="4" t="s">
        <v>1939</v>
      </c>
    </row>
    <row r="7809" spans="1:5" x14ac:dyDescent="0.2">
      <c r="A7809">
        <v>7748</v>
      </c>
      <c r="B7809" s="137">
        <f>'Revenues 9-14'!C261</f>
        <v>0</v>
      </c>
      <c r="D7809" s="2" t="str">
        <f t="shared" si="128"/>
        <v>Error?</v>
      </c>
      <c r="E7809" s="4" t="s">
        <v>1940</v>
      </c>
    </row>
    <row r="7810" spans="1:5" x14ac:dyDescent="0.2">
      <c r="A7810">
        <v>7749</v>
      </c>
      <c r="B7810" s="137">
        <f>'Revenues 9-14'!D261</f>
        <v>0</v>
      </c>
      <c r="D7810" s="2" t="str">
        <f t="shared" si="128"/>
        <v>Error?</v>
      </c>
      <c r="E7810" s="4" t="s">
        <v>1940</v>
      </c>
    </row>
    <row r="7811" spans="1:5" x14ac:dyDescent="0.2">
      <c r="A7811">
        <v>7750</v>
      </c>
      <c r="B7811" s="137">
        <f>'Revenues 9-14'!F261</f>
        <v>0</v>
      </c>
      <c r="D7811" s="2" t="str">
        <f t="shared" si="128"/>
        <v>Error?</v>
      </c>
      <c r="E7811" s="4" t="s">
        <v>1940</v>
      </c>
    </row>
    <row r="7812" spans="1:5" x14ac:dyDescent="0.2">
      <c r="A7812">
        <v>7751</v>
      </c>
      <c r="B7812" s="137">
        <f>'Revenues 9-14'!G261</f>
        <v>0</v>
      </c>
      <c r="D7812" s="2" t="str">
        <f t="shared" si="128"/>
        <v>Error?</v>
      </c>
      <c r="E7812" s="4" t="s">
        <v>1940</v>
      </c>
    </row>
    <row r="7813" spans="1:5" x14ac:dyDescent="0.2">
      <c r="A7813">
        <v>7752</v>
      </c>
      <c r="B7813" s="137">
        <f>'Revenues 9-14'!C262</f>
        <v>0</v>
      </c>
      <c r="D7813" s="2" t="str">
        <f t="shared" si="128"/>
        <v>Error?</v>
      </c>
      <c r="E7813" s="4" t="s">
        <v>1941</v>
      </c>
    </row>
    <row r="7814" spans="1:5" x14ac:dyDescent="0.2">
      <c r="A7814">
        <v>7753</v>
      </c>
      <c r="B7814" s="137">
        <f>'Revenues 9-14'!D262</f>
        <v>0</v>
      </c>
      <c r="D7814" s="2" t="str">
        <f t="shared" si="128"/>
        <v>Error?</v>
      </c>
      <c r="E7814" s="4" t="s">
        <v>1941</v>
      </c>
    </row>
    <row r="7815" spans="1:5" x14ac:dyDescent="0.2">
      <c r="A7815">
        <v>7754</v>
      </c>
      <c r="B7815" s="137">
        <f>'Revenues 9-14'!F262</f>
        <v>0</v>
      </c>
      <c r="D7815" s="2" t="str">
        <f t="shared" si="128"/>
        <v>Error?</v>
      </c>
      <c r="E7815" s="4" t="s">
        <v>1941</v>
      </c>
    </row>
    <row r="7816" spans="1:5" x14ac:dyDescent="0.2">
      <c r="A7816">
        <v>7755</v>
      </c>
      <c r="B7816" s="137">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7" t="s">
        <v>1191</v>
      </c>
      <c r="B2" s="2407"/>
      <c r="C2" s="2407"/>
      <c r="D2" s="2407"/>
      <c r="E2" s="2407"/>
      <c r="F2" s="2407"/>
      <c r="G2" s="2407"/>
      <c r="H2" s="2407"/>
      <c r="I2" s="2407"/>
      <c r="J2" s="2407"/>
      <c r="K2" s="2407"/>
      <c r="L2" s="2407"/>
    </row>
    <row r="3" spans="1:29" ht="13.5" customHeight="1" x14ac:dyDescent="0.2">
      <c r="A3" s="2393" t="s">
        <v>1190</v>
      </c>
      <c r="B3" s="2393"/>
      <c r="C3" s="2393"/>
      <c r="D3" s="2393"/>
      <c r="E3" s="2393"/>
      <c r="F3" s="2393"/>
      <c r="G3" s="2393"/>
      <c r="H3" s="2393"/>
      <c r="I3" s="2393"/>
      <c r="J3" s="2393"/>
      <c r="K3" s="2393"/>
      <c r="L3" s="2393"/>
    </row>
    <row r="4" spans="1:29" ht="13.5" customHeight="1" x14ac:dyDescent="0.2">
      <c r="A4" s="2407" t="s">
        <v>1987</v>
      </c>
      <c r="B4" s="2424"/>
      <c r="C4" s="2424"/>
      <c r="D4" s="2424"/>
      <c r="E4" s="2424"/>
      <c r="F4" s="2424"/>
      <c r="G4" s="2424"/>
      <c r="H4" s="2424"/>
      <c r="I4" s="2424"/>
      <c r="J4" s="2424"/>
      <c r="K4" s="2424"/>
      <c r="L4" s="242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7" t="str">
        <f>COVER!A17</f>
        <v>Riverside-Brookfield Twp SD 208</v>
      </c>
      <c r="B7" s="2388"/>
      <c r="C7" s="2388"/>
      <c r="D7" s="2425"/>
      <c r="E7" s="2426">
        <f>COVER!A13</f>
        <v>6016208017</v>
      </c>
      <c r="F7" s="2427"/>
      <c r="G7" s="2394" t="str">
        <f>COVER!T23</f>
        <v>066.005340</v>
      </c>
      <c r="H7" s="2395"/>
      <c r="I7" s="2395"/>
      <c r="J7" s="2395"/>
      <c r="K7" s="2395"/>
      <c r="L7" s="239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7"/>
      <c r="B9" s="2398"/>
      <c r="C9" s="2398"/>
      <c r="D9" s="2398"/>
      <c r="E9" s="2398"/>
      <c r="F9" s="2399"/>
      <c r="G9" s="2400" t="str">
        <f>COVER!T13</f>
        <v>EVANS, MARSHALL &amp; PEASE, P.C.</v>
      </c>
      <c r="H9" s="2401"/>
      <c r="I9" s="2401"/>
      <c r="J9" s="2401"/>
      <c r="K9" s="2401"/>
      <c r="L9" s="2402"/>
    </row>
    <row r="10" spans="1:29" ht="13.5" customHeight="1" x14ac:dyDescent="0.2">
      <c r="A10" s="2384">
        <f>COVER!A38</f>
        <v>0</v>
      </c>
      <c r="B10" s="2385"/>
      <c r="C10" s="2385"/>
      <c r="D10" s="2385"/>
      <c r="E10" s="2385"/>
      <c r="F10" s="2386"/>
      <c r="G10" s="2400" t="str">
        <f>COVER!T17</f>
        <v>1875 HICKS ROAD</v>
      </c>
      <c r="H10" s="2413"/>
      <c r="I10" s="2413"/>
      <c r="J10" s="2413"/>
      <c r="K10" s="2413"/>
      <c r="L10" s="2414"/>
    </row>
    <row r="11" spans="1:29" ht="13.5" customHeight="1" x14ac:dyDescent="0.2">
      <c r="A11" s="1183" t="s">
        <v>1519</v>
      </c>
      <c r="B11" s="1184"/>
      <c r="C11" s="1185"/>
      <c r="D11" s="1190"/>
      <c r="E11" s="1185"/>
      <c r="F11" s="1189"/>
      <c r="G11" s="2400" t="str">
        <f>COVER!T19</f>
        <v>ROLLING MEADOWS</v>
      </c>
      <c r="H11" s="2413"/>
      <c r="I11" s="2413"/>
      <c r="J11" s="2413"/>
      <c r="K11" s="2413"/>
      <c r="L11" s="2414"/>
    </row>
    <row r="12" spans="1:29" ht="13.5" customHeight="1" x14ac:dyDescent="0.2">
      <c r="A12" s="2418" t="s">
        <v>1518</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1520</v>
      </c>
      <c r="H13" s="2409"/>
      <c r="I13" s="2421" t="str">
        <f>COVER!T25</f>
        <v>CHRIS@EMPCPA.COM</v>
      </c>
      <c r="J13" s="2422"/>
      <c r="K13" s="2422"/>
      <c r="L13" s="2423"/>
    </row>
    <row r="14" spans="1:29" ht="13.5" customHeight="1" x14ac:dyDescent="0.2">
      <c r="A14" s="2400" t="str">
        <f>COVER!A19</f>
        <v>160 RIDGEWOOD ROAD</v>
      </c>
      <c r="B14" s="2413"/>
      <c r="C14" s="2413"/>
      <c r="D14" s="2413"/>
      <c r="E14" s="2413"/>
      <c r="F14" s="2414"/>
      <c r="G14" s="1194" t="s">
        <v>1185</v>
      </c>
      <c r="H14" s="1192"/>
      <c r="I14" s="1192"/>
      <c r="J14" s="1192"/>
      <c r="K14" s="1192"/>
      <c r="L14" s="1193"/>
    </row>
    <row r="15" spans="1:29" ht="13.5" customHeight="1" x14ac:dyDescent="0.2">
      <c r="A15" s="2400" t="str">
        <f>COVER!A21</f>
        <v>RIVERSIDE</v>
      </c>
      <c r="B15" s="2413"/>
      <c r="C15" s="2413"/>
      <c r="D15" s="2413"/>
      <c r="E15" s="2413"/>
      <c r="F15" s="2414"/>
      <c r="G15" s="2410" t="str">
        <f>COVER!T15</f>
        <v>CHRISTOPHER M. SCALET, CPA</v>
      </c>
      <c r="H15" s="2411"/>
      <c r="I15" s="2411"/>
      <c r="J15" s="2411"/>
      <c r="K15" s="2411"/>
      <c r="L15" s="2412"/>
    </row>
    <row r="16" spans="1:29" ht="12.2" customHeight="1" x14ac:dyDescent="0.2">
      <c r="A16" s="2390">
        <f>COVER!A25</f>
        <v>60546</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4" t="s">
        <v>1184</v>
      </c>
      <c r="H17" s="1192"/>
      <c r="I17" s="1192"/>
      <c r="J17" s="1192"/>
      <c r="K17" s="1196" t="s">
        <v>1183</v>
      </c>
      <c r="L17" s="1189"/>
      <c r="M17" s="1182"/>
    </row>
    <row r="18" spans="1:13" ht="12.2" customHeight="1" x14ac:dyDescent="0.2">
      <c r="A18" s="2384"/>
      <c r="B18" s="2385"/>
      <c r="C18" s="2385"/>
      <c r="D18" s="2385"/>
      <c r="E18" s="2385"/>
      <c r="F18" s="2386"/>
      <c r="G18" s="2387" t="str">
        <f>COVER!T21</f>
        <v>847-221-5700</v>
      </c>
      <c r="H18" s="2388"/>
      <c r="I18" s="2388"/>
      <c r="J18" s="2388"/>
      <c r="K18" s="2387" t="str">
        <f>COVER!X21</f>
        <v>847-221-5701</v>
      </c>
      <c r="L18" s="238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3"/>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8" t="str">
        <f>'Single Audit Cover'!A7</f>
        <v>Riverside-Brookfield Twp SD 208</v>
      </c>
      <c r="B1" s="2424"/>
      <c r="C1" s="2424"/>
      <c r="D1" s="2424"/>
    </row>
    <row r="2" spans="1:11" s="1211" customFormat="1" ht="12.75" x14ac:dyDescent="0.2">
      <c r="A2" s="2429">
        <f>'Single Audit Cover'!E7</f>
        <v>6016208017</v>
      </c>
      <c r="B2" s="2430"/>
      <c r="C2" s="2430"/>
      <c r="D2" s="2430"/>
    </row>
    <row r="3" spans="1:11" s="1211" customFormat="1" ht="12.75" x14ac:dyDescent="0.2">
      <c r="A3" s="2428" t="s">
        <v>1513</v>
      </c>
      <c r="B3" s="2424"/>
      <c r="C3" s="2424"/>
      <c r="D3" s="2424"/>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32" t="str">
        <f>'Single Audit Cover'!A7</f>
        <v>Riverside-Brookfield Twp SD 208</v>
      </c>
      <c r="B1" s="2432"/>
      <c r="C1" s="2432"/>
      <c r="D1" s="2432"/>
      <c r="E1" s="2432"/>
    </row>
    <row r="2" spans="1:5" x14ac:dyDescent="0.2">
      <c r="A2" s="2433">
        <f>'Single Audit Cover'!E7</f>
        <v>6016208017</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6" t="s">
        <v>1243</v>
      </c>
    </row>
    <row r="10" spans="1:5" x14ac:dyDescent="0.2">
      <c r="A10" s="1257" t="s">
        <v>1242</v>
      </c>
      <c r="B10" s="1258" t="s">
        <v>1241</v>
      </c>
      <c r="C10" s="1258"/>
      <c r="D10" s="1259">
        <f>SUM('Acct Summary 7-8'!C7:K7)</f>
        <v>530001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-34556</v>
      </c>
    </row>
    <row r="19" spans="1:4" ht="13.5" thickBot="1" x14ac:dyDescent="0.25">
      <c r="A19" s="1261" t="s">
        <v>1235</v>
      </c>
      <c r="D19" s="1262">
        <f>SUM(D10:D17)</f>
        <v>495445</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4"/>
      <c r="B24" s="2434"/>
      <c r="D24" s="1264"/>
    </row>
    <row r="25" spans="1:4" x14ac:dyDescent="0.2">
      <c r="A25" s="2431"/>
      <c r="B25" s="2431"/>
      <c r="D25" s="1264"/>
    </row>
    <row r="26" spans="1:4" x14ac:dyDescent="0.2">
      <c r="A26" s="2431"/>
      <c r="B26" s="2431"/>
      <c r="D26" s="1264"/>
    </row>
    <row r="27" spans="1:4" x14ac:dyDescent="0.2">
      <c r="A27" s="2431"/>
      <c r="B27" s="2431"/>
      <c r="D27" s="1264"/>
    </row>
    <row r="28" spans="1:4" x14ac:dyDescent="0.2">
      <c r="A28" s="2431"/>
      <c r="B28" s="2431"/>
      <c r="D28" s="1264"/>
    </row>
    <row r="29" spans="1:4" x14ac:dyDescent="0.2">
      <c r="A29" s="2431"/>
      <c r="B29" s="2431"/>
      <c r="D29" s="1264"/>
    </row>
    <row r="30" spans="1:4" x14ac:dyDescent="0.2">
      <c r="A30" s="2431"/>
      <c r="B30" s="2431"/>
      <c r="D30" s="1264"/>
    </row>
    <row r="32" spans="1:4" x14ac:dyDescent="0.2">
      <c r="A32" s="1256" t="s">
        <v>1233</v>
      </c>
      <c r="D32" s="1259">
        <f>SUM(D19:D30)</f>
        <v>495445</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31"/>
      <c r="B40" s="2431"/>
      <c r="D40" s="1264"/>
    </row>
    <row r="41" spans="1:4" x14ac:dyDescent="0.2">
      <c r="A41" s="2431"/>
      <c r="B41" s="2431"/>
      <c r="D41" s="1267"/>
    </row>
    <row r="42" spans="1:4" x14ac:dyDescent="0.2">
      <c r="A42" s="2431"/>
      <c r="B42" s="2431"/>
      <c r="D42" s="1267"/>
    </row>
    <row r="43" spans="1:4" x14ac:dyDescent="0.2">
      <c r="A43" s="2431"/>
      <c r="B43" s="2431"/>
      <c r="D43" s="1267"/>
    </row>
    <row r="44" spans="1:4" x14ac:dyDescent="0.2">
      <c r="A44" s="2431"/>
      <c r="B44" s="2431"/>
      <c r="D44" s="1267"/>
    </row>
    <row r="45" spans="1:4" x14ac:dyDescent="0.2">
      <c r="A45" s="2431"/>
      <c r="B45" s="2431"/>
      <c r="D45" s="1267"/>
    </row>
    <row r="47" spans="1:4" x14ac:dyDescent="0.2">
      <c r="B47" s="1268" t="s">
        <v>1227</v>
      </c>
      <c r="C47" s="1268"/>
      <c r="D47" s="1269">
        <f>SUM(D35:D45)</f>
        <v>0</v>
      </c>
    </row>
    <row r="49" spans="2:4" x14ac:dyDescent="0.2">
      <c r="B49" s="1268" t="s">
        <v>1226</v>
      </c>
      <c r="C49" s="1268"/>
      <c r="D49" s="1269">
        <f>D32-D47</f>
        <v>495445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393" t="str">
        <f>'Single Audit Cover'!A7</f>
        <v>Riverside-Brookfield Twp SD 208</v>
      </c>
      <c r="C1" s="2436"/>
      <c r="D1" s="2436"/>
      <c r="E1" s="2436"/>
      <c r="F1" s="2436"/>
      <c r="G1" s="2436"/>
      <c r="H1" s="2436"/>
      <c r="I1" s="2436"/>
      <c r="J1" s="2436"/>
      <c r="K1" s="2436"/>
      <c r="L1" s="2436"/>
      <c r="M1" s="2436"/>
    </row>
    <row r="2" spans="2:14" ht="15" x14ac:dyDescent="0.2">
      <c r="B2" s="2437">
        <f>'Single Audit Cover'!E7</f>
        <v>6016208017</v>
      </c>
      <c r="C2" s="2437"/>
      <c r="D2" s="2437"/>
      <c r="E2" s="2437"/>
      <c r="F2" s="2437"/>
      <c r="G2" s="2437"/>
      <c r="H2" s="2437"/>
      <c r="I2" s="2437"/>
      <c r="J2" s="2437"/>
      <c r="K2" s="2437"/>
      <c r="L2" s="2437"/>
      <c r="M2" s="2437"/>
      <c r="N2" s="1298"/>
    </row>
    <row r="3" spans="2:14" ht="15" x14ac:dyDescent="0.2">
      <c r="B3" s="2438" t="s">
        <v>1219</v>
      </c>
      <c r="C3" s="2438"/>
      <c r="D3" s="2438"/>
      <c r="E3" s="2438"/>
      <c r="F3" s="2438"/>
      <c r="G3" s="2438"/>
      <c r="H3" s="2438"/>
      <c r="I3" s="2438"/>
      <c r="J3" s="2438"/>
      <c r="K3" s="2438"/>
      <c r="L3" s="2438"/>
      <c r="M3" s="2438"/>
      <c r="N3" s="1298"/>
    </row>
    <row r="4" spans="2:14" ht="15" x14ac:dyDescent="0.2">
      <c r="B4" s="2439" t="str">
        <f>'Single Audit Cover'!A4</f>
        <v>Year Ending June 30, 2019</v>
      </c>
      <c r="C4" s="2439"/>
      <c r="D4" s="2439"/>
      <c r="E4" s="2439"/>
      <c r="F4" s="2439"/>
      <c r="G4" s="2439"/>
      <c r="H4" s="2439"/>
      <c r="I4" s="2439"/>
      <c r="J4" s="2439"/>
      <c r="K4" s="2439"/>
      <c r="L4" s="2439"/>
      <c r="M4" s="2439"/>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41" t="str">
        <f>'Single Audit Cover'!A7</f>
        <v>Riverside-Brookfield Twp SD 208</v>
      </c>
      <c r="B1" s="2441"/>
      <c r="C1" s="2441"/>
      <c r="D1" s="2441"/>
      <c r="E1" s="2441"/>
      <c r="F1" s="2441"/>
    </row>
    <row r="2" spans="1:7" ht="13.5" customHeight="1" x14ac:dyDescent="0.2">
      <c r="A2" s="2437">
        <f>'Single Audit Cover'!E7</f>
        <v>6016208017</v>
      </c>
      <c r="B2" s="2437"/>
      <c r="C2" s="2437"/>
      <c r="D2" s="2437"/>
      <c r="E2" s="2437"/>
      <c r="F2" s="2437"/>
      <c r="G2" s="1271"/>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6"/>
      <c r="D5" s="316"/>
    </row>
    <row r="6" spans="1:7" ht="13.5" customHeight="1" x14ac:dyDescent="0.2">
      <c r="A6" s="1272" t="s">
        <v>1728</v>
      </c>
      <c r="C6" s="316"/>
      <c r="D6" s="316"/>
    </row>
    <row r="7" spans="1:7" ht="60.95" customHeight="1" x14ac:dyDescent="0.2">
      <c r="A7" s="2440" t="s">
        <v>1729</v>
      </c>
      <c r="B7" s="2440"/>
      <c r="C7" s="2440"/>
      <c r="D7" s="2440"/>
      <c r="E7" s="2440"/>
      <c r="F7" s="2440"/>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40" t="s">
        <v>1731</v>
      </c>
      <c r="B13" s="2440"/>
      <c r="C13" s="2440"/>
      <c r="D13" s="2440"/>
      <c r="E13" s="2440"/>
      <c r="F13" s="2440"/>
    </row>
    <row r="14" spans="1:7" ht="9.75" customHeight="1" x14ac:dyDescent="0.2">
      <c r="C14" s="1256"/>
      <c r="D14" s="1256"/>
    </row>
    <row r="15" spans="1:7" ht="13.5" customHeight="1" x14ac:dyDescent="0.2">
      <c r="C15" s="1845" t="s">
        <v>1270</v>
      </c>
      <c r="D15" s="2445" t="s">
        <v>1269</v>
      </c>
      <c r="E15" s="2445"/>
      <c r="F15" s="2445"/>
    </row>
    <row r="16" spans="1:7" ht="13.5" customHeight="1" x14ac:dyDescent="0.2">
      <c r="A16" s="1278"/>
      <c r="B16" s="1272" t="s">
        <v>1268</v>
      </c>
      <c r="C16" s="1845" t="s">
        <v>1267</v>
      </c>
      <c r="D16" s="2446" t="s">
        <v>1588</v>
      </c>
      <c r="E16" s="2446"/>
      <c r="F16" s="2446"/>
    </row>
    <row r="17" spans="1:6" ht="20.45" customHeight="1" x14ac:dyDescent="0.2">
      <c r="A17" s="1279"/>
      <c r="B17" s="1280"/>
      <c r="C17" s="1281"/>
      <c r="D17" s="2444"/>
      <c r="E17" s="2444"/>
      <c r="F17" s="2444"/>
    </row>
    <row r="18" spans="1:6" ht="20.65" customHeight="1" x14ac:dyDescent="0.2">
      <c r="A18" s="1279"/>
      <c r="B18" s="1280"/>
      <c r="C18" s="1281"/>
      <c r="D18" s="2444"/>
      <c r="E18" s="2444"/>
      <c r="F18" s="2444"/>
    </row>
    <row r="19" spans="1:6" ht="20.65" customHeight="1" x14ac:dyDescent="0.2">
      <c r="A19" s="1279"/>
      <c r="B19" s="1280"/>
      <c r="C19" s="1281"/>
      <c r="D19" s="2444"/>
      <c r="E19" s="2444"/>
      <c r="F19" s="2444"/>
    </row>
    <row r="20" spans="1:6" ht="20.65" customHeight="1" x14ac:dyDescent="0.2">
      <c r="A20" s="1279"/>
      <c r="B20" s="1280"/>
      <c r="C20" s="1281"/>
      <c r="D20" s="2444"/>
      <c r="E20" s="2444"/>
      <c r="F20" s="2444"/>
    </row>
    <row r="21" spans="1:6" ht="20.65" customHeight="1" x14ac:dyDescent="0.2">
      <c r="A21" s="1279"/>
      <c r="B21" s="1280"/>
      <c r="C21" s="1281"/>
      <c r="D21" s="2444"/>
      <c r="E21" s="2444"/>
      <c r="F21" s="2444"/>
    </row>
    <row r="22" spans="1:6" ht="20.65" customHeight="1" x14ac:dyDescent="0.2">
      <c r="A22" s="1279"/>
      <c r="B22" s="1280"/>
      <c r="C22" s="1281"/>
      <c r="D22" s="2444"/>
      <c r="E22" s="2444"/>
      <c r="F22" s="2444"/>
    </row>
    <row r="23" spans="1:6" ht="20.65" customHeight="1" x14ac:dyDescent="0.2">
      <c r="A23" s="1279"/>
      <c r="B23" s="1280"/>
      <c r="C23" s="1281"/>
      <c r="D23" s="2444"/>
      <c r="E23" s="2444"/>
      <c r="F23" s="2444"/>
    </row>
    <row r="24" spans="1:6" ht="20.65" customHeight="1" x14ac:dyDescent="0.2">
      <c r="A24" s="1279"/>
      <c r="B24" s="1280"/>
      <c r="C24" s="1281"/>
      <c r="D24" s="2444"/>
      <c r="E24" s="2444"/>
      <c r="F24" s="2444"/>
    </row>
    <row r="25" spans="1:6" ht="20.65" customHeight="1" x14ac:dyDescent="0.2">
      <c r="A25" s="1279"/>
      <c r="B25" s="1280"/>
      <c r="C25" s="1281"/>
      <c r="D25" s="2444"/>
      <c r="E25" s="2444"/>
      <c r="F25" s="2444"/>
    </row>
    <row r="26" spans="1:6" ht="20.65" customHeight="1" x14ac:dyDescent="0.2">
      <c r="A26" s="1279"/>
      <c r="B26" s="1280"/>
      <c r="C26" s="1281"/>
      <c r="D26" s="2444"/>
      <c r="E26" s="2444"/>
      <c r="F26" s="2444"/>
    </row>
    <row r="27" spans="1:6" ht="20.65" customHeight="1" x14ac:dyDescent="0.2">
      <c r="A27" s="1279"/>
      <c r="B27" s="1280"/>
      <c r="C27" s="1281"/>
      <c r="D27" s="2444"/>
      <c r="E27" s="2444"/>
      <c r="F27" s="2444"/>
    </row>
    <row r="28" spans="1:6" ht="20.65" customHeight="1" x14ac:dyDescent="0.2">
      <c r="A28" s="1279"/>
      <c r="B28" s="1280"/>
      <c r="C28" s="1281"/>
      <c r="D28" s="2444"/>
      <c r="E28" s="2444"/>
      <c r="F28" s="2444"/>
    </row>
    <row r="29" spans="1:6" ht="20.65" customHeight="1" x14ac:dyDescent="0.2">
      <c r="A29" s="1279"/>
      <c r="B29" s="1280"/>
      <c r="C29" s="1281"/>
      <c r="D29" s="2444"/>
      <c r="E29" s="2444"/>
      <c r="F29" s="2444"/>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448" t="s">
        <v>1732</v>
      </c>
      <c r="B32" s="2448"/>
      <c r="C32" s="2448"/>
      <c r="D32" s="2448"/>
      <c r="E32" s="2448"/>
      <c r="F32" s="2448"/>
    </row>
    <row r="33" spans="1:6" ht="13.5" customHeight="1" x14ac:dyDescent="0.2">
      <c r="A33" s="327" t="s">
        <v>1434</v>
      </c>
      <c r="B33" s="327"/>
      <c r="C33" s="1284">
        <v>0</v>
      </c>
      <c r="D33" s="1902"/>
      <c r="E33" s="1282"/>
    </row>
    <row r="34" spans="1:6" ht="13.5" customHeight="1" x14ac:dyDescent="0.2">
      <c r="A34" s="327" t="s">
        <v>1838</v>
      </c>
      <c r="B34" s="327"/>
      <c r="C34" s="1285">
        <v>0</v>
      </c>
      <c r="D34" s="1902" t="s">
        <v>1589</v>
      </c>
      <c r="E34" s="2449">
        <f>+C33+C34</f>
        <v>0</v>
      </c>
      <c r="F34" s="2450"/>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c r="D38" s="1902"/>
      <c r="E38" s="1282"/>
    </row>
    <row r="39" spans="1:6" ht="14.25" customHeight="1" x14ac:dyDescent="0.2">
      <c r="A39" s="327"/>
      <c r="B39" s="327" t="s">
        <v>1436</v>
      </c>
      <c r="C39" s="1288"/>
      <c r="D39" s="1902"/>
      <c r="E39" s="1282"/>
    </row>
    <row r="40" spans="1:6" ht="14.25" customHeight="1" x14ac:dyDescent="0.2">
      <c r="A40" s="327"/>
      <c r="B40" s="327" t="s">
        <v>1437</v>
      </c>
      <c r="C40" s="1288"/>
      <c r="D40" s="1902"/>
      <c r="E40" s="1282"/>
    </row>
    <row r="41" spans="1:6" ht="14.25" customHeight="1" x14ac:dyDescent="0.2">
      <c r="A41" s="327"/>
      <c r="B41" s="327" t="s">
        <v>1438</v>
      </c>
      <c r="C41" s="1288"/>
      <c r="D41" s="1902"/>
      <c r="E41" s="1282"/>
    </row>
    <row r="42" spans="1:6" ht="14.25" customHeight="1" x14ac:dyDescent="0.2">
      <c r="A42" s="327" t="s">
        <v>1439</v>
      </c>
      <c r="B42" s="327"/>
      <c r="C42" s="1900"/>
      <c r="D42" s="1902"/>
      <c r="E42" s="1282"/>
    </row>
    <row r="43" spans="1:6" ht="14.25" customHeight="1" x14ac:dyDescent="0.2">
      <c r="A43" s="327" t="s">
        <v>1440</v>
      </c>
      <c r="B43" s="327"/>
      <c r="C43" s="1289"/>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51" t="s">
        <v>1590</v>
      </c>
      <c r="C49" s="2451"/>
      <c r="D49" s="2451"/>
      <c r="E49" s="1395"/>
    </row>
    <row r="50" spans="1:5" s="1296" customFormat="1" ht="3.75" customHeight="1" x14ac:dyDescent="0.2">
      <c r="A50" s="1295"/>
      <c r="B50" s="1844"/>
      <c r="C50" s="1844"/>
      <c r="D50" s="1844"/>
      <c r="E50" s="1395"/>
    </row>
    <row r="51" spans="1:5" s="1296" customFormat="1" ht="20.25" customHeight="1" x14ac:dyDescent="0.2">
      <c r="A51" s="1297">
        <v>6</v>
      </c>
      <c r="B51" s="2447" t="s">
        <v>1551</v>
      </c>
      <c r="C51" s="2447"/>
      <c r="D51" s="2447"/>
    </row>
    <row r="52" spans="1:5" ht="14.25" customHeight="1" x14ac:dyDescent="0.2">
      <c r="A52" s="1297"/>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114" sqref="C114:D114"/>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7" t="s">
        <v>1168</v>
      </c>
      <c r="B2" s="2057"/>
      <c r="C2" s="2057"/>
      <c r="D2" s="2057"/>
      <c r="E2" s="2057"/>
      <c r="F2" s="2057"/>
      <c r="G2" s="2057"/>
      <c r="H2" s="2057"/>
      <c r="I2" s="2057"/>
      <c r="J2" s="2057"/>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1944</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71" t="s">
        <v>1633</v>
      </c>
      <c r="B35" s="2072"/>
      <c r="C35" s="2072"/>
      <c r="D35" s="2072"/>
      <c r="E35" s="2073"/>
      <c r="F35" s="2073"/>
      <c r="G35" s="2073"/>
      <c r="H35" s="2073"/>
      <c r="I35" s="2073"/>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71" t="s">
        <v>313</v>
      </c>
      <c r="B47" s="2074"/>
      <c r="C47" s="2074"/>
      <c r="D47" s="2074"/>
      <c r="E47" s="2075"/>
      <c r="F47" s="2075"/>
      <c r="G47" s="2075"/>
      <c r="H47" s="2075"/>
      <c r="I47" s="2075"/>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2065</v>
      </c>
      <c r="C53" s="178">
        <v>22</v>
      </c>
      <c r="D53" s="246" t="s">
        <v>1462</v>
      </c>
      <c r="E53" s="247"/>
      <c r="F53" s="248"/>
      <c r="G53" s="248" t="s">
        <v>1461</v>
      </c>
      <c r="H53" s="249">
        <v>33512</v>
      </c>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8"/>
      <c r="C57" s="2079"/>
      <c r="D57" s="2079"/>
      <c r="E57" s="2079"/>
      <c r="F57" s="2079"/>
      <c r="G57" s="2079"/>
      <c r="H57" s="2079"/>
      <c r="I57" s="2079"/>
      <c r="J57" s="2080"/>
    </row>
    <row r="58" spans="1:10" s="180" customFormat="1" x14ac:dyDescent="0.2">
      <c r="A58" s="252"/>
      <c r="B58" s="2081"/>
      <c r="C58" s="2082"/>
      <c r="D58" s="2082"/>
      <c r="E58" s="2082"/>
      <c r="F58" s="2082"/>
      <c r="G58" s="2082"/>
      <c r="H58" s="2082"/>
      <c r="I58" s="2082"/>
      <c r="J58" s="2083"/>
    </row>
    <row r="59" spans="1:10" s="180" customFormat="1" x14ac:dyDescent="0.2">
      <c r="A59" s="252"/>
      <c r="B59" s="2081"/>
      <c r="C59" s="2082"/>
      <c r="D59" s="2082"/>
      <c r="E59" s="2082"/>
      <c r="F59" s="2082"/>
      <c r="G59" s="2082"/>
      <c r="H59" s="2082"/>
      <c r="I59" s="2082"/>
      <c r="J59" s="2083"/>
    </row>
    <row r="60" spans="1:10" s="180" customFormat="1" x14ac:dyDescent="0.2">
      <c r="A60" s="252"/>
      <c r="B60" s="2081"/>
      <c r="C60" s="2082"/>
      <c r="D60" s="2082"/>
      <c r="E60" s="2082"/>
      <c r="F60" s="2082"/>
      <c r="G60" s="2082"/>
      <c r="H60" s="2082"/>
      <c r="I60" s="2082"/>
      <c r="J60" s="2083"/>
    </row>
    <row r="61" spans="1:10" s="180" customFormat="1" x14ac:dyDescent="0.2">
      <c r="A61" s="252"/>
      <c r="B61" s="2081"/>
      <c r="C61" s="2082"/>
      <c r="D61" s="2082"/>
      <c r="E61" s="2082"/>
      <c r="F61" s="2082"/>
      <c r="G61" s="2082"/>
      <c r="H61" s="2082"/>
      <c r="I61" s="2082"/>
      <c r="J61" s="2083"/>
    </row>
    <row r="62" spans="1:10" s="180" customFormat="1" x14ac:dyDescent="0.2">
      <c r="A62" s="252"/>
      <c r="B62" s="2081"/>
      <c r="C62" s="2082"/>
      <c r="D62" s="2082"/>
      <c r="E62" s="2082"/>
      <c r="F62" s="2082"/>
      <c r="G62" s="2082"/>
      <c r="H62" s="2082"/>
      <c r="I62" s="2082"/>
      <c r="J62" s="2083"/>
    </row>
    <row r="63" spans="1:10" s="180" customFormat="1" x14ac:dyDescent="0.2">
      <c r="A63" s="252"/>
      <c r="B63" s="2081"/>
      <c r="C63" s="2082"/>
      <c r="D63" s="2082"/>
      <c r="E63" s="2082"/>
      <c r="F63" s="2082"/>
      <c r="G63" s="2082"/>
      <c r="H63" s="2082"/>
      <c r="I63" s="2082"/>
      <c r="J63" s="2083"/>
    </row>
    <row r="64" spans="1:10" s="180" customFormat="1" x14ac:dyDescent="0.2">
      <c r="A64" s="252"/>
      <c r="B64" s="2081"/>
      <c r="C64" s="2082"/>
      <c r="D64" s="2082"/>
      <c r="E64" s="2082"/>
      <c r="F64" s="2082"/>
      <c r="G64" s="2082"/>
      <c r="H64" s="2082"/>
      <c r="I64" s="2082"/>
      <c r="J64" s="2083"/>
    </row>
    <row r="65" spans="1:10" s="180" customFormat="1" x14ac:dyDescent="0.2">
      <c r="A65" s="252"/>
      <c r="B65" s="2081"/>
      <c r="C65" s="2082"/>
      <c r="D65" s="2082"/>
      <c r="E65" s="2082"/>
      <c r="F65" s="2082"/>
      <c r="G65" s="2082"/>
      <c r="H65" s="2082"/>
      <c r="I65" s="2082"/>
      <c r="J65" s="2083"/>
    </row>
    <row r="66" spans="1:10" s="180" customFormat="1" x14ac:dyDescent="0.2">
      <c r="A66" s="252"/>
      <c r="B66" s="2081"/>
      <c r="C66" s="2082"/>
      <c r="D66" s="2082"/>
      <c r="E66" s="2082"/>
      <c r="F66" s="2082"/>
      <c r="G66" s="2082"/>
      <c r="H66" s="2082"/>
      <c r="I66" s="2082"/>
      <c r="J66" s="2083"/>
    </row>
    <row r="67" spans="1:10" s="180" customFormat="1" ht="9" customHeight="1" x14ac:dyDescent="0.2">
      <c r="A67" s="253"/>
      <c r="B67" s="2084"/>
      <c r="C67" s="2085"/>
      <c r="D67" s="2085"/>
      <c r="E67" s="2085"/>
      <c r="F67" s="2085"/>
      <c r="G67" s="2085"/>
      <c r="H67" s="2085"/>
      <c r="I67" s="2085"/>
      <c r="J67" s="2086"/>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1" t="s">
        <v>1323</v>
      </c>
      <c r="B70" s="2074"/>
      <c r="C70" s="2074"/>
      <c r="D70" s="2074"/>
      <c r="E70" s="2075"/>
      <c r="F70" s="2075"/>
      <c r="G70" s="2075"/>
      <c r="H70" s="2075"/>
      <c r="I70" s="2075"/>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1945</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1904</v>
      </c>
      <c r="I77" s="1837"/>
      <c r="J77" s="260">
        <v>43706</v>
      </c>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6" t="s">
        <v>1320</v>
      </c>
      <c r="B83" s="2076"/>
      <c r="C83" s="2076"/>
      <c r="D83" s="2077"/>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1927</v>
      </c>
      <c r="B85" s="271"/>
      <c r="C85" s="272"/>
      <c r="D85" s="273"/>
      <c r="E85" s="274">
        <v>0</v>
      </c>
      <c r="F85" s="275">
        <v>0</v>
      </c>
      <c r="G85" s="275">
        <v>0</v>
      </c>
      <c r="H85" s="275">
        <v>0</v>
      </c>
      <c r="I85" s="275">
        <v>0</v>
      </c>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1927</v>
      </c>
      <c r="B88" s="285"/>
      <c r="C88" s="286"/>
      <c r="D88" s="287"/>
      <c r="E88" s="275">
        <v>0</v>
      </c>
      <c r="F88" s="275">
        <v>272</v>
      </c>
      <c r="G88" s="275">
        <v>339401</v>
      </c>
      <c r="H88" s="275">
        <v>219323</v>
      </c>
      <c r="I88" s="275">
        <v>0</v>
      </c>
      <c r="J88" s="276">
        <f>SUM(E88:I88)</f>
        <v>558996</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558996</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8"/>
      <c r="C102" s="2059"/>
      <c r="D102" s="2059"/>
      <c r="E102" s="2059"/>
      <c r="F102" s="2059"/>
      <c r="G102" s="2059"/>
      <c r="H102" s="2059"/>
      <c r="I102" s="2060"/>
    </row>
    <row r="103" spans="1:9" s="180" customFormat="1" ht="11.25" customHeight="1" x14ac:dyDescent="0.2">
      <c r="A103" s="315"/>
      <c r="B103" s="2061"/>
      <c r="C103" s="2062"/>
      <c r="D103" s="2062"/>
      <c r="E103" s="2062"/>
      <c r="F103" s="2062"/>
      <c r="G103" s="2062"/>
      <c r="H103" s="2062"/>
      <c r="I103" s="2063"/>
    </row>
    <row r="104" spans="1:9" s="180" customFormat="1" ht="11.25" customHeight="1" x14ac:dyDescent="0.2">
      <c r="A104" s="315"/>
      <c r="B104" s="2061"/>
      <c r="C104" s="2062"/>
      <c r="D104" s="2062"/>
      <c r="E104" s="2062"/>
      <c r="F104" s="2062"/>
      <c r="G104" s="2062"/>
      <c r="H104" s="2062"/>
      <c r="I104" s="2063"/>
    </row>
    <row r="105" spans="1:9" s="180" customFormat="1" x14ac:dyDescent="0.2">
      <c r="A105" s="315"/>
      <c r="B105" s="2061"/>
      <c r="C105" s="2062"/>
      <c r="D105" s="2062"/>
      <c r="E105" s="2062"/>
      <c r="F105" s="2062"/>
      <c r="G105" s="2062"/>
      <c r="H105" s="2062"/>
      <c r="I105" s="2063"/>
    </row>
    <row r="106" spans="1:9" s="180" customFormat="1" ht="11.25" customHeight="1" x14ac:dyDescent="0.2">
      <c r="A106" s="315"/>
      <c r="B106" s="2061"/>
      <c r="C106" s="2062"/>
      <c r="D106" s="2062"/>
      <c r="E106" s="2062"/>
      <c r="F106" s="2062"/>
      <c r="G106" s="2062"/>
      <c r="H106" s="2062"/>
      <c r="I106" s="2063"/>
    </row>
    <row r="107" spans="1:9" s="180" customFormat="1" ht="11.25" customHeight="1" x14ac:dyDescent="0.2">
      <c r="A107" s="315"/>
      <c r="B107" s="2061"/>
      <c r="C107" s="2062"/>
      <c r="D107" s="2062"/>
      <c r="E107" s="2062"/>
      <c r="F107" s="2062"/>
      <c r="G107" s="2062"/>
      <c r="H107" s="2062"/>
      <c r="I107" s="2063"/>
    </row>
    <row r="108" spans="1:9" s="180" customFormat="1" ht="11.25" customHeight="1" x14ac:dyDescent="0.2">
      <c r="A108" s="315"/>
      <c r="B108" s="2061"/>
      <c r="C108" s="2062"/>
      <c r="D108" s="2062"/>
      <c r="E108" s="2062"/>
      <c r="F108" s="2062"/>
      <c r="G108" s="2062"/>
      <c r="H108" s="2062"/>
      <c r="I108" s="2063"/>
    </row>
    <row r="109" spans="1:9" s="180" customFormat="1" ht="11.25" customHeight="1" x14ac:dyDescent="0.2">
      <c r="A109" s="315"/>
      <c r="B109" s="2061"/>
      <c r="C109" s="2062"/>
      <c r="D109" s="2062"/>
      <c r="E109" s="2062"/>
      <c r="F109" s="2062"/>
      <c r="G109" s="2062"/>
      <c r="H109" s="2062"/>
      <c r="I109" s="2063"/>
    </row>
    <row r="110" spans="1:9" s="180" customFormat="1" ht="11.25" customHeight="1" x14ac:dyDescent="0.2">
      <c r="A110" s="315"/>
      <c r="B110" s="2061"/>
      <c r="C110" s="2062"/>
      <c r="D110" s="2062"/>
      <c r="E110" s="2062"/>
      <c r="F110" s="2062"/>
      <c r="G110" s="2062"/>
      <c r="H110" s="2062"/>
      <c r="I110" s="2063"/>
    </row>
    <row r="111" spans="1:9" s="180" customFormat="1" ht="11.25" customHeight="1" x14ac:dyDescent="0.2">
      <c r="A111" s="315"/>
      <c r="B111" s="2061"/>
      <c r="C111" s="2062"/>
      <c r="D111" s="2062"/>
      <c r="E111" s="2062"/>
      <c r="F111" s="2062"/>
      <c r="G111" s="2062"/>
      <c r="H111" s="2062"/>
      <c r="I111" s="2063"/>
    </row>
    <row r="112" spans="1:9" s="180" customFormat="1" ht="11.25" customHeight="1" x14ac:dyDescent="0.2">
      <c r="A112" s="315"/>
      <c r="B112" s="2064"/>
      <c r="C112" s="2065"/>
      <c r="D112" s="2065"/>
      <c r="E112" s="2065"/>
      <c r="F112" s="2065"/>
      <c r="G112" s="2065"/>
      <c r="H112" s="2065"/>
      <c r="I112" s="2066"/>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7" t="s">
        <v>2071</v>
      </c>
      <c r="D114" s="2067"/>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8" t="s">
        <v>1330</v>
      </c>
      <c r="D117" s="2069"/>
      <c r="E117" s="2070"/>
      <c r="F117" s="2070"/>
      <c r="G117" s="2070"/>
      <c r="H117" s="2070"/>
      <c r="I117" s="303"/>
    </row>
    <row r="118" spans="1:9" s="180" customFormat="1" ht="24" customHeight="1" x14ac:dyDescent="0.2">
      <c r="A118" s="315"/>
      <c r="B118" s="315"/>
      <c r="C118" s="315"/>
      <c r="D118" s="322"/>
      <c r="E118" s="321"/>
      <c r="F118" s="323"/>
      <c r="G118" s="1839"/>
      <c r="H118" s="321"/>
      <c r="I118" s="303"/>
    </row>
    <row r="119" spans="1:9" s="180" customFormat="1" ht="11.25" customHeight="1" x14ac:dyDescent="0.2">
      <c r="A119" s="324"/>
      <c r="B119" s="324"/>
      <c r="C119" s="325"/>
      <c r="D119" s="326" t="s">
        <v>361</v>
      </c>
      <c r="E119" s="309"/>
      <c r="F119" s="1838" t="s">
        <v>1905</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6" t="str">
        <f>'Single Audit Cover'!A7</f>
        <v>Riverside-Brookfield Twp SD 208</v>
      </c>
      <c r="C1" s="2457"/>
      <c r="D1" s="2457"/>
      <c r="E1" s="2457"/>
      <c r="F1" s="2457"/>
      <c r="G1" s="2457"/>
      <c r="H1" s="2457"/>
      <c r="I1" s="2457"/>
      <c r="J1" s="1405"/>
    </row>
    <row r="2" spans="2:10" s="316" customFormat="1" ht="12.75" customHeight="1" x14ac:dyDescent="0.2">
      <c r="B2" s="2458">
        <f>'Single Audit Cover'!E7</f>
        <v>6016208017</v>
      </c>
      <c r="C2" s="2459"/>
      <c r="D2" s="2459"/>
      <c r="E2" s="2459"/>
      <c r="F2" s="2459"/>
      <c r="G2" s="2459"/>
      <c r="H2" s="2459"/>
      <c r="I2" s="2459"/>
      <c r="J2" s="1405"/>
    </row>
    <row r="3" spans="2:10" s="316" customFormat="1" ht="12.75" customHeight="1" x14ac:dyDescent="0.2">
      <c r="B3" s="2460" t="s">
        <v>1285</v>
      </c>
      <c r="C3" s="2461"/>
      <c r="D3" s="2461"/>
      <c r="E3" s="2461"/>
      <c r="F3" s="2461"/>
      <c r="G3" s="2461"/>
      <c r="H3" s="2461"/>
      <c r="I3" s="2461"/>
      <c r="J3" s="1406"/>
    </row>
    <row r="4" spans="2:10" s="316" customFormat="1" ht="12.75" customHeight="1" x14ac:dyDescent="0.2">
      <c r="B4" s="2460" t="str">
        <f>'Single Audit Cover'!A4</f>
        <v>Year Ending June 30, 2019</v>
      </c>
      <c r="C4" s="2461"/>
      <c r="D4" s="2461"/>
      <c r="E4" s="2461"/>
      <c r="F4" s="2461"/>
      <c r="G4" s="2461"/>
      <c r="H4" s="2461"/>
      <c r="I4" s="2461"/>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60" t="s">
        <v>1284</v>
      </c>
      <c r="C7" s="2461"/>
      <c r="D7" s="2461"/>
      <c r="E7" s="2461"/>
      <c r="F7" s="2461"/>
      <c r="G7" s="2461"/>
      <c r="H7" s="2461"/>
      <c r="I7" s="2461"/>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62"/>
      <c r="D11" s="2462"/>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63"/>
      <c r="E29" s="2463"/>
      <c r="F29" s="2463"/>
      <c r="G29" s="2463"/>
      <c r="H29" s="2463"/>
      <c r="I29" s="2463"/>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4" t="s">
        <v>1751</v>
      </c>
      <c r="D37" s="2465"/>
      <c r="E37" s="2465"/>
      <c r="F37" s="2466"/>
      <c r="G37" s="2464" t="s">
        <v>1592</v>
      </c>
      <c r="H37" s="2465"/>
      <c r="I37" s="2466"/>
    </row>
    <row r="38" spans="2:9" ht="16.5" customHeight="1" x14ac:dyDescent="0.2">
      <c r="B38" s="1427"/>
      <c r="C38" s="2452"/>
      <c r="D38" s="2453"/>
      <c r="E38" s="2453"/>
      <c r="F38" s="2454"/>
      <c r="G38" s="2467"/>
      <c r="H38" s="2468"/>
      <c r="I38" s="2469"/>
    </row>
    <row r="39" spans="2:9" ht="16.5" customHeight="1" x14ac:dyDescent="0.2">
      <c r="B39" s="1427"/>
      <c r="C39" s="2452"/>
      <c r="D39" s="2453"/>
      <c r="E39" s="2453"/>
      <c r="F39" s="2454"/>
      <c r="G39" s="2455"/>
      <c r="H39" s="2455"/>
      <c r="I39" s="2455"/>
    </row>
    <row r="40" spans="2:9" ht="16.5" customHeight="1" x14ac:dyDescent="0.2">
      <c r="B40" s="1427"/>
      <c r="C40" s="2452"/>
      <c r="D40" s="2453"/>
      <c r="E40" s="2453"/>
      <c r="F40" s="2454"/>
      <c r="G40" s="2455"/>
      <c r="H40" s="2455"/>
      <c r="I40" s="2455"/>
    </row>
    <row r="41" spans="2:9" ht="16.5" customHeight="1" x14ac:dyDescent="0.2">
      <c r="B41" s="1427"/>
      <c r="C41" s="2452"/>
      <c r="D41" s="2453"/>
      <c r="E41" s="2453"/>
      <c r="F41" s="2454"/>
      <c r="G41" s="2455"/>
      <c r="H41" s="2455"/>
      <c r="I41" s="2455"/>
    </row>
    <row r="42" spans="2:9" ht="16.5" customHeight="1" x14ac:dyDescent="0.2">
      <c r="B42" s="1427"/>
      <c r="C42" s="2452"/>
      <c r="D42" s="2453"/>
      <c r="E42" s="2453"/>
      <c r="F42" s="2454"/>
      <c r="G42" s="2455"/>
      <c r="H42" s="2455"/>
      <c r="I42" s="2455"/>
    </row>
    <row r="43" spans="2:9" ht="16.5" customHeight="1" x14ac:dyDescent="0.2">
      <c r="B43" s="1427"/>
      <c r="C43" s="2470" t="s">
        <v>1593</v>
      </c>
      <c r="D43" s="2471"/>
      <c r="E43" s="2471"/>
      <c r="F43" s="2472"/>
      <c r="G43" s="2473">
        <f>SUM(G38:I42)</f>
        <v>0</v>
      </c>
      <c r="H43" s="2473"/>
      <c r="I43" s="2473"/>
    </row>
    <row r="44" spans="2:9" ht="12.75" customHeight="1" x14ac:dyDescent="0.2"/>
    <row r="45" spans="2:9" ht="12.75" customHeight="1" x14ac:dyDescent="0.2">
      <c r="B45" s="1418" t="s">
        <v>2062</v>
      </c>
      <c r="D45" s="2474">
        <v>0</v>
      </c>
      <c r="E45" s="2475"/>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6"/>
      <c r="F49" s="2476"/>
      <c r="G49" s="2476"/>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6" t="str">
        <f>'Single Audit Cover'!A7</f>
        <v>Riverside-Brookfield Twp SD 208</v>
      </c>
      <c r="C1" s="2456"/>
      <c r="D1" s="2456"/>
      <c r="E1" s="2456"/>
      <c r="F1" s="2456"/>
      <c r="G1" s="2456"/>
      <c r="H1" s="2456"/>
      <c r="I1" s="2456"/>
      <c r="J1" s="2456"/>
      <c r="K1" s="2456"/>
      <c r="L1" s="1370"/>
      <c r="M1" s="1370"/>
    </row>
    <row r="2" spans="1:13" ht="12" customHeight="1" x14ac:dyDescent="0.2">
      <c r="B2" s="2458">
        <f>'Single Audit Cover'!E7</f>
        <v>6016208017</v>
      </c>
      <c r="C2" s="2458"/>
      <c r="D2" s="2458"/>
      <c r="E2" s="2458"/>
      <c r="F2" s="2458"/>
      <c r="G2" s="2458"/>
      <c r="H2" s="2458"/>
      <c r="I2" s="2458"/>
      <c r="J2" s="2458"/>
      <c r="K2" s="2458"/>
      <c r="L2" s="1371"/>
      <c r="M2" s="1372"/>
    </row>
    <row r="3" spans="1:13" ht="10.35" customHeight="1" x14ac:dyDescent="0.2">
      <c r="B3" s="2479" t="s">
        <v>1285</v>
      </c>
      <c r="C3" s="2479"/>
      <c r="D3" s="2479"/>
      <c r="E3" s="2479"/>
      <c r="F3" s="2479"/>
      <c r="G3" s="2479"/>
      <c r="H3" s="2479"/>
      <c r="I3" s="2479"/>
      <c r="J3" s="2479"/>
      <c r="K3" s="2479"/>
      <c r="L3" s="1373"/>
      <c r="M3" s="1373"/>
    </row>
    <row r="4" spans="1:13" ht="14.25" customHeight="1" x14ac:dyDescent="0.2">
      <c r="B4" s="2480" t="str">
        <f>'Single Audit Cover'!A4</f>
        <v>Year Ending June 30, 2019</v>
      </c>
      <c r="C4" s="2480"/>
      <c r="D4" s="2480"/>
      <c r="E4" s="2480"/>
      <c r="F4" s="2480"/>
      <c r="G4" s="2480"/>
      <c r="H4" s="2480"/>
      <c r="I4" s="2480"/>
      <c r="J4" s="2480"/>
      <c r="K4" s="2480"/>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0" t="s">
        <v>1296</v>
      </c>
      <c r="C7" s="2480"/>
      <c r="D7" s="2481"/>
      <c r="E7" s="2481"/>
      <c r="F7" s="2481"/>
      <c r="G7" s="2481"/>
      <c r="H7" s="2481"/>
      <c r="I7" s="2481"/>
      <c r="J7" s="2481"/>
      <c r="K7" s="2481"/>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8"/>
      <c r="C14" s="2478"/>
      <c r="D14" s="2478"/>
      <c r="E14" s="2478"/>
      <c r="F14" s="2478"/>
      <c r="G14" s="2478"/>
      <c r="H14" s="2478"/>
      <c r="I14" s="2478"/>
      <c r="J14" s="2478"/>
      <c r="K14" s="2478"/>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8"/>
      <c r="C17" s="2478"/>
      <c r="D17" s="2478"/>
      <c r="E17" s="2478"/>
      <c r="F17" s="2478"/>
      <c r="G17" s="2478"/>
      <c r="H17" s="2478"/>
      <c r="I17" s="2478"/>
      <c r="J17" s="2478"/>
      <c r="K17" s="2478"/>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2"/>
      <c r="C20" s="2482"/>
      <c r="D20" s="2478"/>
      <c r="E20" s="2478"/>
      <c r="F20" s="2478"/>
      <c r="G20" s="2478"/>
      <c r="H20" s="2478"/>
      <c r="I20" s="2478"/>
      <c r="J20" s="2478"/>
      <c r="K20" s="2478"/>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8"/>
      <c r="C23" s="2478"/>
      <c r="D23" s="2478"/>
      <c r="E23" s="2478"/>
      <c r="F23" s="2478"/>
      <c r="G23" s="2478"/>
      <c r="H23" s="2478"/>
      <c r="I23" s="2478"/>
      <c r="J23" s="2478"/>
      <c r="K23" s="2478"/>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8"/>
      <c r="C26" s="2478"/>
      <c r="D26" s="2478"/>
      <c r="E26" s="2478"/>
      <c r="F26" s="2478"/>
      <c r="G26" s="2478"/>
      <c r="H26" s="2478"/>
      <c r="I26" s="2478"/>
      <c r="J26" s="2478"/>
      <c r="K26" s="2478"/>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7"/>
      <c r="C29" s="2477"/>
      <c r="D29" s="2478"/>
      <c r="E29" s="2478"/>
      <c r="F29" s="2478"/>
      <c r="G29" s="2478"/>
      <c r="H29" s="2478"/>
      <c r="I29" s="2478"/>
      <c r="J29" s="2478"/>
      <c r="K29" s="2478"/>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77"/>
      <c r="C32" s="2477"/>
      <c r="D32" s="2478"/>
      <c r="E32" s="2478"/>
      <c r="F32" s="2478"/>
      <c r="G32" s="2478"/>
      <c r="H32" s="2478"/>
      <c r="I32" s="2478"/>
      <c r="J32" s="2478"/>
      <c r="K32" s="2478"/>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3" t="str">
        <f>'Single Audit Cover'!A7</f>
        <v>Riverside-Brookfield Twp SD 208</v>
      </c>
      <c r="C1" s="2483"/>
      <c r="D1" s="2483"/>
      <c r="E1" s="2483"/>
      <c r="F1" s="2483"/>
      <c r="G1" s="2483"/>
      <c r="H1" s="2483"/>
      <c r="I1" s="2483"/>
      <c r="J1" s="2483"/>
      <c r="K1" s="2483"/>
      <c r="L1" s="1448"/>
    </row>
    <row r="2" spans="1:12" ht="12.75" customHeight="1" x14ac:dyDescent="0.2">
      <c r="B2" s="2484">
        <f>'Single Audit Cover'!E7</f>
        <v>6016208017</v>
      </c>
      <c r="C2" s="2484"/>
      <c r="D2" s="2484"/>
      <c r="E2" s="2484"/>
      <c r="F2" s="2484"/>
      <c r="G2" s="2484"/>
      <c r="H2" s="2484"/>
      <c r="I2" s="2484"/>
      <c r="J2" s="2484"/>
      <c r="K2" s="2484"/>
      <c r="L2" s="1449"/>
    </row>
    <row r="3" spans="1:12" ht="12.75" customHeight="1" x14ac:dyDescent="0.2">
      <c r="B3" s="2479" t="s">
        <v>1285</v>
      </c>
      <c r="C3" s="2479"/>
      <c r="D3" s="2479"/>
      <c r="E3" s="2479"/>
      <c r="F3" s="2479"/>
      <c r="G3" s="2479"/>
      <c r="H3" s="2479"/>
      <c r="I3" s="2479"/>
      <c r="J3" s="2479"/>
      <c r="K3" s="2479"/>
      <c r="L3" s="1373"/>
    </row>
    <row r="4" spans="1:12" ht="12.75" customHeight="1" x14ac:dyDescent="0.2">
      <c r="B4" s="2479" t="str">
        <f>'Single Audit Cover'!A4</f>
        <v>Year Ending June 30, 2019</v>
      </c>
      <c r="C4" s="2479"/>
      <c r="D4" s="2479"/>
      <c r="E4" s="2479"/>
      <c r="F4" s="2479"/>
      <c r="G4" s="2479"/>
      <c r="H4" s="2479"/>
      <c r="I4" s="2479"/>
      <c r="J4" s="2479"/>
      <c r="K4" s="2479"/>
      <c r="L4" s="1373"/>
    </row>
    <row r="5" spans="1:12" ht="5.25" customHeight="1" x14ac:dyDescent="0.2">
      <c r="B5" s="1256" t="s">
        <v>1169</v>
      </c>
      <c r="C5" s="1256"/>
      <c r="L5" s="321"/>
    </row>
    <row r="6" spans="1:12" ht="30.75" customHeight="1" x14ac:dyDescent="0.2">
      <c r="A6" s="321"/>
      <c r="B6" s="2485" t="s">
        <v>1308</v>
      </c>
      <c r="C6" s="2485"/>
      <c r="D6" s="2485"/>
      <c r="E6" s="2485"/>
      <c r="F6" s="2485"/>
      <c r="G6" s="2485"/>
      <c r="H6" s="2485"/>
      <c r="I6" s="2485"/>
      <c r="J6" s="2485"/>
      <c r="K6" s="2485"/>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1989</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63"/>
      <c r="G12" s="2463"/>
      <c r="H12" s="2463"/>
      <c r="I12" s="2463"/>
      <c r="J12" s="2463"/>
      <c r="K12" s="2463"/>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86"/>
      <c r="E14" s="2486"/>
      <c r="F14" s="2486"/>
      <c r="H14" s="1458" t="s">
        <v>1303</v>
      </c>
      <c r="I14" s="2487"/>
      <c r="J14" s="2487"/>
      <c r="K14" s="2487"/>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87"/>
      <c r="E16" s="2487"/>
      <c r="F16" s="2487"/>
      <c r="G16" s="2487"/>
      <c r="H16" s="2487"/>
      <c r="I16" s="2487"/>
      <c r="J16" s="2487"/>
      <c r="K16" s="2487"/>
      <c r="L16" s="321"/>
    </row>
    <row r="17" spans="2:12" ht="13.5" customHeight="1" x14ac:dyDescent="0.2">
      <c r="B17" s="1383" t="s">
        <v>1301</v>
      </c>
      <c r="C17" s="1383"/>
      <c r="D17" s="2488"/>
      <c r="E17" s="2488"/>
      <c r="F17" s="2488"/>
      <c r="G17" s="2488"/>
      <c r="H17" s="2488"/>
      <c r="I17" s="2488"/>
      <c r="J17" s="2488"/>
      <c r="K17" s="2488"/>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8"/>
      <c r="C20" s="2478"/>
      <c r="D20" s="2478"/>
      <c r="E20" s="2478"/>
      <c r="F20" s="2478"/>
      <c r="G20" s="2478"/>
      <c r="H20" s="2478"/>
      <c r="I20" s="2478"/>
      <c r="J20" s="2478"/>
      <c r="K20" s="2478"/>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78"/>
      <c r="C23" s="2478"/>
      <c r="D23" s="2478"/>
      <c r="E23" s="2478"/>
      <c r="F23" s="2478"/>
      <c r="G23" s="2478"/>
      <c r="H23" s="2478"/>
      <c r="I23" s="2478"/>
      <c r="J23" s="2478"/>
      <c r="K23" s="2478"/>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78"/>
      <c r="C26" s="2478"/>
      <c r="D26" s="2478"/>
      <c r="E26" s="2478"/>
      <c r="F26" s="2478"/>
      <c r="G26" s="2478"/>
      <c r="H26" s="2478"/>
      <c r="I26" s="2478"/>
      <c r="J26" s="2478"/>
      <c r="K26" s="2478"/>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78"/>
      <c r="C29" s="2478"/>
      <c r="D29" s="2478"/>
      <c r="E29" s="2478"/>
      <c r="F29" s="2478"/>
      <c r="G29" s="2478"/>
      <c r="H29" s="2478"/>
      <c r="I29" s="2478"/>
      <c r="J29" s="2478"/>
      <c r="K29" s="2478"/>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8"/>
      <c r="C32" s="2478"/>
      <c r="D32" s="2478"/>
      <c r="E32" s="2478"/>
      <c r="F32" s="2478"/>
      <c r="G32" s="2478"/>
      <c r="H32" s="2478"/>
      <c r="I32" s="2478"/>
      <c r="J32" s="2478"/>
      <c r="K32" s="2478"/>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8"/>
      <c r="C35" s="2478"/>
      <c r="D35" s="2478"/>
      <c r="E35" s="2478"/>
      <c r="F35" s="2478"/>
      <c r="G35" s="2478"/>
      <c r="H35" s="2478"/>
      <c r="I35" s="2478"/>
      <c r="J35" s="2478"/>
      <c r="K35" s="2478"/>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8"/>
      <c r="C38" s="2478"/>
      <c r="D38" s="2478"/>
      <c r="E38" s="2478"/>
      <c r="F38" s="2478"/>
      <c r="G38" s="2478"/>
      <c r="H38" s="2478"/>
      <c r="I38" s="2478"/>
      <c r="J38" s="2478"/>
      <c r="K38" s="2478"/>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78"/>
      <c r="C41" s="2478"/>
      <c r="D41" s="2478"/>
      <c r="E41" s="2478"/>
      <c r="F41" s="2478"/>
      <c r="G41" s="2478"/>
      <c r="H41" s="2478"/>
      <c r="I41" s="2478"/>
      <c r="J41" s="2478"/>
      <c r="K41" s="2478"/>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56" t="str">
        <f>'Single Audit Cover'!A7</f>
        <v>Riverside-Brookfield Twp SD 208</v>
      </c>
      <c r="C1" s="2456"/>
      <c r="D1" s="2456"/>
      <c r="E1" s="1468"/>
    </row>
    <row r="2" spans="2:5" s="1278" customFormat="1" ht="12.75" customHeight="1" x14ac:dyDescent="0.2">
      <c r="B2" s="2458">
        <f>'Single Audit Cover'!E7</f>
        <v>6016208017</v>
      </c>
      <c r="C2" s="2458"/>
      <c r="D2" s="2458"/>
      <c r="E2" s="1469"/>
    </row>
    <row r="3" spans="2:5" ht="12.75" customHeight="1" x14ac:dyDescent="0.2">
      <c r="B3" s="2479" t="s">
        <v>1766</v>
      </c>
      <c r="C3" s="2479"/>
      <c r="D3" s="2479"/>
      <c r="E3" s="1270"/>
    </row>
    <row r="4" spans="2:5" s="1278" customFormat="1" ht="12.75" customHeight="1" x14ac:dyDescent="0.2">
      <c r="B4" s="2489" t="str">
        <f>'Single Audit Cover'!A4</f>
        <v>Year Ending June 30, 2019</v>
      </c>
      <c r="C4" s="2489"/>
      <c r="D4" s="2489"/>
      <c r="E4" s="1470"/>
    </row>
    <row r="5" spans="2:5" s="1278" customFormat="1" ht="40.1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 colorId="8" zoomScale="110" zoomScaleNormal="110" workbookViewId="0">
      <selection activeCell="B32" sqref="B32"/>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7" t="s">
        <v>386</v>
      </c>
      <c r="B1" s="2087"/>
      <c r="C1" s="2087"/>
      <c r="D1" s="2087"/>
      <c r="E1" s="2087"/>
      <c r="F1" s="2087"/>
      <c r="G1" s="2087"/>
      <c r="H1" s="2087"/>
      <c r="I1" s="2087"/>
      <c r="J1" s="2087"/>
      <c r="K1" s="2087"/>
      <c r="L1" s="2087"/>
      <c r="M1" s="2087"/>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1946</v>
      </c>
      <c r="E7" s="221"/>
      <c r="F7" s="350" t="s">
        <v>272</v>
      </c>
      <c r="G7" s="221"/>
      <c r="H7" s="221"/>
      <c r="I7" s="221"/>
      <c r="J7" s="351">
        <v>856014087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2.0240000000000001E-2</v>
      </c>
      <c r="E10" s="355" t="s">
        <v>1005</v>
      </c>
      <c r="F10" s="354">
        <v>2.2680000000000001E-3</v>
      </c>
      <c r="G10" s="355" t="s">
        <v>1005</v>
      </c>
      <c r="H10" s="354">
        <v>7.0299999999999996E-4</v>
      </c>
      <c r="I10" s="355" t="s">
        <v>1006</v>
      </c>
      <c r="J10" s="1731">
        <f>ROUND(D10+F10+H10,5)</f>
        <v>2.3210000000000001E-2</v>
      </c>
      <c r="K10" s="221"/>
      <c r="L10" s="354">
        <v>0</v>
      </c>
      <c r="M10" s="221"/>
    </row>
    <row r="11" spans="1:14" ht="7.5" customHeight="1" x14ac:dyDescent="0.2">
      <c r="B11" s="221"/>
      <c r="C11" s="221"/>
      <c r="D11" s="2097" t="str">
        <f>IF(SUM(J10)&lt;=0.0999999,"","Enter the Tax Rates by moving the decimal two places to the left.")</f>
        <v/>
      </c>
      <c r="E11" s="2098"/>
      <c r="F11" s="2098"/>
      <c r="G11" s="2098"/>
      <c r="H11" s="2098"/>
      <c r="I11" s="2098"/>
      <c r="J11" s="2098"/>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25368841</v>
      </c>
      <c r="E16" s="355"/>
      <c r="F16" s="1732">
        <f>SUM('Acct Summary 7-8'!C17,'Acct Summary 7-8'!D17,'Acct Summary 7-8'!F17)</f>
        <v>24930079</v>
      </c>
      <c r="G16" s="355"/>
      <c r="H16" s="1732">
        <f>SUM(D16-F16)</f>
        <v>438762</v>
      </c>
      <c r="I16" s="221"/>
      <c r="J16" s="1732">
        <f>SUM('Acct Summary 7-8'!C81,'Acct Summary 7-8'!D81,'Acct Summary 7-8'!F81,'Acct Summary 7-8'!I81)</f>
        <v>24989109</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2061</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2065</v>
      </c>
      <c r="C31" s="366" t="s">
        <v>586</v>
      </c>
      <c r="D31" s="236" t="s">
        <v>1072</v>
      </c>
      <c r="E31" s="221"/>
      <c r="F31" s="221"/>
      <c r="G31" s="362"/>
      <c r="H31" s="1734">
        <f>IF(B31="X",(J7*0.069),IF(B32="X",(J7*0.138),"Enter x in a.or b."))</f>
        <v>59064972.003000006</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36104034</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8"/>
      <c r="C54" s="2089"/>
      <c r="D54" s="2089"/>
      <c r="E54" s="2089"/>
      <c r="F54" s="2089"/>
      <c r="G54" s="2089"/>
      <c r="H54" s="2089"/>
      <c r="I54" s="2089"/>
      <c r="J54" s="2089"/>
      <c r="K54" s="2089"/>
      <c r="L54" s="2090"/>
      <c r="M54" s="379"/>
    </row>
    <row r="55" spans="1:13" ht="12.75" customHeight="1" x14ac:dyDescent="0.2">
      <c r="B55" s="2091"/>
      <c r="C55" s="2092"/>
      <c r="D55" s="2092"/>
      <c r="E55" s="2092"/>
      <c r="F55" s="2092"/>
      <c r="G55" s="2092"/>
      <c r="H55" s="2092"/>
      <c r="I55" s="2092"/>
      <c r="J55" s="2092"/>
      <c r="K55" s="2092"/>
      <c r="L55" s="2093"/>
      <c r="M55" s="379"/>
    </row>
    <row r="56" spans="1:13" ht="12.75" customHeight="1" x14ac:dyDescent="0.2">
      <c r="B56" s="2091"/>
      <c r="C56" s="2092"/>
      <c r="D56" s="2092"/>
      <c r="E56" s="2092"/>
      <c r="F56" s="2092"/>
      <c r="G56" s="2092"/>
      <c r="H56" s="2092"/>
      <c r="I56" s="2092"/>
      <c r="J56" s="2092"/>
      <c r="K56" s="2092"/>
      <c r="L56" s="2093"/>
      <c r="M56" s="221"/>
    </row>
    <row r="57" spans="1:13" ht="12.75" customHeight="1" x14ac:dyDescent="0.2">
      <c r="B57" s="2091"/>
      <c r="C57" s="2092"/>
      <c r="D57" s="2092"/>
      <c r="E57" s="2092"/>
      <c r="F57" s="2092"/>
      <c r="G57" s="2092"/>
      <c r="H57" s="2092"/>
      <c r="I57" s="2092"/>
      <c r="J57" s="2092"/>
      <c r="K57" s="2092"/>
      <c r="L57" s="2093"/>
      <c r="M57" s="221"/>
    </row>
    <row r="58" spans="1:13" x14ac:dyDescent="0.2">
      <c r="B58" s="2094"/>
      <c r="C58" s="2095"/>
      <c r="D58" s="2095"/>
      <c r="E58" s="2095"/>
      <c r="F58" s="2095"/>
      <c r="G58" s="2095"/>
      <c r="H58" s="2095"/>
      <c r="I58" s="2095"/>
      <c r="J58" s="2095"/>
      <c r="K58" s="2095"/>
      <c r="L58" s="2096"/>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9"/>
      <c r="D61" s="2100"/>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2"/>
      <c r="B1" s="2103"/>
      <c r="C1" s="2103"/>
      <c r="D1" s="383"/>
      <c r="E1" s="383"/>
      <c r="F1" s="383"/>
      <c r="G1" s="383"/>
      <c r="H1" s="383"/>
      <c r="I1" s="383"/>
      <c r="J1" s="383"/>
      <c r="K1" s="383"/>
      <c r="L1" s="383"/>
      <c r="M1" s="383"/>
      <c r="N1" s="383"/>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Riverside-Brookfield Twp SD 208</v>
      </c>
      <c r="E7" s="390"/>
      <c r="G7" s="251"/>
      <c r="H7" s="386"/>
      <c r="I7" s="386"/>
      <c r="J7" s="386"/>
      <c r="K7" s="386"/>
      <c r="L7" s="328"/>
      <c r="M7" s="328"/>
      <c r="N7" s="328"/>
      <c r="O7" s="328"/>
      <c r="P7" s="328"/>
    </row>
    <row r="8" spans="1:18" ht="12.75" x14ac:dyDescent="0.2">
      <c r="A8" s="328"/>
      <c r="B8" s="328"/>
      <c r="C8" s="388" t="s">
        <v>1125</v>
      </c>
      <c r="D8" s="391">
        <f>COVER!A13</f>
        <v>6016208017</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24989109</v>
      </c>
      <c r="I12" s="403"/>
      <c r="J12" s="403"/>
      <c r="K12" s="404">
        <f>TRUNC((H12/H13*100000),5)/100000</f>
        <v>0.98503155889999994</v>
      </c>
      <c r="L12" s="405"/>
      <c r="M12" s="359" t="s">
        <v>1144</v>
      </c>
      <c r="N12" s="359"/>
      <c r="O12" s="406">
        <v>0.35</v>
      </c>
      <c r="P12" s="217"/>
      <c r="Q12" s="217"/>
    </row>
    <row r="13" spans="1:18" s="407" customFormat="1" ht="12.75" x14ac:dyDescent="0.2">
      <c r="A13" s="217"/>
      <c r="B13" s="400"/>
      <c r="C13" s="2104" t="s">
        <v>1324</v>
      </c>
      <c r="D13" s="2105"/>
      <c r="E13" s="217"/>
      <c r="F13" s="408" t="s">
        <v>793</v>
      </c>
      <c r="G13" s="401"/>
      <c r="H13" s="402">
        <f>SUM('Acct Summary 7-8'!C8+'Acct Summary 7-8'!D8+'Acct Summary 7-8'!F8+'Acct Summary 7-8'!I8)+H14</f>
        <v>25368841</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24930079</v>
      </c>
      <c r="I17" s="403"/>
      <c r="J17" s="415"/>
      <c r="K17" s="404">
        <f>TRUNC((H17/H18*100000),5)/100000</f>
        <v>0.98270468869999994</v>
      </c>
      <c r="L17" s="405"/>
      <c r="M17" s="416" t="s">
        <v>1171</v>
      </c>
      <c r="O17" s="417" t="str">
        <f>IF(AND(O16="2", J20 &gt; 2),"1",IF(AND(O16 = "1", J20 &gt; 2),"2",IF(AND(O16="1", J20 &gt;1),"1","0")))</f>
        <v>0</v>
      </c>
      <c r="P17" s="217"/>
    </row>
    <row r="18" spans="1:18" s="407" customFormat="1" ht="11.25" x14ac:dyDescent="0.2">
      <c r="A18" s="217"/>
      <c r="B18" s="400"/>
      <c r="C18" s="2104" t="s">
        <v>1317</v>
      </c>
      <c r="D18" s="2105"/>
      <c r="E18" s="217"/>
      <c r="F18" s="418" t="s">
        <v>794</v>
      </c>
      <c r="G18" s="401"/>
      <c r="H18" s="402">
        <f>SUM('Acct Summary 7-8'!C8+'Acct Summary 7-8'!D8+'Acct Summary 7-8'!F8+'Acct Summary 7-8'!I8)+H19</f>
        <v>25368841</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101" t="s">
        <v>1412</v>
      </c>
      <c r="D24" s="2101"/>
      <c r="E24" s="217"/>
      <c r="F24" s="217" t="s">
        <v>445</v>
      </c>
      <c r="G24" s="401"/>
      <c r="H24" s="402">
        <f>SUM('Assets-Liab 5-6'!C4+'Assets-Liab 5-6'!D4+'Assets-Liab 5-6'!F4+'Assets-Liab 5-6'!I4+'Assets-Liab 5-6'!C5+'Assets-Liab 5-6'!D5+'Assets-Liab 5-6'!F5+'Assets-Liab 5-6'!I5)</f>
        <v>16086457</v>
      </c>
      <c r="I24" s="421"/>
      <c r="J24" s="421"/>
      <c r="K24" s="422">
        <f>TRUNC(((H24/H25*100000)/100000),2)</f>
        <v>232.29</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69250.219440000001</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1930</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16887873.915380001</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2</v>
      </c>
      <c r="P31" s="215"/>
    </row>
    <row r="32" spans="1:18" s="407" customFormat="1" ht="11.25" x14ac:dyDescent="0.2">
      <c r="A32" s="217"/>
      <c r="B32" s="400"/>
      <c r="C32" s="217" t="s">
        <v>847</v>
      </c>
      <c r="D32" s="217"/>
      <c r="E32" s="217"/>
      <c r="F32" s="217"/>
      <c r="G32" s="401"/>
      <c r="H32" s="402">
        <f>'FP Info 3'!H37</f>
        <v>36104034</v>
      </c>
      <c r="I32" s="419"/>
      <c r="J32" s="419"/>
      <c r="K32" s="422">
        <f>TRUNC(100-((((H32/H33*100))*100)/100),2)</f>
        <v>38.869999999999997</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59064972.003000006</v>
      </c>
      <c r="I33" s="419"/>
      <c r="J33" s="419"/>
      <c r="K33" s="402"/>
      <c r="L33" s="217"/>
      <c r="M33" s="434" t="s">
        <v>1145</v>
      </c>
      <c r="N33" s="434"/>
      <c r="O33" s="433">
        <f>(O31*O32)</f>
        <v>0.2</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3.8</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1984</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80" zoomScaleNormal="80" workbookViewId="0">
      <pane ySplit="2" topLeftCell="A21" activePane="bottomLeft" state="frozen"/>
      <selection pane="bottomLeft" activeCell="N22" sqref="N22"/>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9"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10"/>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11" t="s">
        <v>973</v>
      </c>
      <c r="B3" s="2112"/>
      <c r="C3" s="1558"/>
      <c r="D3" s="1559"/>
      <c r="E3" s="1559"/>
      <c r="F3" s="1559"/>
      <c r="G3" s="1559"/>
      <c r="H3" s="1559"/>
      <c r="I3" s="1559"/>
      <c r="J3" s="1559"/>
      <c r="K3" s="1559"/>
      <c r="L3" s="1559"/>
      <c r="M3" s="1560"/>
      <c r="N3" s="1561"/>
    </row>
    <row r="4" spans="1:14" ht="13.5" customHeight="1" x14ac:dyDescent="0.2">
      <c r="A4" s="462" t="s">
        <v>1651</v>
      </c>
      <c r="B4" s="463"/>
      <c r="C4" s="464">
        <v>5778139</v>
      </c>
      <c r="D4" s="465">
        <v>1728196</v>
      </c>
      <c r="E4" s="465">
        <v>2658172</v>
      </c>
      <c r="F4" s="465">
        <v>608306</v>
      </c>
      <c r="G4" s="465">
        <v>174396</v>
      </c>
      <c r="H4" s="465">
        <v>25644</v>
      </c>
      <c r="I4" s="465">
        <v>7971816</v>
      </c>
      <c r="J4" s="466"/>
      <c r="K4" s="465">
        <v>1945361</v>
      </c>
      <c r="L4" s="465">
        <v>398847</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v>8193889</v>
      </c>
      <c r="D6" s="465">
        <f>909387+60091</f>
        <v>969478</v>
      </c>
      <c r="E6" s="465">
        <v>2798001</v>
      </c>
      <c r="F6" s="465">
        <v>281301</v>
      </c>
      <c r="G6" s="470">
        <v>262249</v>
      </c>
      <c r="H6" s="470"/>
      <c r="I6" s="465"/>
      <c r="J6" s="473"/>
      <c r="K6" s="470"/>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v>75900</v>
      </c>
      <c r="D8" s="466"/>
      <c r="E8" s="466"/>
      <c r="F8" s="466">
        <v>84047</v>
      </c>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v>23050</v>
      </c>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14047928</v>
      </c>
      <c r="D13" s="1736">
        <f t="shared" ref="D13:L13" si="0">SUM(D4:D12)</f>
        <v>2720724</v>
      </c>
      <c r="E13" s="1736">
        <f t="shared" si="0"/>
        <v>5456173</v>
      </c>
      <c r="F13" s="1736">
        <f t="shared" si="0"/>
        <v>973654</v>
      </c>
      <c r="G13" s="1736">
        <f t="shared" si="0"/>
        <v>436645</v>
      </c>
      <c r="H13" s="1736">
        <f t="shared" si="0"/>
        <v>25644</v>
      </c>
      <c r="I13" s="1736">
        <f t="shared" si="0"/>
        <v>7971816</v>
      </c>
      <c r="J13" s="1736">
        <f t="shared" si="0"/>
        <v>0</v>
      </c>
      <c r="K13" s="1736">
        <f t="shared" si="0"/>
        <v>1945361</v>
      </c>
      <c r="L13" s="1736">
        <f t="shared" si="0"/>
        <v>398847</v>
      </c>
      <c r="M13" s="467"/>
      <c r="N13" s="468"/>
    </row>
    <row r="14" spans="1:14" ht="18" customHeight="1" thickTop="1" x14ac:dyDescent="0.2">
      <c r="A14" s="2113" t="s">
        <v>147</v>
      </c>
      <c r="B14" s="2114"/>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500000</v>
      </c>
      <c r="N16" s="483"/>
    </row>
    <row r="17" spans="1:14" s="484" customFormat="1" ht="12.75" customHeight="1" x14ac:dyDescent="0.2">
      <c r="A17" s="481" t="s">
        <v>1403</v>
      </c>
      <c r="B17" s="482">
        <v>230</v>
      </c>
      <c r="C17" s="476"/>
      <c r="D17" s="476"/>
      <c r="E17" s="476"/>
      <c r="F17" s="476"/>
      <c r="G17" s="476"/>
      <c r="H17" s="476"/>
      <c r="I17" s="476"/>
      <c r="J17" s="476"/>
      <c r="K17" s="476"/>
      <c r="L17" s="476"/>
      <c r="M17" s="466">
        <v>81709511</v>
      </c>
      <c r="N17" s="483"/>
    </row>
    <row r="18" spans="1:14" s="484" customFormat="1" ht="12.75" customHeight="1" x14ac:dyDescent="0.2">
      <c r="A18" s="481" t="s">
        <v>1404</v>
      </c>
      <c r="B18" s="482">
        <v>240</v>
      </c>
      <c r="C18" s="476"/>
      <c r="D18" s="476"/>
      <c r="E18" s="476"/>
      <c r="F18" s="476"/>
      <c r="G18" s="476"/>
      <c r="H18" s="476"/>
      <c r="I18" s="476"/>
      <c r="J18" s="476"/>
      <c r="K18" s="476"/>
      <c r="L18" s="476"/>
      <c r="M18" s="466">
        <v>7422581</v>
      </c>
      <c r="N18" s="483"/>
    </row>
    <row r="19" spans="1:14" s="484" customFormat="1" ht="12.75" customHeight="1" x14ac:dyDescent="0.2">
      <c r="A19" s="481" t="s">
        <v>1405</v>
      </c>
      <c r="B19" s="482">
        <v>250</v>
      </c>
      <c r="C19" s="476"/>
      <c r="D19" s="476"/>
      <c r="E19" s="476"/>
      <c r="F19" s="476"/>
      <c r="G19" s="476"/>
      <c r="H19" s="476"/>
      <c r="I19" s="476"/>
      <c r="J19" s="476"/>
      <c r="K19" s="476"/>
      <c r="L19" s="476"/>
      <c r="M19" s="466">
        <v>2514648</v>
      </c>
      <c r="N19" s="483"/>
    </row>
    <row r="20" spans="1:14" s="484" customFormat="1" ht="12.75" customHeight="1" x14ac:dyDescent="0.2">
      <c r="A20" s="481" t="s">
        <v>1406</v>
      </c>
      <c r="B20" s="482">
        <v>260</v>
      </c>
      <c r="C20" s="476"/>
      <c r="D20" s="476"/>
      <c r="E20" s="476"/>
      <c r="F20" s="476"/>
      <c r="G20" s="476"/>
      <c r="H20" s="476"/>
      <c r="I20" s="476"/>
      <c r="J20" s="476"/>
      <c r="K20" s="476"/>
      <c r="L20" s="476"/>
      <c r="M20" s="466">
        <v>754060</v>
      </c>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5323238</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30780796</v>
      </c>
    </row>
    <row r="23" spans="1:14" ht="13.5" customHeight="1" thickBot="1" x14ac:dyDescent="0.25">
      <c r="A23" s="1735" t="s">
        <v>643</v>
      </c>
      <c r="B23" s="1740"/>
      <c r="C23" s="467"/>
      <c r="D23" s="467"/>
      <c r="E23" s="467"/>
      <c r="F23" s="467"/>
      <c r="G23" s="467"/>
      <c r="H23" s="467"/>
      <c r="I23" s="467"/>
      <c r="J23" s="467"/>
      <c r="K23" s="467"/>
      <c r="L23" s="467"/>
      <c r="M23" s="1687">
        <f>SUM(M15:M22)</f>
        <v>92900800</v>
      </c>
      <c r="N23" s="1687">
        <f>SUM(N21:N22)</f>
        <v>36104034</v>
      </c>
    </row>
    <row r="24" spans="1:14" ht="18" customHeight="1" thickTop="1" x14ac:dyDescent="0.2">
      <c r="A24" s="2115" t="s">
        <v>598</v>
      </c>
      <c r="B24" s="2116"/>
      <c r="C24" s="1567"/>
      <c r="D24" s="1564"/>
      <c r="E24" s="1564"/>
      <c r="F24" s="1564"/>
      <c r="G24" s="1564"/>
      <c r="H24" s="1564"/>
      <c r="I24" s="1564"/>
      <c r="J24" s="1564"/>
      <c r="K24" s="1564"/>
      <c r="L24" s="1564"/>
      <c r="M24" s="1563"/>
      <c r="N24" s="1568"/>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v>174622</v>
      </c>
      <c r="D27" s="466">
        <v>58601</v>
      </c>
      <c r="E27" s="466"/>
      <c r="F27" s="466">
        <v>42587</v>
      </c>
      <c r="G27" s="466"/>
      <c r="H27" s="466"/>
      <c r="I27" s="466"/>
      <c r="J27" s="466"/>
      <c r="K27" s="466">
        <v>609038</v>
      </c>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v>8669</v>
      </c>
      <c r="D31" s="466"/>
      <c r="E31" s="466"/>
      <c r="F31" s="465"/>
      <c r="G31" s="466"/>
      <c r="H31" s="466"/>
      <c r="I31" s="466"/>
      <c r="J31" s="466"/>
      <c r="K31" s="466"/>
      <c r="L31" s="467"/>
      <c r="M31" s="467"/>
      <c r="N31" s="467"/>
    </row>
    <row r="32" spans="1:14" ht="13.5" customHeight="1" x14ac:dyDescent="0.2">
      <c r="A32" s="489" t="s">
        <v>652</v>
      </c>
      <c r="B32" s="490">
        <v>490</v>
      </c>
      <c r="C32" s="491">
        <v>386087</v>
      </c>
      <c r="D32" s="491">
        <v>42381</v>
      </c>
      <c r="E32" s="473">
        <v>132935</v>
      </c>
      <c r="F32" s="473">
        <v>12066</v>
      </c>
      <c r="G32" s="473">
        <v>10805</v>
      </c>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v>398847</v>
      </c>
      <c r="M33" s="467"/>
      <c r="N33" s="468"/>
    </row>
    <row r="34" spans="1:14" ht="13.5" customHeight="1" thickBot="1" x14ac:dyDescent="0.25">
      <c r="A34" s="1737" t="s">
        <v>654</v>
      </c>
      <c r="B34" s="1738"/>
      <c r="C34" s="1739">
        <f>SUM(C25:C33)</f>
        <v>569378</v>
      </c>
      <c r="D34" s="1739">
        <f t="shared" ref="D34:K34" si="1">SUM(D25:D33)</f>
        <v>100982</v>
      </c>
      <c r="E34" s="1739">
        <f t="shared" si="1"/>
        <v>132935</v>
      </c>
      <c r="F34" s="1739">
        <f t="shared" si="1"/>
        <v>54653</v>
      </c>
      <c r="G34" s="1739">
        <f t="shared" si="1"/>
        <v>10805</v>
      </c>
      <c r="H34" s="1739">
        <f t="shared" si="1"/>
        <v>0</v>
      </c>
      <c r="I34" s="1739">
        <f t="shared" si="1"/>
        <v>0</v>
      </c>
      <c r="J34" s="1739">
        <f t="shared" si="1"/>
        <v>0</v>
      </c>
      <c r="K34" s="1739">
        <f t="shared" si="1"/>
        <v>609038</v>
      </c>
      <c r="L34" s="1720">
        <f>SUM(L33)</f>
        <v>398847</v>
      </c>
      <c r="M34" s="467"/>
      <c r="N34" s="479"/>
    </row>
    <row r="35" spans="1:14" ht="18" customHeight="1" thickTop="1" x14ac:dyDescent="0.2">
      <c r="A35" s="2117" t="s">
        <v>529</v>
      </c>
      <c r="B35" s="2118"/>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36104034</v>
      </c>
    </row>
    <row r="37" spans="1:14" ht="13.5" thickBot="1" x14ac:dyDescent="0.25">
      <c r="A37" s="1735" t="s">
        <v>653</v>
      </c>
      <c r="B37" s="1740"/>
      <c r="C37" s="476"/>
      <c r="D37" s="476"/>
      <c r="E37" s="476"/>
      <c r="F37" s="476"/>
      <c r="G37" s="476"/>
      <c r="H37" s="476"/>
      <c r="I37" s="476"/>
      <c r="J37" s="476"/>
      <c r="K37" s="476"/>
      <c r="L37" s="479"/>
      <c r="M37" s="467"/>
      <c r="N37" s="1687">
        <f>SUM(N36:N36)</f>
        <v>36104034</v>
      </c>
    </row>
    <row r="38" spans="1:14" s="328" customFormat="1" ht="13.5" customHeight="1" thickTop="1" x14ac:dyDescent="0.2">
      <c r="A38" s="495" t="s">
        <v>420</v>
      </c>
      <c r="B38" s="482">
        <v>714</v>
      </c>
      <c r="C38" s="465"/>
      <c r="D38" s="465"/>
      <c r="E38" s="465"/>
      <c r="F38" s="465"/>
      <c r="G38" s="465"/>
      <c r="H38" s="465"/>
      <c r="I38" s="465"/>
      <c r="J38" s="466"/>
      <c r="K38" s="465"/>
      <c r="L38" s="480"/>
      <c r="M38" s="496"/>
      <c r="N38" s="496"/>
    </row>
    <row r="39" spans="1:14" s="328" customFormat="1" ht="13.5" customHeight="1" x14ac:dyDescent="0.2">
      <c r="A39" s="495" t="s">
        <v>342</v>
      </c>
      <c r="B39" s="482">
        <v>730</v>
      </c>
      <c r="C39" s="465">
        <v>13478550</v>
      </c>
      <c r="D39" s="465">
        <v>2619742</v>
      </c>
      <c r="E39" s="465">
        <v>5323238</v>
      </c>
      <c r="F39" s="465">
        <v>919001</v>
      </c>
      <c r="G39" s="465">
        <v>425840</v>
      </c>
      <c r="H39" s="465">
        <v>25644</v>
      </c>
      <c r="I39" s="465">
        <v>7971816</v>
      </c>
      <c r="J39" s="466"/>
      <c r="K39" s="465">
        <v>1336323</v>
      </c>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92900800</v>
      </c>
      <c r="N40" s="496"/>
    </row>
    <row r="41" spans="1:14" ht="13.5" customHeight="1" thickBot="1" x14ac:dyDescent="0.25">
      <c r="A41" s="1735" t="s">
        <v>655</v>
      </c>
      <c r="B41" s="1705"/>
      <c r="C41" s="1687">
        <f>(SUM(C34,C37,C38,C39))</f>
        <v>14047928</v>
      </c>
      <c r="D41" s="1687">
        <f t="shared" ref="D41:L41" si="2">SUM(D34,D37,D38:D39)</f>
        <v>2720724</v>
      </c>
      <c r="E41" s="1687">
        <f t="shared" si="2"/>
        <v>5456173</v>
      </c>
      <c r="F41" s="1687">
        <f t="shared" si="2"/>
        <v>973654</v>
      </c>
      <c r="G41" s="1687">
        <f t="shared" si="2"/>
        <v>436645</v>
      </c>
      <c r="H41" s="1687">
        <f t="shared" si="2"/>
        <v>25644</v>
      </c>
      <c r="I41" s="1687">
        <f t="shared" si="2"/>
        <v>7971816</v>
      </c>
      <c r="J41" s="1687">
        <f t="shared" si="2"/>
        <v>0</v>
      </c>
      <c r="K41" s="1687">
        <f t="shared" si="2"/>
        <v>1945361</v>
      </c>
      <c r="L41" s="1687">
        <f t="shared" si="2"/>
        <v>398847</v>
      </c>
      <c r="M41" s="1687">
        <f>SUM(M40)</f>
        <v>92900800</v>
      </c>
      <c r="N41" s="1687">
        <f>SUM(N37)</f>
        <v>36104034</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70" activePane="bottomLeft" state="frozen"/>
      <selection pane="bottomLeft" activeCell="H44" sqref="H44"/>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7"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8"/>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9" t="s">
        <v>1175</v>
      </c>
      <c r="B3" s="2140"/>
      <c r="C3" s="1572"/>
      <c r="D3" s="1573"/>
      <c r="E3" s="1573"/>
      <c r="F3" s="1573"/>
      <c r="G3" s="1573"/>
      <c r="H3" s="1573"/>
      <c r="I3" s="1573"/>
      <c r="J3" s="1573"/>
      <c r="K3" s="1574"/>
      <c r="L3" s="505"/>
    </row>
    <row r="4" spans="1:13" ht="15.75" customHeight="1" x14ac:dyDescent="0.2">
      <c r="A4" s="1927" t="s">
        <v>1499</v>
      </c>
      <c r="B4" s="1928">
        <v>1000</v>
      </c>
      <c r="C4" s="1741">
        <f>'Revenues 9-14'!C109</f>
        <v>18901594</v>
      </c>
      <c r="D4" s="1741">
        <f>'Revenues 9-14'!D109</f>
        <v>2553016</v>
      </c>
      <c r="E4" s="1741">
        <f>'Revenues 9-14'!E109</f>
        <v>5893192</v>
      </c>
      <c r="F4" s="1741">
        <f>'Revenues 9-14'!F109</f>
        <v>604813</v>
      </c>
      <c r="G4" s="1741">
        <f>'Revenues 9-14'!G109</f>
        <v>560393</v>
      </c>
      <c r="H4" s="1741">
        <f>'Revenues 9-14'!H109</f>
        <v>429</v>
      </c>
      <c r="I4" s="1741">
        <f>'Revenues 9-14'!I109</f>
        <v>125205</v>
      </c>
      <c r="J4" s="1741">
        <f>'Revenues 9-14'!J109</f>
        <v>0</v>
      </c>
      <c r="K4" s="1741">
        <f>'Revenues 9-14'!K109</f>
        <v>34699</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2314539</v>
      </c>
      <c r="D6" s="1742">
        <f>'Revenues 9-14'!D170</f>
        <v>0</v>
      </c>
      <c r="E6" s="1742">
        <f>'Revenues 9-14'!E170</f>
        <v>0</v>
      </c>
      <c r="F6" s="1742">
        <f>'Revenues 9-14'!F170</f>
        <v>339673</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530001</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21746134</v>
      </c>
      <c r="D8" s="1687">
        <f t="shared" ref="D8:K8" si="0">SUM(D4:D7)</f>
        <v>2553016</v>
      </c>
      <c r="E8" s="1687">
        <f t="shared" si="0"/>
        <v>5893192</v>
      </c>
      <c r="F8" s="1687">
        <f t="shared" si="0"/>
        <v>944486</v>
      </c>
      <c r="G8" s="1687">
        <f t="shared" si="0"/>
        <v>560393</v>
      </c>
      <c r="H8" s="1687">
        <f t="shared" si="0"/>
        <v>429</v>
      </c>
      <c r="I8" s="1687">
        <f t="shared" si="0"/>
        <v>125205</v>
      </c>
      <c r="J8" s="1687">
        <f t="shared" si="0"/>
        <v>0</v>
      </c>
      <c r="K8" s="1687">
        <f t="shared" si="0"/>
        <v>34699</v>
      </c>
      <c r="L8" s="346"/>
    </row>
    <row r="9" spans="1:13" ht="15.75" thickTop="1" x14ac:dyDescent="0.2">
      <c r="A9" s="513" t="s">
        <v>1653</v>
      </c>
      <c r="B9" s="514">
        <v>3998</v>
      </c>
      <c r="C9" s="480">
        <v>8887433</v>
      </c>
      <c r="D9" s="515"/>
      <c r="E9" s="480"/>
      <c r="F9" s="480"/>
      <c r="G9" s="516"/>
      <c r="H9" s="480"/>
      <c r="I9" s="508" t="s">
        <v>1169</v>
      </c>
      <c r="J9" s="477"/>
      <c r="K9" s="480"/>
      <c r="L9" s="346"/>
    </row>
    <row r="10" spans="1:13" s="518" customFormat="1" ht="13.5" thickBot="1" x14ac:dyDescent="0.25">
      <c r="A10" s="1735" t="s">
        <v>1173</v>
      </c>
      <c r="B10" s="1708"/>
      <c r="C10" s="1687">
        <f>SUM(C8:C9)</f>
        <v>30633567</v>
      </c>
      <c r="D10" s="1687">
        <f t="shared" ref="D10:K10" si="1">SUM(D8:D9)</f>
        <v>2553016</v>
      </c>
      <c r="E10" s="1687">
        <f t="shared" si="1"/>
        <v>5893192</v>
      </c>
      <c r="F10" s="1687">
        <f t="shared" si="1"/>
        <v>944486</v>
      </c>
      <c r="G10" s="1687">
        <f t="shared" si="1"/>
        <v>560393</v>
      </c>
      <c r="H10" s="1687">
        <f t="shared" si="1"/>
        <v>429</v>
      </c>
      <c r="I10" s="1687">
        <f t="shared" si="1"/>
        <v>125205</v>
      </c>
      <c r="J10" s="1687">
        <f t="shared" si="1"/>
        <v>0</v>
      </c>
      <c r="K10" s="1687">
        <f t="shared" si="1"/>
        <v>34699</v>
      </c>
      <c r="L10" s="517"/>
    </row>
    <row r="11" spans="1:13" s="518" customFormat="1" ht="16.7" customHeight="1" thickTop="1" x14ac:dyDescent="0.2">
      <c r="A11" s="2113" t="s">
        <v>1176</v>
      </c>
      <c r="B11" s="2114"/>
      <c r="C11" s="1569"/>
      <c r="D11" s="1570"/>
      <c r="E11" s="1570"/>
      <c r="F11" s="1570"/>
      <c r="G11" s="1570"/>
      <c r="H11" s="1570"/>
      <c r="I11" s="1570"/>
      <c r="J11" s="1570"/>
      <c r="K11" s="1571"/>
      <c r="L11" s="517"/>
    </row>
    <row r="12" spans="1:13" ht="15.75" customHeight="1" x14ac:dyDescent="0.2">
      <c r="A12" s="1575" t="s">
        <v>456</v>
      </c>
      <c r="B12" s="1577">
        <v>1000</v>
      </c>
      <c r="C12" s="1741">
        <f>'Expenditures 15-22'!K33</f>
        <v>16456032</v>
      </c>
      <c r="D12" s="519" t="s">
        <v>1169</v>
      </c>
      <c r="E12" s="467" t="s">
        <v>1169</v>
      </c>
      <c r="F12" s="467" t="s">
        <v>1169</v>
      </c>
      <c r="G12" s="1741">
        <f>'Expenditures 15-22'!K229</f>
        <v>327988</v>
      </c>
      <c r="H12" s="520"/>
      <c r="I12" s="467" t="s">
        <v>1169</v>
      </c>
      <c r="J12" s="467" t="s">
        <v>1169</v>
      </c>
      <c r="K12" s="520" t="s">
        <v>1169</v>
      </c>
      <c r="L12" s="346"/>
    </row>
    <row r="13" spans="1:13" ht="15.75" customHeight="1" x14ac:dyDescent="0.2">
      <c r="A13" s="1575" t="s">
        <v>457</v>
      </c>
      <c r="B13" s="1577">
        <v>2000</v>
      </c>
      <c r="C13" s="1742">
        <f>'Expenditures 15-22'!K74</f>
        <v>4471509</v>
      </c>
      <c r="D13" s="1742">
        <f>'Expenditures 15-22'!K129</f>
        <v>2548610</v>
      </c>
      <c r="E13" s="468" t="s">
        <v>1169</v>
      </c>
      <c r="F13" s="1742">
        <f>'Expenditures 15-22'!K184</f>
        <v>702659</v>
      </c>
      <c r="G13" s="1742">
        <f>'Expenditures 15-22'!K279</f>
        <v>177477</v>
      </c>
      <c r="H13" s="1742">
        <f>'Expenditures 15-22'!K303</f>
        <v>28438</v>
      </c>
      <c r="I13" s="467" t="s">
        <v>1169</v>
      </c>
      <c r="J13" s="1742">
        <f>'Expenditures 15-22'!K330</f>
        <v>0</v>
      </c>
      <c r="K13" s="1746">
        <f>'Expenditures 15-22'!K352</f>
        <v>846325</v>
      </c>
      <c r="L13" s="346"/>
    </row>
    <row r="14" spans="1:13" ht="15.75" customHeight="1" x14ac:dyDescent="0.2">
      <c r="A14" s="1575" t="s">
        <v>449</v>
      </c>
      <c r="B14" s="1577">
        <v>3000</v>
      </c>
      <c r="C14" s="1742">
        <f>'Expenditures 15-22'!K75</f>
        <v>124035</v>
      </c>
      <c r="D14" s="1742">
        <f>'Expenditures 15-22'!K130</f>
        <v>0</v>
      </c>
      <c r="E14" s="519" t="s">
        <v>1169</v>
      </c>
      <c r="F14" s="1742">
        <f>'Expenditures 15-22'!K185</f>
        <v>0</v>
      </c>
      <c r="G14" s="1742">
        <f>'Expenditures 15-22'!K280</f>
        <v>15205</v>
      </c>
      <c r="H14" s="511"/>
      <c r="I14" s="467" t="s">
        <v>1169</v>
      </c>
      <c r="J14" s="467" t="s">
        <v>1169</v>
      </c>
      <c r="K14" s="511" t="s">
        <v>1169</v>
      </c>
      <c r="L14" s="346"/>
    </row>
    <row r="15" spans="1:13" ht="15.75" customHeight="1" x14ac:dyDescent="0.2">
      <c r="A15" s="1575" t="s">
        <v>107</v>
      </c>
      <c r="B15" s="1577">
        <v>4000</v>
      </c>
      <c r="C15" s="1742">
        <f>'Expenditures 15-22'!K102</f>
        <v>611942</v>
      </c>
      <c r="D15" s="1742">
        <f>'Expenditures 15-22'!K139</f>
        <v>0</v>
      </c>
      <c r="E15" s="1742">
        <f>'Expenditures 15-22'!K160</f>
        <v>0</v>
      </c>
      <c r="F15" s="1742">
        <f>'Expenditures 15-22'!K196</f>
        <v>0</v>
      </c>
      <c r="G15" s="1742">
        <f>'Expenditures 15-22'!K285</f>
        <v>0</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5555900</v>
      </c>
      <c r="F16" s="1742">
        <f>'Expenditures 15-22'!K208</f>
        <v>15292</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21663518</v>
      </c>
      <c r="D17" s="1687">
        <f t="shared" si="2"/>
        <v>2548610</v>
      </c>
      <c r="E17" s="1687">
        <f t="shared" si="2"/>
        <v>5555900</v>
      </c>
      <c r="F17" s="1687">
        <f t="shared" si="2"/>
        <v>717951</v>
      </c>
      <c r="G17" s="1687">
        <f t="shared" si="2"/>
        <v>520670</v>
      </c>
      <c r="H17" s="1687">
        <f t="shared" si="2"/>
        <v>28438</v>
      </c>
      <c r="I17" s="467"/>
      <c r="J17" s="1687">
        <f>SUM(J12:J16)</f>
        <v>0</v>
      </c>
      <c r="K17" s="1687">
        <f>SUM(K12:K16)</f>
        <v>846325</v>
      </c>
      <c r="L17" s="346"/>
    </row>
    <row r="18" spans="1:12" ht="15" customHeight="1" thickTop="1" x14ac:dyDescent="0.2">
      <c r="A18" s="1743" t="s">
        <v>1654</v>
      </c>
      <c r="B18" s="1744">
        <v>4180</v>
      </c>
      <c r="C18" s="1741">
        <f t="shared" ref="C18:H18" si="3">C9</f>
        <v>8887433</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30550951</v>
      </c>
      <c r="D19" s="1687">
        <f t="shared" si="4"/>
        <v>2548610</v>
      </c>
      <c r="E19" s="1687">
        <f t="shared" si="4"/>
        <v>5555900</v>
      </c>
      <c r="F19" s="1687">
        <f t="shared" si="4"/>
        <v>717951</v>
      </c>
      <c r="G19" s="1687">
        <f t="shared" si="4"/>
        <v>520670</v>
      </c>
      <c r="H19" s="1687">
        <f t="shared" si="4"/>
        <v>28438</v>
      </c>
      <c r="I19" s="467"/>
      <c r="J19" s="1687">
        <f>SUM(J17:J18)</f>
        <v>0</v>
      </c>
      <c r="K19" s="1687">
        <f>SUM(K17:K18)</f>
        <v>846325</v>
      </c>
      <c r="L19" s="346"/>
    </row>
    <row r="20" spans="1:12" ht="16.5" thickTop="1" thickBot="1" x14ac:dyDescent="0.25">
      <c r="A20" s="2129" t="s">
        <v>1655</v>
      </c>
      <c r="B20" s="2130"/>
      <c r="C20" s="1745">
        <f>C8-C17</f>
        <v>82616</v>
      </c>
      <c r="D20" s="1745">
        <f t="shared" ref="D20:K20" si="5">D8-D17</f>
        <v>4406</v>
      </c>
      <c r="E20" s="1745">
        <f t="shared" si="5"/>
        <v>337292</v>
      </c>
      <c r="F20" s="1745">
        <f t="shared" si="5"/>
        <v>226535</v>
      </c>
      <c r="G20" s="1745">
        <f t="shared" si="5"/>
        <v>39723</v>
      </c>
      <c r="H20" s="1745">
        <f t="shared" si="5"/>
        <v>-28009</v>
      </c>
      <c r="I20" s="1745">
        <f t="shared" si="5"/>
        <v>125205</v>
      </c>
      <c r="J20" s="1745">
        <f t="shared" si="5"/>
        <v>0</v>
      </c>
      <c r="K20" s="1745">
        <f t="shared" si="5"/>
        <v>-811626</v>
      </c>
      <c r="L20" s="346"/>
    </row>
    <row r="21" spans="1:12" ht="16.7" customHeight="1" thickTop="1" x14ac:dyDescent="0.2">
      <c r="A21" s="2141" t="s">
        <v>595</v>
      </c>
      <c r="B21" s="2142"/>
      <c r="C21" s="1569"/>
      <c r="D21" s="1570"/>
      <c r="E21" s="1570"/>
      <c r="F21" s="1570"/>
      <c r="G21" s="1570"/>
      <c r="H21" s="1570"/>
      <c r="I21" s="1570"/>
      <c r="J21" s="1570"/>
      <c r="K21" s="1571"/>
      <c r="L21" s="523"/>
    </row>
    <row r="22" spans="1:12" ht="15.75" customHeight="1" collapsed="1" x14ac:dyDescent="0.2">
      <c r="A22" s="2137" t="s">
        <v>596</v>
      </c>
      <c r="B22" s="2138"/>
      <c r="C22" s="476"/>
      <c r="D22" s="476"/>
      <c r="E22" s="476"/>
      <c r="F22" s="476"/>
      <c r="G22" s="476"/>
      <c r="H22" s="476"/>
      <c r="I22" s="476"/>
      <c r="J22" s="476"/>
      <c r="K22" s="476"/>
      <c r="L22" s="346"/>
    </row>
    <row r="23" spans="1:12" s="484" customFormat="1" ht="15.75" customHeight="1" x14ac:dyDescent="0.2">
      <c r="A23" s="2133" t="s">
        <v>293</v>
      </c>
      <c r="B23" s="2134"/>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v>55678</v>
      </c>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35" t="s">
        <v>981</v>
      </c>
      <c r="B32" s="2136"/>
      <c r="C32" s="476"/>
      <c r="D32" s="476"/>
      <c r="E32" s="474"/>
      <c r="F32" s="476"/>
      <c r="G32" s="476"/>
      <c r="H32" s="476"/>
      <c r="I32" s="476"/>
      <c r="J32" s="476"/>
      <c r="K32" s="476"/>
      <c r="L32" s="523"/>
    </row>
    <row r="33" spans="1:12" s="484" customFormat="1" x14ac:dyDescent="0.2">
      <c r="A33" s="1488" t="s">
        <v>412</v>
      </c>
      <c r="B33" s="524">
        <v>7210</v>
      </c>
      <c r="C33" s="466"/>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2">
        <f>SUM(C54:D57,H54:H57)</f>
        <v>34254</v>
      </c>
      <c r="F37" s="474"/>
      <c r="G37" s="474"/>
      <c r="H37" s="474"/>
      <c r="I37" s="476"/>
      <c r="J37" s="474"/>
      <c r="K37" s="474"/>
      <c r="L37" s="523"/>
    </row>
    <row r="38" spans="1:12" s="484" customFormat="1" x14ac:dyDescent="0.2">
      <c r="A38" s="1488" t="s">
        <v>442</v>
      </c>
      <c r="B38" s="524">
        <v>7500</v>
      </c>
      <c r="C38" s="476"/>
      <c r="D38" s="476"/>
      <c r="E38" s="1742">
        <f>SUM(C58:D61,H58:H61)</f>
        <v>8946</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v>50000</v>
      </c>
      <c r="I43" s="466"/>
      <c r="J43" s="466"/>
      <c r="K43" s="466"/>
      <c r="L43" s="523"/>
    </row>
    <row r="44" spans="1:12" s="484" customFormat="1" ht="13.5" customHeight="1" thickBot="1" x14ac:dyDescent="0.25">
      <c r="A44" s="2143" t="s">
        <v>374</v>
      </c>
      <c r="B44" s="2144"/>
      <c r="C44" s="1702">
        <f>SUM(C24:C43)</f>
        <v>55678</v>
      </c>
      <c r="D44" s="1702">
        <f t="shared" ref="D44:K44" si="6">SUM(D24:D43)</f>
        <v>0</v>
      </c>
      <c r="E44" s="1702">
        <f t="shared" si="6"/>
        <v>43200</v>
      </c>
      <c r="F44" s="1702">
        <f t="shared" si="6"/>
        <v>0</v>
      </c>
      <c r="G44" s="1702">
        <f t="shared" si="6"/>
        <v>0</v>
      </c>
      <c r="H44" s="1702">
        <f t="shared" si="6"/>
        <v>50000</v>
      </c>
      <c r="I44" s="1702">
        <f t="shared" si="6"/>
        <v>0</v>
      </c>
      <c r="J44" s="1702">
        <f t="shared" si="6"/>
        <v>0</v>
      </c>
      <c r="K44" s="1702">
        <f t="shared" si="6"/>
        <v>0</v>
      </c>
      <c r="L44" s="523"/>
    </row>
    <row r="45" spans="1:12" ht="15.75" customHeight="1" thickTop="1" x14ac:dyDescent="0.2">
      <c r="A45" s="2137" t="s">
        <v>108</v>
      </c>
      <c r="B45" s="2138"/>
      <c r="C45" s="527"/>
      <c r="D45" s="527"/>
      <c r="E45" s="527"/>
      <c r="F45" s="527"/>
      <c r="G45" s="527"/>
      <c r="H45" s="527"/>
      <c r="I45" s="527"/>
      <c r="J45" s="527"/>
      <c r="K45" s="527"/>
      <c r="L45" s="346"/>
    </row>
    <row r="46" spans="1:12" s="484" customFormat="1" ht="15.75" customHeight="1" x14ac:dyDescent="0.2">
      <c r="A46" s="2145" t="s">
        <v>109</v>
      </c>
      <c r="B46" s="2146"/>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0</v>
      </c>
      <c r="J47" s="476"/>
      <c r="K47" s="476"/>
      <c r="L47" s="528"/>
    </row>
    <row r="48" spans="1:12" s="484" customFormat="1" ht="15" x14ac:dyDescent="0.2">
      <c r="A48" s="1489" t="s">
        <v>1660</v>
      </c>
      <c r="B48" s="482">
        <v>8120</v>
      </c>
      <c r="C48" s="479"/>
      <c r="D48" s="479"/>
      <c r="E48" s="476"/>
      <c r="F48" s="479"/>
      <c r="G48" s="476"/>
      <c r="H48" s="476"/>
      <c r="I48" s="1742">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v>55678</v>
      </c>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42">
        <f>D30</f>
        <v>0</v>
      </c>
      <c r="L52" s="523"/>
    </row>
    <row r="53" spans="1:12" s="484" customFormat="1" ht="26.25" x14ac:dyDescent="0.2">
      <c r="A53" s="1489" t="s">
        <v>1796</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v>34254</v>
      </c>
      <c r="D57" s="530"/>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v>8946</v>
      </c>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c r="I75" s="529">
        <v>50000</v>
      </c>
      <c r="J75" s="529"/>
      <c r="K75" s="531"/>
      <c r="L75" s="523"/>
    </row>
    <row r="76" spans="1:12" s="484" customFormat="1" ht="14.25" thickTop="1" thickBot="1" x14ac:dyDescent="0.25">
      <c r="A76" s="2119" t="s">
        <v>440</v>
      </c>
      <c r="B76" s="2120"/>
      <c r="C76" s="1702">
        <f t="shared" ref="C76:K76" si="7">SUM(C47:C75)</f>
        <v>43200</v>
      </c>
      <c r="D76" s="1702">
        <f t="shared" si="7"/>
        <v>0</v>
      </c>
      <c r="E76" s="1702">
        <f t="shared" si="7"/>
        <v>55678</v>
      </c>
      <c r="F76" s="1702">
        <f t="shared" si="7"/>
        <v>0</v>
      </c>
      <c r="G76" s="1702">
        <f t="shared" si="7"/>
        <v>0</v>
      </c>
      <c r="H76" s="1702">
        <f t="shared" si="7"/>
        <v>0</v>
      </c>
      <c r="I76" s="1702">
        <f t="shared" si="7"/>
        <v>50000</v>
      </c>
      <c r="J76" s="1702">
        <f t="shared" si="7"/>
        <v>0</v>
      </c>
      <c r="K76" s="1702">
        <f t="shared" si="7"/>
        <v>0</v>
      </c>
      <c r="L76" s="523"/>
    </row>
    <row r="77" spans="1:12" ht="14.25" thickTop="1" thickBot="1" x14ac:dyDescent="0.25">
      <c r="A77" s="2121" t="s">
        <v>1177</v>
      </c>
      <c r="B77" s="2122"/>
      <c r="C77" s="1702">
        <f t="shared" ref="C77:K77" si="8">C44-C76</f>
        <v>12478</v>
      </c>
      <c r="D77" s="1702">
        <f t="shared" si="8"/>
        <v>0</v>
      </c>
      <c r="E77" s="1702">
        <f t="shared" si="8"/>
        <v>-12478</v>
      </c>
      <c r="F77" s="1702">
        <f t="shared" si="8"/>
        <v>0</v>
      </c>
      <c r="G77" s="1702">
        <f t="shared" si="8"/>
        <v>0</v>
      </c>
      <c r="H77" s="1702">
        <f t="shared" si="8"/>
        <v>50000</v>
      </c>
      <c r="I77" s="1702">
        <f t="shared" si="8"/>
        <v>-50000</v>
      </c>
      <c r="J77" s="1702">
        <f t="shared" si="8"/>
        <v>0</v>
      </c>
      <c r="K77" s="1702">
        <f t="shared" si="8"/>
        <v>0</v>
      </c>
      <c r="L77" s="346"/>
    </row>
    <row r="78" spans="1:12" ht="21.75" customHeight="1" thickTop="1" thickBot="1" x14ac:dyDescent="0.25">
      <c r="A78" s="2125" t="s">
        <v>597</v>
      </c>
      <c r="B78" s="2126"/>
      <c r="C78" s="1701">
        <f t="shared" ref="C78:K78" si="9">C20+C77</f>
        <v>95094</v>
      </c>
      <c r="D78" s="1701">
        <f t="shared" si="9"/>
        <v>4406</v>
      </c>
      <c r="E78" s="1701">
        <f t="shared" si="9"/>
        <v>324814</v>
      </c>
      <c r="F78" s="1701">
        <f t="shared" si="9"/>
        <v>226535</v>
      </c>
      <c r="G78" s="1701">
        <f t="shared" si="9"/>
        <v>39723</v>
      </c>
      <c r="H78" s="1701">
        <f t="shared" si="9"/>
        <v>21991</v>
      </c>
      <c r="I78" s="1701">
        <f t="shared" si="9"/>
        <v>75205</v>
      </c>
      <c r="J78" s="1701">
        <f t="shared" si="9"/>
        <v>0</v>
      </c>
      <c r="K78" s="1701">
        <f t="shared" si="9"/>
        <v>-811626</v>
      </c>
      <c r="L78" s="532"/>
    </row>
    <row r="79" spans="1:12" ht="13.5" thickTop="1" x14ac:dyDescent="0.2">
      <c r="A79" s="1493" t="s">
        <v>1947</v>
      </c>
      <c r="B79" s="533"/>
      <c r="C79" s="477">
        <v>13383456</v>
      </c>
      <c r="D79" s="534">
        <v>2615336</v>
      </c>
      <c r="E79" s="534">
        <v>4998424</v>
      </c>
      <c r="F79" s="534">
        <v>692466</v>
      </c>
      <c r="G79" s="534">
        <v>386117</v>
      </c>
      <c r="H79" s="534">
        <v>3653</v>
      </c>
      <c r="I79" s="534">
        <v>7896611</v>
      </c>
      <c r="J79" s="534"/>
      <c r="K79" s="534">
        <v>2147949</v>
      </c>
      <c r="L79" s="346"/>
    </row>
    <row r="80" spans="1:12" x14ac:dyDescent="0.2">
      <c r="A80" s="2131" t="s">
        <v>1795</v>
      </c>
      <c r="B80" s="2132"/>
      <c r="C80" s="466"/>
      <c r="D80" s="466"/>
      <c r="E80" s="466"/>
      <c r="F80" s="466"/>
      <c r="G80" s="466"/>
      <c r="H80" s="466"/>
      <c r="I80" s="466"/>
      <c r="J80" s="466"/>
      <c r="K80" s="466"/>
      <c r="L80" s="346"/>
    </row>
    <row r="81" spans="1:12" ht="13.5" thickBot="1" x14ac:dyDescent="0.25">
      <c r="A81" s="2123" t="s">
        <v>1948</v>
      </c>
      <c r="B81" s="2124"/>
      <c r="C81" s="1687">
        <f>(SUM(C78:C80))</f>
        <v>13478550</v>
      </c>
      <c r="D81" s="1687">
        <f>SUM(D78:D80)</f>
        <v>2619742</v>
      </c>
      <c r="E81" s="1687">
        <f t="shared" ref="E81:K81" si="10">SUM(E78:E80)</f>
        <v>5323238</v>
      </c>
      <c r="F81" s="1687">
        <f t="shared" si="10"/>
        <v>919001</v>
      </c>
      <c r="G81" s="1687">
        <f t="shared" si="10"/>
        <v>425840</v>
      </c>
      <c r="H81" s="1687">
        <f t="shared" si="10"/>
        <v>25644</v>
      </c>
      <c r="I81" s="1687">
        <f t="shared" si="10"/>
        <v>7971816</v>
      </c>
      <c r="J81" s="1687">
        <f t="shared" si="10"/>
        <v>0</v>
      </c>
      <c r="K81" s="1687">
        <f t="shared" si="10"/>
        <v>1336323</v>
      </c>
      <c r="L81" s="346"/>
    </row>
    <row r="82" spans="1:12" ht="0.75" customHeight="1" thickTop="1" thickBot="1" x14ac:dyDescent="0.25">
      <c r="A82" s="535" t="s">
        <v>343</v>
      </c>
      <c r="B82" s="536"/>
      <c r="C82" s="537">
        <f>(C81-C79)</f>
        <v>95094</v>
      </c>
      <c r="D82" s="537">
        <f t="shared" ref="D82:K82" si="11">(D81-D79)</f>
        <v>4406</v>
      </c>
      <c r="E82" s="537">
        <f t="shared" si="11"/>
        <v>324814</v>
      </c>
      <c r="F82" s="537">
        <f t="shared" si="11"/>
        <v>226535</v>
      </c>
      <c r="G82" s="537">
        <f t="shared" si="11"/>
        <v>39723</v>
      </c>
      <c r="H82" s="537">
        <f t="shared" si="11"/>
        <v>21991</v>
      </c>
      <c r="I82" s="537">
        <f t="shared" si="11"/>
        <v>75205</v>
      </c>
      <c r="J82" s="537">
        <f t="shared" si="11"/>
        <v>0</v>
      </c>
      <c r="K82" s="537">
        <f t="shared" si="11"/>
        <v>-811626</v>
      </c>
    </row>
    <row r="83" spans="1:12" ht="14.25" hidden="1" thickTop="1" thickBot="1" x14ac:dyDescent="0.25">
      <c r="A83" s="538" t="s">
        <v>344</v>
      </c>
      <c r="B83" s="463"/>
      <c r="C83" s="539">
        <f>C82/C81</f>
        <v>7.0552099446898964E-3</v>
      </c>
      <c r="D83" s="539">
        <f t="shared" ref="D83:K83" si="12">D82/D81</f>
        <v>1.6818450061112887E-3</v>
      </c>
      <c r="E83" s="539">
        <f t="shared" si="12"/>
        <v>6.1018124682758877E-2</v>
      </c>
      <c r="F83" s="539">
        <f t="shared" si="12"/>
        <v>0.24650136398110556</v>
      </c>
      <c r="G83" s="539">
        <f t="shared" si="12"/>
        <v>9.3281514183730985E-2</v>
      </c>
      <c r="H83" s="539">
        <f t="shared" si="12"/>
        <v>0.85754952425518638</v>
      </c>
      <c r="I83" s="539">
        <f t="shared" si="12"/>
        <v>9.43386049050806E-3</v>
      </c>
      <c r="J83" s="539" t="e">
        <f t="shared" si="12"/>
        <v>#DIV/0!</v>
      </c>
      <c r="K83" s="539">
        <f t="shared" si="12"/>
        <v>-0.60735765230412109</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57" activePane="bottomLeft" state="frozen"/>
      <selection pane="bottomLeft" activeCell="C77" sqref="C77"/>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7" t="s">
        <v>1802</v>
      </c>
      <c r="B1" s="451"/>
      <c r="C1" s="452" t="s">
        <v>425</v>
      </c>
      <c r="D1" s="452" t="s">
        <v>426</v>
      </c>
      <c r="E1" s="452" t="s">
        <v>427</v>
      </c>
      <c r="F1" s="452" t="s">
        <v>428</v>
      </c>
      <c r="G1" s="452" t="s">
        <v>429</v>
      </c>
      <c r="H1" s="452" t="s">
        <v>430</v>
      </c>
      <c r="I1" s="452" t="s">
        <v>431</v>
      </c>
      <c r="J1" s="452" t="s">
        <v>432</v>
      </c>
      <c r="K1" s="452" t="s">
        <v>756</v>
      </c>
    </row>
    <row r="2" spans="1:12" ht="36" x14ac:dyDescent="0.2">
      <c r="A2" s="2128"/>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16895166</v>
      </c>
      <c r="D5" s="480">
        <v>1893343</v>
      </c>
      <c r="E5" s="465">
        <v>5837514</v>
      </c>
      <c r="F5" s="547">
        <v>589848</v>
      </c>
      <c r="G5" s="465">
        <v>212404</v>
      </c>
      <c r="H5" s="465"/>
      <c r="I5" s="465"/>
      <c r="J5" s="466"/>
      <c r="K5" s="465"/>
    </row>
    <row r="6" spans="1:12" ht="15" x14ac:dyDescent="0.2">
      <c r="A6" s="462" t="s">
        <v>1662</v>
      </c>
      <c r="B6" s="469">
        <v>1130</v>
      </c>
      <c r="C6" s="465"/>
      <c r="D6" s="465"/>
      <c r="E6" s="474"/>
      <c r="F6" s="474"/>
      <c r="G6" s="467"/>
      <c r="H6" s="467"/>
      <c r="I6" s="467"/>
      <c r="J6" s="467"/>
      <c r="K6" s="467"/>
    </row>
    <row r="7" spans="1:12" x14ac:dyDescent="0.2">
      <c r="A7" s="462" t="s">
        <v>110</v>
      </c>
      <c r="B7" s="548">
        <v>1140</v>
      </c>
      <c r="C7" s="465">
        <v>158017</v>
      </c>
      <c r="D7" s="465"/>
      <c r="E7" s="467"/>
      <c r="F7" s="466"/>
      <c r="G7" s="466"/>
      <c r="H7" s="466"/>
      <c r="I7" s="467"/>
      <c r="J7" s="467"/>
      <c r="K7" s="467"/>
    </row>
    <row r="8" spans="1:12" x14ac:dyDescent="0.2">
      <c r="A8" s="462" t="s">
        <v>413</v>
      </c>
      <c r="B8" s="469">
        <v>1150</v>
      </c>
      <c r="C8" s="474"/>
      <c r="D8" s="474"/>
      <c r="E8" s="476"/>
      <c r="F8" s="476"/>
      <c r="G8" s="480">
        <v>336804</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17053183</v>
      </c>
      <c r="D12" s="1706">
        <f t="shared" si="0"/>
        <v>1893343</v>
      </c>
      <c r="E12" s="1706">
        <f t="shared" si="0"/>
        <v>5837514</v>
      </c>
      <c r="F12" s="1706">
        <f t="shared" si="0"/>
        <v>589848</v>
      </c>
      <c r="G12" s="1706">
        <f t="shared" si="0"/>
        <v>549208</v>
      </c>
      <c r="H12" s="1706">
        <f t="shared" si="0"/>
        <v>0</v>
      </c>
      <c r="I12" s="1706">
        <f t="shared" si="0"/>
        <v>0</v>
      </c>
      <c r="J12" s="1706">
        <f t="shared" si="0"/>
        <v>0</v>
      </c>
      <c r="K12" s="1687">
        <f t="shared" si="0"/>
        <v>0</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c r="D16" s="465">
        <v>367729</v>
      </c>
      <c r="E16" s="465"/>
      <c r="F16" s="465"/>
      <c r="G16" s="465">
        <v>7853</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0</v>
      </c>
      <c r="D18" s="1709">
        <f t="shared" ref="D18:K18" si="1">SUM(D14:D17)</f>
        <v>367729</v>
      </c>
      <c r="E18" s="1709">
        <f t="shared" si="1"/>
        <v>0</v>
      </c>
      <c r="F18" s="1709">
        <f t="shared" si="1"/>
        <v>0</v>
      </c>
      <c r="G18" s="1709">
        <f t="shared" si="1"/>
        <v>7853</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v>142776</v>
      </c>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142776</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0</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121068</v>
      </c>
      <c r="D65" s="465">
        <v>22121</v>
      </c>
      <c r="E65" s="465">
        <v>55678</v>
      </c>
      <c r="F65" s="466">
        <v>14965</v>
      </c>
      <c r="G65" s="465">
        <v>3332</v>
      </c>
      <c r="H65" s="465">
        <v>429</v>
      </c>
      <c r="I65" s="465">
        <v>125205</v>
      </c>
      <c r="J65" s="466"/>
      <c r="K65" s="465">
        <v>34699</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121068</v>
      </c>
      <c r="D67" s="1687">
        <f t="shared" ref="D67:K67" si="2">SUM(D65:D66)</f>
        <v>22121</v>
      </c>
      <c r="E67" s="1687">
        <f t="shared" si="2"/>
        <v>55678</v>
      </c>
      <c r="F67" s="1687">
        <f t="shared" si="2"/>
        <v>14965</v>
      </c>
      <c r="G67" s="1687">
        <f t="shared" si="2"/>
        <v>3332</v>
      </c>
      <c r="H67" s="1687">
        <f t="shared" si="2"/>
        <v>429</v>
      </c>
      <c r="I67" s="1687">
        <f t="shared" si="2"/>
        <v>125205</v>
      </c>
      <c r="J67" s="1687">
        <f t="shared" si="2"/>
        <v>0</v>
      </c>
      <c r="K67" s="1687">
        <f t="shared" si="2"/>
        <v>34699</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v>79097</v>
      </c>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548</v>
      </c>
      <c r="B75" s="1708"/>
      <c r="C75" s="1687">
        <f>SUM(C69:C74)</f>
        <v>79097</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v>30176</v>
      </c>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810592</v>
      </c>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v>9153</v>
      </c>
      <c r="D81" s="465"/>
      <c r="E81" s="467"/>
      <c r="F81" s="467"/>
      <c r="G81" s="467"/>
      <c r="H81" s="467"/>
      <c r="I81" s="467"/>
      <c r="J81" s="467"/>
      <c r="K81" s="467"/>
    </row>
    <row r="82" spans="1:11" ht="12.75" customHeight="1" thickBot="1" x14ac:dyDescent="0.25">
      <c r="A82" s="1707" t="s">
        <v>241</v>
      </c>
      <c r="B82" s="1708"/>
      <c r="C82" s="1706">
        <f>SUM(C77:C81)</f>
        <v>849921</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v>270884</v>
      </c>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7" t="s">
        <v>243</v>
      </c>
      <c r="B93" s="1708"/>
      <c r="C93" s="1687">
        <f>SUM(C84:C92)</f>
        <v>270884</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v>1656</v>
      </c>
      <c r="D95" s="550">
        <v>158469</v>
      </c>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v>311695</v>
      </c>
      <c r="D98" s="465"/>
      <c r="E98" s="511"/>
      <c r="F98" s="465"/>
      <c r="G98" s="511"/>
      <c r="H98" s="511"/>
      <c r="I98" s="509"/>
      <c r="J98" s="511"/>
      <c r="K98" s="511"/>
    </row>
    <row r="99" spans="1:12" ht="12.75" customHeight="1" x14ac:dyDescent="0.2">
      <c r="A99" s="462" t="s">
        <v>821</v>
      </c>
      <c r="B99" s="469">
        <v>1950</v>
      </c>
      <c r="C99" s="488"/>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v>41261</v>
      </c>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30053</v>
      </c>
      <c r="D107" s="465">
        <v>111354</v>
      </c>
      <c r="E107" s="465"/>
      <c r="F107" s="465"/>
      <c r="G107" s="465"/>
      <c r="H107" s="465"/>
      <c r="I107" s="465"/>
      <c r="J107" s="466"/>
      <c r="K107" s="465"/>
    </row>
    <row r="108" spans="1:12" ht="12.75" customHeight="1" thickBot="1" x14ac:dyDescent="0.25">
      <c r="A108" s="1707" t="s">
        <v>487</v>
      </c>
      <c r="B108" s="1711"/>
      <c r="C108" s="1706">
        <f>SUM(C95:C107)</f>
        <v>384665</v>
      </c>
      <c r="D108" s="1706">
        <f t="shared" ref="D108:K108" si="3">SUM(D95:D107)</f>
        <v>269823</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18901594</v>
      </c>
      <c r="D109" s="1714">
        <f t="shared" si="4"/>
        <v>2553016</v>
      </c>
      <c r="E109" s="1714">
        <f t="shared" si="4"/>
        <v>5893192</v>
      </c>
      <c r="F109" s="1714">
        <f t="shared" si="4"/>
        <v>604813</v>
      </c>
      <c r="G109" s="1714">
        <f t="shared" si="4"/>
        <v>560393</v>
      </c>
      <c r="H109" s="1714">
        <f t="shared" si="4"/>
        <v>429</v>
      </c>
      <c r="I109" s="1714">
        <f t="shared" si="4"/>
        <v>125205</v>
      </c>
      <c r="J109" s="1714">
        <f t="shared" si="4"/>
        <v>0</v>
      </c>
      <c r="K109" s="1701">
        <f t="shared" si="4"/>
        <v>34699</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1987893</v>
      </c>
      <c r="D117" s="480"/>
      <c r="E117" s="465"/>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929" t="s">
        <v>1934</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1987893</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v>219323</v>
      </c>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v>71792</v>
      </c>
      <c r="D128" s="560"/>
      <c r="E128" s="467"/>
      <c r="F128" s="465"/>
      <c r="G128" s="467"/>
      <c r="H128" s="467"/>
      <c r="I128" s="467"/>
      <c r="J128" s="467"/>
      <c r="K128" s="467"/>
    </row>
    <row r="129" spans="1:11" ht="12.75" customHeight="1" x14ac:dyDescent="0.2">
      <c r="A129" s="462" t="s">
        <v>1447</v>
      </c>
      <c r="B129" s="561">
        <v>3130</v>
      </c>
      <c r="C129" s="465">
        <v>6928</v>
      </c>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298043</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0</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v>27392</v>
      </c>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v>272</v>
      </c>
      <c r="G152" s="466"/>
      <c r="H152" s="467"/>
      <c r="I152" s="467"/>
      <c r="J152" s="467"/>
      <c r="K152" s="467"/>
    </row>
    <row r="153" spans="1:11" ht="12.75" customHeight="1" x14ac:dyDescent="0.2">
      <c r="A153" s="462" t="s">
        <v>1057</v>
      </c>
      <c r="B153" s="561">
        <v>3510</v>
      </c>
      <c r="C153" s="550"/>
      <c r="D153" s="465"/>
      <c r="E153" s="560"/>
      <c r="F153" s="465">
        <v>339401</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339673</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v>1211</v>
      </c>
      <c r="D168" s="579"/>
      <c r="E168" s="579"/>
      <c r="F168" s="579"/>
      <c r="G168" s="580"/>
      <c r="H168" s="581"/>
      <c r="I168" s="580"/>
      <c r="J168" s="580"/>
      <c r="K168" s="581"/>
    </row>
    <row r="169" spans="1:11" ht="12.75" customHeight="1" thickTop="1" thickBot="1" x14ac:dyDescent="0.25">
      <c r="A169" s="2147" t="s">
        <v>398</v>
      </c>
      <c r="B169" s="2148"/>
      <c r="C169" s="1721">
        <f t="shared" ref="C169:K169" si="6">SUM(C132,C141,C145,C146:C150,C155,C156:C167,C168)</f>
        <v>326646</v>
      </c>
      <c r="D169" s="1721">
        <f t="shared" si="6"/>
        <v>0</v>
      </c>
      <c r="E169" s="1721">
        <f t="shared" si="6"/>
        <v>0</v>
      </c>
      <c r="F169" s="1721">
        <f t="shared" si="6"/>
        <v>339673</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2314539</v>
      </c>
      <c r="D170" s="1714">
        <f t="shared" si="7"/>
        <v>0</v>
      </c>
      <c r="E170" s="1714">
        <f t="shared" si="7"/>
        <v>0</v>
      </c>
      <c r="F170" s="1714">
        <f t="shared" si="7"/>
        <v>339673</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9" t="s">
        <v>1492</v>
      </c>
      <c r="B172" s="2150"/>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53" t="s">
        <v>1665</v>
      </c>
      <c r="B175" s="2154"/>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7" t="s">
        <v>1664</v>
      </c>
      <c r="B176" s="2158"/>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55" t="s">
        <v>785</v>
      </c>
      <c r="B181" s="2156"/>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51" t="s">
        <v>1803</v>
      </c>
      <c r="B182" s="2152"/>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0</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v>102131</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102131</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v>18098</v>
      </c>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18098</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4826</v>
      </c>
      <c r="D213" s="465"/>
      <c r="E213" s="467"/>
      <c r="F213" s="465"/>
      <c r="G213" s="465"/>
      <c r="H213" s="467"/>
      <c r="I213" s="467"/>
      <c r="J213" s="467"/>
      <c r="K213" s="467"/>
    </row>
    <row r="214" spans="1:11" ht="12.75" customHeight="1" x14ac:dyDescent="0.2">
      <c r="A214" s="462" t="s">
        <v>1054</v>
      </c>
      <c r="B214" s="469">
        <v>4625</v>
      </c>
      <c r="C214" s="550">
        <v>263980</v>
      </c>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268806</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v>66917</v>
      </c>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1085</v>
      </c>
      <c r="B221" s="1723"/>
      <c r="C221" s="1706">
        <f>SUM(C219:C220)</f>
        <v>66917</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29512</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9" t="s">
        <v>1935</v>
      </c>
      <c r="B261" s="469">
        <v>4981</v>
      </c>
      <c r="C261" s="574"/>
      <c r="D261" s="575"/>
      <c r="E261" s="467"/>
      <c r="F261" s="575"/>
      <c r="G261" s="575"/>
      <c r="H261" s="467"/>
      <c r="I261" s="467"/>
      <c r="J261" s="467"/>
      <c r="K261" s="467"/>
    </row>
    <row r="262" spans="1:11" ht="12.75" customHeight="1" thickTop="1" thickBot="1" x14ac:dyDescent="0.25">
      <c r="A262" s="1930" t="s">
        <v>1936</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v>9981</v>
      </c>
      <c r="D263" s="575"/>
      <c r="E263" s="467"/>
      <c r="F263" s="575"/>
      <c r="G263" s="575"/>
      <c r="H263" s="467"/>
      <c r="I263" s="467"/>
      <c r="J263" s="467"/>
      <c r="K263" s="467"/>
    </row>
    <row r="264" spans="1:11" ht="12.75" customHeight="1" thickTop="1" thickBot="1" x14ac:dyDescent="0.25">
      <c r="A264" s="462" t="s">
        <v>377</v>
      </c>
      <c r="B264" s="469">
        <v>4992</v>
      </c>
      <c r="C264" s="574">
        <v>34556</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530001</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530001</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21746134</v>
      </c>
      <c r="D268" s="1714">
        <f t="shared" si="12"/>
        <v>2553016</v>
      </c>
      <c r="E268" s="1714">
        <f t="shared" si="12"/>
        <v>5893192</v>
      </c>
      <c r="F268" s="1714">
        <f t="shared" si="12"/>
        <v>944486</v>
      </c>
      <c r="G268" s="1714">
        <f t="shared" si="12"/>
        <v>560393</v>
      </c>
      <c r="H268" s="1714">
        <f t="shared" si="12"/>
        <v>429</v>
      </c>
      <c r="I268" s="1714">
        <f t="shared" si="12"/>
        <v>125205</v>
      </c>
      <c r="J268" s="1714">
        <f t="shared" si="12"/>
        <v>0</v>
      </c>
      <c r="K268" s="1701">
        <f t="shared" si="12"/>
        <v>34699</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282" activePane="bottomLeft" state="frozen"/>
      <selection pane="bottomLeft" activeCell="L281" sqref="L281"/>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27"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1"/>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7" t="s">
        <v>297</v>
      </c>
      <c r="B3" s="2168"/>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8470970</v>
      </c>
      <c r="D5" s="465">
        <v>1858262</v>
      </c>
      <c r="E5" s="465">
        <v>106365</v>
      </c>
      <c r="F5" s="465">
        <v>330754</v>
      </c>
      <c r="G5" s="465">
        <v>13142</v>
      </c>
      <c r="H5" s="465">
        <v>9159</v>
      </c>
      <c r="I5" s="466">
        <v>-110</v>
      </c>
      <c r="J5" s="466"/>
      <c r="K5" s="1670">
        <f>SUM(C5:J5)</f>
        <v>10788542</v>
      </c>
      <c r="L5" s="465">
        <v>10916958</v>
      </c>
    </row>
    <row r="6" spans="1:14" x14ac:dyDescent="0.2">
      <c r="A6" s="1503" t="s">
        <v>1433</v>
      </c>
      <c r="B6" s="613" t="s">
        <v>1431</v>
      </c>
      <c r="C6" s="476"/>
      <c r="D6" s="476"/>
      <c r="E6" s="465"/>
      <c r="F6" s="476"/>
      <c r="G6" s="476"/>
      <c r="H6" s="476"/>
      <c r="I6" s="476"/>
      <c r="J6" s="476"/>
      <c r="K6" s="1670">
        <f>SUM(C6,E6)</f>
        <v>0</v>
      </c>
      <c r="L6" s="465"/>
    </row>
    <row r="7" spans="1:14" x14ac:dyDescent="0.2">
      <c r="A7" s="1503" t="s">
        <v>163</v>
      </c>
      <c r="B7" s="613" t="s">
        <v>967</v>
      </c>
      <c r="C7" s="466"/>
      <c r="D7" s="466"/>
      <c r="E7" s="466"/>
      <c r="F7" s="466"/>
      <c r="G7" s="466"/>
      <c r="H7" s="466"/>
      <c r="I7" s="466"/>
      <c r="J7" s="466"/>
      <c r="K7" s="1670">
        <f t="shared" ref="K7:K32" si="0">SUM(C7:J7)</f>
        <v>0</v>
      </c>
      <c r="L7" s="465"/>
    </row>
    <row r="8" spans="1:14" x14ac:dyDescent="0.2">
      <c r="A8" s="1503" t="s">
        <v>164</v>
      </c>
      <c r="B8" s="613">
        <v>1200</v>
      </c>
      <c r="C8" s="465">
        <v>2202718</v>
      </c>
      <c r="D8" s="465">
        <v>454195</v>
      </c>
      <c r="E8" s="465">
        <v>18018</v>
      </c>
      <c r="F8" s="465">
        <v>14019</v>
      </c>
      <c r="G8" s="465">
        <v>1495</v>
      </c>
      <c r="H8" s="465">
        <v>225</v>
      </c>
      <c r="I8" s="466">
        <v>3864</v>
      </c>
      <c r="J8" s="466"/>
      <c r="K8" s="1670">
        <f t="shared" si="0"/>
        <v>2694534</v>
      </c>
      <c r="L8" s="465">
        <v>2761952</v>
      </c>
    </row>
    <row r="9" spans="1:14" x14ac:dyDescent="0.2">
      <c r="A9" s="1503" t="s">
        <v>721</v>
      </c>
      <c r="B9" s="613" t="s">
        <v>968</v>
      </c>
      <c r="C9" s="466"/>
      <c r="D9" s="466"/>
      <c r="E9" s="466"/>
      <c r="F9" s="466"/>
      <c r="G9" s="466"/>
      <c r="H9" s="466"/>
      <c r="I9" s="466"/>
      <c r="J9" s="466"/>
      <c r="K9" s="1670">
        <f t="shared" si="0"/>
        <v>0</v>
      </c>
      <c r="L9" s="465"/>
    </row>
    <row r="10" spans="1:14" x14ac:dyDescent="0.2">
      <c r="A10" s="1503" t="s">
        <v>722</v>
      </c>
      <c r="B10" s="613">
        <v>1250</v>
      </c>
      <c r="C10" s="465">
        <v>52298</v>
      </c>
      <c r="D10" s="465">
        <v>603</v>
      </c>
      <c r="E10" s="465">
        <v>27173</v>
      </c>
      <c r="F10" s="465">
        <v>6986</v>
      </c>
      <c r="G10" s="465"/>
      <c r="H10" s="465"/>
      <c r="I10" s="466"/>
      <c r="J10" s="466"/>
      <c r="K10" s="1670">
        <f t="shared" si="0"/>
        <v>87060</v>
      </c>
      <c r="L10" s="465">
        <v>103010</v>
      </c>
    </row>
    <row r="11" spans="1:14" x14ac:dyDescent="0.2">
      <c r="A11" s="1503" t="s">
        <v>1130</v>
      </c>
      <c r="B11" s="613" t="s">
        <v>161</v>
      </c>
      <c r="C11" s="466"/>
      <c r="D11" s="466"/>
      <c r="E11" s="466"/>
      <c r="F11" s="466"/>
      <c r="G11" s="466"/>
      <c r="H11" s="466"/>
      <c r="I11" s="466"/>
      <c r="J11" s="466"/>
      <c r="K11" s="1670">
        <f t="shared" si="0"/>
        <v>0</v>
      </c>
      <c r="L11" s="465"/>
    </row>
    <row r="12" spans="1:14" x14ac:dyDescent="0.2">
      <c r="A12" s="1503" t="s">
        <v>962</v>
      </c>
      <c r="B12" s="613">
        <v>1300</v>
      </c>
      <c r="C12" s="465"/>
      <c r="D12" s="465"/>
      <c r="E12" s="465"/>
      <c r="F12" s="465"/>
      <c r="G12" s="465"/>
      <c r="H12" s="465"/>
      <c r="I12" s="466"/>
      <c r="J12" s="466"/>
      <c r="K12" s="1670">
        <f t="shared" si="0"/>
        <v>0</v>
      </c>
      <c r="L12" s="465"/>
    </row>
    <row r="13" spans="1:14" x14ac:dyDescent="0.2">
      <c r="A13" s="1503" t="s">
        <v>723</v>
      </c>
      <c r="B13" s="613">
        <v>1400</v>
      </c>
      <c r="C13" s="465">
        <v>244764</v>
      </c>
      <c r="D13" s="465"/>
      <c r="E13" s="465">
        <v>26336</v>
      </c>
      <c r="F13" s="465">
        <v>58560</v>
      </c>
      <c r="G13" s="465">
        <v>2225</v>
      </c>
      <c r="H13" s="465">
        <v>180</v>
      </c>
      <c r="I13" s="466">
        <v>1880</v>
      </c>
      <c r="J13" s="466"/>
      <c r="K13" s="1670">
        <f t="shared" si="0"/>
        <v>333945</v>
      </c>
      <c r="L13" s="465">
        <v>334833</v>
      </c>
    </row>
    <row r="14" spans="1:14" x14ac:dyDescent="0.2">
      <c r="A14" s="1503" t="s">
        <v>963</v>
      </c>
      <c r="B14" s="613">
        <v>1500</v>
      </c>
      <c r="C14" s="465">
        <v>775686</v>
      </c>
      <c r="D14" s="465">
        <v>9890</v>
      </c>
      <c r="E14" s="465">
        <v>56192</v>
      </c>
      <c r="F14" s="465">
        <v>41626</v>
      </c>
      <c r="G14" s="465"/>
      <c r="H14" s="465">
        <v>40304</v>
      </c>
      <c r="I14" s="466"/>
      <c r="J14" s="466"/>
      <c r="K14" s="1670">
        <f t="shared" si="0"/>
        <v>923698</v>
      </c>
      <c r="L14" s="465">
        <v>951035</v>
      </c>
    </row>
    <row r="15" spans="1:14" x14ac:dyDescent="0.2">
      <c r="A15" s="1503" t="s">
        <v>964</v>
      </c>
      <c r="B15" s="613">
        <v>1600</v>
      </c>
      <c r="C15" s="465">
        <v>131099</v>
      </c>
      <c r="D15" s="465"/>
      <c r="E15" s="465">
        <v>790</v>
      </c>
      <c r="F15" s="465">
        <v>12504</v>
      </c>
      <c r="G15" s="465"/>
      <c r="H15" s="465">
        <v>1750</v>
      </c>
      <c r="I15" s="466"/>
      <c r="J15" s="466"/>
      <c r="K15" s="1670">
        <f t="shared" si="0"/>
        <v>146143</v>
      </c>
      <c r="L15" s="465">
        <v>128331</v>
      </c>
    </row>
    <row r="16" spans="1:14" x14ac:dyDescent="0.2">
      <c r="A16" s="1503" t="s">
        <v>987</v>
      </c>
      <c r="B16" s="613" t="s">
        <v>424</v>
      </c>
      <c r="C16" s="465"/>
      <c r="D16" s="465"/>
      <c r="E16" s="465"/>
      <c r="F16" s="465"/>
      <c r="G16" s="465"/>
      <c r="H16" s="465"/>
      <c r="I16" s="466"/>
      <c r="J16" s="466"/>
      <c r="K16" s="1670">
        <f t="shared" si="0"/>
        <v>0</v>
      </c>
      <c r="L16" s="465"/>
    </row>
    <row r="17" spans="1:12" x14ac:dyDescent="0.2">
      <c r="A17" s="1503" t="s">
        <v>724</v>
      </c>
      <c r="B17" s="613" t="s">
        <v>162</v>
      </c>
      <c r="C17" s="466">
        <v>56827</v>
      </c>
      <c r="D17" s="466"/>
      <c r="E17" s="466">
        <v>2343</v>
      </c>
      <c r="F17" s="466">
        <v>35</v>
      </c>
      <c r="G17" s="466"/>
      <c r="H17" s="466"/>
      <c r="I17" s="466"/>
      <c r="J17" s="466"/>
      <c r="K17" s="1670">
        <f t="shared" si="0"/>
        <v>59205</v>
      </c>
      <c r="L17" s="465">
        <v>70239</v>
      </c>
    </row>
    <row r="18" spans="1:12" x14ac:dyDescent="0.2">
      <c r="A18" s="1503" t="s">
        <v>1087</v>
      </c>
      <c r="B18" s="613">
        <v>1800</v>
      </c>
      <c r="C18" s="465">
        <v>82855</v>
      </c>
      <c r="D18" s="465"/>
      <c r="E18" s="465"/>
      <c r="F18" s="465">
        <v>1314</v>
      </c>
      <c r="G18" s="465"/>
      <c r="H18" s="465"/>
      <c r="I18" s="466"/>
      <c r="J18" s="466"/>
      <c r="K18" s="1670">
        <f t="shared" si="0"/>
        <v>84169</v>
      </c>
      <c r="L18" s="465">
        <v>85081</v>
      </c>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738</v>
      </c>
      <c r="B20" s="601" t="s">
        <v>725</v>
      </c>
      <c r="C20" s="476"/>
      <c r="D20" s="476"/>
      <c r="E20" s="476"/>
      <c r="F20" s="476"/>
      <c r="G20" s="476"/>
      <c r="H20" s="473"/>
      <c r="I20" s="615"/>
      <c r="J20" s="474"/>
      <c r="K20" s="1670">
        <f t="shared" si="0"/>
        <v>0</v>
      </c>
      <c r="L20" s="470"/>
    </row>
    <row r="21" spans="1:12" x14ac:dyDescent="0.2">
      <c r="A21" s="1504" t="s">
        <v>739</v>
      </c>
      <c r="B21" s="601" t="s">
        <v>726</v>
      </c>
      <c r="C21" s="476"/>
      <c r="D21" s="476"/>
      <c r="E21" s="476"/>
      <c r="F21" s="476"/>
      <c r="G21" s="476"/>
      <c r="H21" s="473"/>
      <c r="I21" s="615"/>
      <c r="J21" s="476"/>
      <c r="K21" s="1670">
        <f t="shared" si="0"/>
        <v>0</v>
      </c>
      <c r="L21" s="470"/>
    </row>
    <row r="22" spans="1:12" x14ac:dyDescent="0.2">
      <c r="A22" s="1504" t="s">
        <v>740</v>
      </c>
      <c r="B22" s="601" t="s">
        <v>727</v>
      </c>
      <c r="C22" s="476"/>
      <c r="D22" s="476"/>
      <c r="E22" s="476"/>
      <c r="F22" s="476"/>
      <c r="G22" s="476"/>
      <c r="H22" s="473">
        <v>1338736</v>
      </c>
      <c r="I22" s="615"/>
      <c r="J22" s="476"/>
      <c r="K22" s="1670">
        <f t="shared" si="0"/>
        <v>1338736</v>
      </c>
      <c r="L22" s="470">
        <v>1322967</v>
      </c>
    </row>
    <row r="23" spans="1:12" x14ac:dyDescent="0.2">
      <c r="A23" s="1504" t="s">
        <v>741</v>
      </c>
      <c r="B23" s="601" t="s">
        <v>728</v>
      </c>
      <c r="C23" s="476"/>
      <c r="D23" s="476"/>
      <c r="E23" s="476"/>
      <c r="F23" s="476"/>
      <c r="G23" s="476"/>
      <c r="H23" s="473"/>
      <c r="I23" s="615"/>
      <c r="J23" s="476"/>
      <c r="K23" s="1670">
        <f t="shared" si="0"/>
        <v>0</v>
      </c>
      <c r="L23" s="470"/>
    </row>
    <row r="24" spans="1:12" ht="12.75" customHeight="1" x14ac:dyDescent="0.2">
      <c r="A24" s="1504" t="s">
        <v>742</v>
      </c>
      <c r="B24" s="601" t="s">
        <v>729</v>
      </c>
      <c r="C24" s="476"/>
      <c r="D24" s="476"/>
      <c r="E24" s="476"/>
      <c r="F24" s="476"/>
      <c r="G24" s="476"/>
      <c r="H24" s="473"/>
      <c r="I24" s="615"/>
      <c r="J24" s="476"/>
      <c r="K24" s="1670">
        <f t="shared" si="0"/>
        <v>0</v>
      </c>
      <c r="L24" s="470"/>
    </row>
    <row r="25" spans="1:12" ht="12.75" customHeight="1" x14ac:dyDescent="0.2">
      <c r="A25" s="1504" t="s">
        <v>802</v>
      </c>
      <c r="B25" s="601" t="s">
        <v>730</v>
      </c>
      <c r="C25" s="476"/>
      <c r="D25" s="476"/>
      <c r="E25" s="476"/>
      <c r="F25" s="476"/>
      <c r="G25" s="476"/>
      <c r="H25" s="473"/>
      <c r="I25" s="615"/>
      <c r="J25" s="476"/>
      <c r="K25" s="1670">
        <f t="shared" si="0"/>
        <v>0</v>
      </c>
      <c r="L25" s="470"/>
    </row>
    <row r="26" spans="1:12" x14ac:dyDescent="0.2">
      <c r="A26" s="1504" t="s">
        <v>622</v>
      </c>
      <c r="B26" s="601" t="s">
        <v>731</v>
      </c>
      <c r="C26" s="476"/>
      <c r="D26" s="476"/>
      <c r="E26" s="476"/>
      <c r="F26" s="476"/>
      <c r="G26" s="476"/>
      <c r="H26" s="473"/>
      <c r="I26" s="615"/>
      <c r="J26" s="476"/>
      <c r="K26" s="1670">
        <f t="shared" si="0"/>
        <v>0</v>
      </c>
      <c r="L26" s="470"/>
    </row>
    <row r="27" spans="1:12" x14ac:dyDescent="0.2">
      <c r="A27" s="1504" t="s">
        <v>623</v>
      </c>
      <c r="B27" s="601" t="s">
        <v>732</v>
      </c>
      <c r="C27" s="476"/>
      <c r="D27" s="476"/>
      <c r="E27" s="476"/>
      <c r="F27" s="476"/>
      <c r="G27" s="476"/>
      <c r="H27" s="473"/>
      <c r="I27" s="615"/>
      <c r="J27" s="476"/>
      <c r="K27" s="1670">
        <f t="shared" si="0"/>
        <v>0</v>
      </c>
      <c r="L27" s="470"/>
    </row>
    <row r="28" spans="1:12" x14ac:dyDescent="0.2">
      <c r="A28" s="1504" t="s">
        <v>150</v>
      </c>
      <c r="B28" s="601" t="s">
        <v>733</v>
      </c>
      <c r="C28" s="476"/>
      <c r="D28" s="476"/>
      <c r="E28" s="476"/>
      <c r="F28" s="476"/>
      <c r="G28" s="476"/>
      <c r="H28" s="473"/>
      <c r="I28" s="615"/>
      <c r="J28" s="476"/>
      <c r="K28" s="1670">
        <f t="shared" si="0"/>
        <v>0</v>
      </c>
      <c r="L28" s="470"/>
    </row>
    <row r="29" spans="1:12" x14ac:dyDescent="0.2">
      <c r="A29" s="1504" t="s">
        <v>151</v>
      </c>
      <c r="B29" s="601" t="s">
        <v>734</v>
      </c>
      <c r="C29" s="476"/>
      <c r="D29" s="476"/>
      <c r="E29" s="476"/>
      <c r="F29" s="476"/>
      <c r="G29" s="476"/>
      <c r="H29" s="473"/>
      <c r="I29" s="615"/>
      <c r="J29" s="476"/>
      <c r="K29" s="1670">
        <f t="shared" si="0"/>
        <v>0</v>
      </c>
      <c r="L29" s="470"/>
    </row>
    <row r="30" spans="1:12" x14ac:dyDescent="0.2">
      <c r="A30" s="1504" t="s">
        <v>152</v>
      </c>
      <c r="B30" s="601" t="s">
        <v>735</v>
      </c>
      <c r="C30" s="476"/>
      <c r="D30" s="476"/>
      <c r="E30" s="476"/>
      <c r="F30" s="476"/>
      <c r="G30" s="476"/>
      <c r="H30" s="473"/>
      <c r="I30" s="615"/>
      <c r="J30" s="476"/>
      <c r="K30" s="1670">
        <f t="shared" si="0"/>
        <v>0</v>
      </c>
      <c r="L30" s="470"/>
    </row>
    <row r="31" spans="1:12" x14ac:dyDescent="0.2">
      <c r="A31" s="1504" t="s">
        <v>153</v>
      </c>
      <c r="B31" s="601" t="s">
        <v>736</v>
      </c>
      <c r="C31" s="476"/>
      <c r="D31" s="476"/>
      <c r="E31" s="476"/>
      <c r="F31" s="476"/>
      <c r="G31" s="476"/>
      <c r="H31" s="473"/>
      <c r="I31" s="615"/>
      <c r="J31" s="476"/>
      <c r="K31" s="1670">
        <f t="shared" si="0"/>
        <v>0</v>
      </c>
      <c r="L31" s="470"/>
    </row>
    <row r="32" spans="1:12" x14ac:dyDescent="0.2">
      <c r="A32" s="1505" t="s">
        <v>1129</v>
      </c>
      <c r="B32" s="613" t="s">
        <v>737</v>
      </c>
      <c r="C32" s="476"/>
      <c r="D32" s="476"/>
      <c r="E32" s="476"/>
      <c r="F32" s="476"/>
      <c r="G32" s="476"/>
      <c r="H32" s="473"/>
      <c r="I32" s="615"/>
      <c r="J32" s="479"/>
      <c r="K32" s="1670">
        <f t="shared" si="0"/>
        <v>0</v>
      </c>
      <c r="L32" s="470"/>
    </row>
    <row r="33" spans="1:14" ht="12.75" customHeight="1" thickBot="1" x14ac:dyDescent="0.25">
      <c r="A33" s="1667" t="s">
        <v>1668</v>
      </c>
      <c r="B33" s="1668" t="s">
        <v>570</v>
      </c>
      <c r="C33" s="1669">
        <f>SUM(C5:C32)</f>
        <v>12017217</v>
      </c>
      <c r="D33" s="1669">
        <f t="shared" ref="D33:L33" si="1">SUM(D5:D32)</f>
        <v>2322950</v>
      </c>
      <c r="E33" s="1669">
        <f t="shared" si="1"/>
        <v>237217</v>
      </c>
      <c r="F33" s="1669">
        <f t="shared" si="1"/>
        <v>465798</v>
      </c>
      <c r="G33" s="1669">
        <f t="shared" si="1"/>
        <v>16862</v>
      </c>
      <c r="H33" s="1669">
        <f t="shared" si="1"/>
        <v>1390354</v>
      </c>
      <c r="I33" s="1669">
        <f t="shared" si="1"/>
        <v>5634</v>
      </c>
      <c r="J33" s="1669">
        <f t="shared" si="1"/>
        <v>0</v>
      </c>
      <c r="K33" s="1669">
        <f t="shared" si="1"/>
        <v>16456032</v>
      </c>
      <c r="L33" s="1669">
        <f t="shared" si="1"/>
        <v>16674406</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693184</v>
      </c>
      <c r="D36" s="480">
        <v>34741</v>
      </c>
      <c r="E36" s="480">
        <v>13523</v>
      </c>
      <c r="F36" s="480">
        <v>3840</v>
      </c>
      <c r="G36" s="480"/>
      <c r="H36" s="480">
        <v>400</v>
      </c>
      <c r="I36" s="466"/>
      <c r="J36" s="466"/>
      <c r="K36" s="1670">
        <f t="shared" ref="K36:K41" si="2">SUM(C36:J36)</f>
        <v>745688</v>
      </c>
      <c r="L36" s="465">
        <v>770500</v>
      </c>
    </row>
    <row r="37" spans="1:14" x14ac:dyDescent="0.2">
      <c r="A37" s="1503" t="s">
        <v>1090</v>
      </c>
      <c r="B37" s="613">
        <v>2120</v>
      </c>
      <c r="C37" s="465">
        <v>755122</v>
      </c>
      <c r="D37" s="465">
        <v>13558</v>
      </c>
      <c r="E37" s="465"/>
      <c r="F37" s="465">
        <v>3353</v>
      </c>
      <c r="G37" s="465"/>
      <c r="H37" s="465"/>
      <c r="I37" s="466"/>
      <c r="J37" s="466"/>
      <c r="K37" s="1670">
        <f t="shared" si="2"/>
        <v>772033</v>
      </c>
      <c r="L37" s="465">
        <v>775043</v>
      </c>
    </row>
    <row r="38" spans="1:14" x14ac:dyDescent="0.2">
      <c r="A38" s="1503" t="s">
        <v>198</v>
      </c>
      <c r="B38" s="613">
        <v>2130</v>
      </c>
      <c r="C38" s="465">
        <v>74813</v>
      </c>
      <c r="D38" s="465"/>
      <c r="E38" s="465">
        <v>315</v>
      </c>
      <c r="F38" s="465">
        <v>1942</v>
      </c>
      <c r="G38" s="465"/>
      <c r="H38" s="465">
        <v>146</v>
      </c>
      <c r="I38" s="466"/>
      <c r="J38" s="466"/>
      <c r="K38" s="1670">
        <f t="shared" si="2"/>
        <v>77216</v>
      </c>
      <c r="L38" s="465">
        <v>78945</v>
      </c>
    </row>
    <row r="39" spans="1:14" x14ac:dyDescent="0.2">
      <c r="A39" s="1503" t="s">
        <v>199</v>
      </c>
      <c r="B39" s="613">
        <v>2140</v>
      </c>
      <c r="C39" s="465"/>
      <c r="D39" s="465"/>
      <c r="E39" s="465"/>
      <c r="F39" s="465"/>
      <c r="G39" s="465"/>
      <c r="H39" s="465"/>
      <c r="I39" s="466"/>
      <c r="J39" s="466"/>
      <c r="K39" s="1670">
        <f t="shared" si="2"/>
        <v>0</v>
      </c>
      <c r="L39" s="465"/>
    </row>
    <row r="40" spans="1:14" x14ac:dyDescent="0.2">
      <c r="A40" s="1503" t="s">
        <v>200</v>
      </c>
      <c r="B40" s="613">
        <v>2150</v>
      </c>
      <c r="C40" s="465"/>
      <c r="D40" s="465"/>
      <c r="E40" s="465"/>
      <c r="F40" s="465"/>
      <c r="G40" s="465"/>
      <c r="H40" s="465"/>
      <c r="I40" s="466"/>
      <c r="J40" s="466"/>
      <c r="K40" s="1670">
        <f t="shared" si="2"/>
        <v>0</v>
      </c>
      <c r="L40" s="465"/>
    </row>
    <row r="41" spans="1:14" x14ac:dyDescent="0.2">
      <c r="A41" s="1503" t="s">
        <v>1669</v>
      </c>
      <c r="B41" s="613">
        <v>2190</v>
      </c>
      <c r="C41" s="465"/>
      <c r="D41" s="465"/>
      <c r="E41" s="465"/>
      <c r="F41" s="465"/>
      <c r="G41" s="465"/>
      <c r="H41" s="465"/>
      <c r="I41" s="466"/>
      <c r="J41" s="466"/>
      <c r="K41" s="1670">
        <f t="shared" si="2"/>
        <v>0</v>
      </c>
      <c r="L41" s="465"/>
    </row>
    <row r="42" spans="1:14" ht="12.75" customHeight="1" thickBot="1" x14ac:dyDescent="0.25">
      <c r="A42" s="1667" t="s">
        <v>560</v>
      </c>
      <c r="B42" s="1668" t="s">
        <v>716</v>
      </c>
      <c r="C42" s="1669">
        <f>SUM(C36:C41)</f>
        <v>1523119</v>
      </c>
      <c r="D42" s="1669">
        <f t="shared" ref="D42:L42" si="3">SUM(D36:D41)</f>
        <v>48299</v>
      </c>
      <c r="E42" s="1669">
        <f t="shared" si="3"/>
        <v>13838</v>
      </c>
      <c r="F42" s="1669">
        <f t="shared" si="3"/>
        <v>9135</v>
      </c>
      <c r="G42" s="1669">
        <f t="shared" si="3"/>
        <v>0</v>
      </c>
      <c r="H42" s="1669">
        <f t="shared" si="3"/>
        <v>546</v>
      </c>
      <c r="I42" s="1669">
        <f t="shared" si="3"/>
        <v>0</v>
      </c>
      <c r="J42" s="1669">
        <f t="shared" si="3"/>
        <v>0</v>
      </c>
      <c r="K42" s="1669">
        <f t="shared" si="3"/>
        <v>1594937</v>
      </c>
      <c r="L42" s="1669">
        <f t="shared" si="3"/>
        <v>1624488</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v>136468</v>
      </c>
      <c r="D44" s="480">
        <v>11147</v>
      </c>
      <c r="E44" s="480">
        <v>46490</v>
      </c>
      <c r="F44" s="480">
        <v>2742</v>
      </c>
      <c r="G44" s="480"/>
      <c r="H44" s="480">
        <v>941</v>
      </c>
      <c r="I44" s="466"/>
      <c r="J44" s="466"/>
      <c r="K44" s="1671">
        <f>SUM(C44:J44)</f>
        <v>197788</v>
      </c>
      <c r="L44" s="480">
        <v>221499</v>
      </c>
    </row>
    <row r="45" spans="1:14" x14ac:dyDescent="0.2">
      <c r="A45" s="1503" t="s">
        <v>815</v>
      </c>
      <c r="B45" s="613">
        <v>2220</v>
      </c>
      <c r="C45" s="465">
        <v>243851</v>
      </c>
      <c r="D45" s="465"/>
      <c r="E45" s="465">
        <v>7101</v>
      </c>
      <c r="F45" s="465">
        <v>41884</v>
      </c>
      <c r="G45" s="465">
        <v>2796</v>
      </c>
      <c r="H45" s="465">
        <v>3147</v>
      </c>
      <c r="I45" s="466">
        <v>13276</v>
      </c>
      <c r="J45" s="466"/>
      <c r="K45" s="1671">
        <f>SUM(C45:J45)</f>
        <v>312055</v>
      </c>
      <c r="L45" s="465">
        <v>325886</v>
      </c>
    </row>
    <row r="46" spans="1:14" x14ac:dyDescent="0.2">
      <c r="A46" s="1503" t="s">
        <v>816</v>
      </c>
      <c r="B46" s="613">
        <v>2230</v>
      </c>
      <c r="C46" s="465"/>
      <c r="D46" s="465"/>
      <c r="E46" s="465"/>
      <c r="F46" s="465"/>
      <c r="G46" s="465"/>
      <c r="H46" s="465"/>
      <c r="I46" s="466"/>
      <c r="J46" s="466"/>
      <c r="K46" s="1671">
        <f>SUM(C46:J46)</f>
        <v>0</v>
      </c>
      <c r="L46" s="465"/>
    </row>
    <row r="47" spans="1:14" ht="12.75" customHeight="1" thickBot="1" x14ac:dyDescent="0.25">
      <c r="A47" s="1667" t="s">
        <v>561</v>
      </c>
      <c r="B47" s="1668" t="s">
        <v>32</v>
      </c>
      <c r="C47" s="1669">
        <f>SUM(C44:C46)</f>
        <v>380319</v>
      </c>
      <c r="D47" s="1669">
        <f t="shared" ref="D47:K47" si="4">SUM(D44:D46)</f>
        <v>11147</v>
      </c>
      <c r="E47" s="1669">
        <f t="shared" si="4"/>
        <v>53591</v>
      </c>
      <c r="F47" s="1669">
        <f t="shared" si="4"/>
        <v>44626</v>
      </c>
      <c r="G47" s="1669">
        <f t="shared" si="4"/>
        <v>2796</v>
      </c>
      <c r="H47" s="1669">
        <f t="shared" si="4"/>
        <v>4088</v>
      </c>
      <c r="I47" s="1669">
        <f t="shared" si="4"/>
        <v>13276</v>
      </c>
      <c r="J47" s="1669">
        <f t="shared" si="4"/>
        <v>0</v>
      </c>
      <c r="K47" s="1669">
        <f t="shared" si="4"/>
        <v>509843</v>
      </c>
      <c r="L47" s="1669">
        <f>SUM(L44:L46)</f>
        <v>547385</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v>16385</v>
      </c>
      <c r="D49" s="480">
        <v>10000</v>
      </c>
      <c r="E49" s="480">
        <v>201365</v>
      </c>
      <c r="F49" s="480">
        <v>7113</v>
      </c>
      <c r="G49" s="480"/>
      <c r="H49" s="480">
        <v>8105</v>
      </c>
      <c r="I49" s="466"/>
      <c r="J49" s="466"/>
      <c r="K49" s="1671">
        <f>SUM(C49:J49)</f>
        <v>242968</v>
      </c>
      <c r="L49" s="480">
        <v>280350</v>
      </c>
    </row>
    <row r="50" spans="1:14" x14ac:dyDescent="0.2">
      <c r="A50" s="1503" t="s">
        <v>818</v>
      </c>
      <c r="B50" s="613">
        <v>2320</v>
      </c>
      <c r="C50" s="465">
        <v>312896</v>
      </c>
      <c r="D50" s="465">
        <v>55660</v>
      </c>
      <c r="E50" s="465">
        <v>1788</v>
      </c>
      <c r="F50" s="465">
        <v>4180</v>
      </c>
      <c r="G50" s="465"/>
      <c r="H50" s="465">
        <v>3703</v>
      </c>
      <c r="I50" s="466"/>
      <c r="J50" s="466"/>
      <c r="K50" s="1671">
        <f>SUM(C50:J50)</f>
        <v>378227</v>
      </c>
      <c r="L50" s="465">
        <v>383848</v>
      </c>
    </row>
    <row r="51" spans="1:14" x14ac:dyDescent="0.2">
      <c r="A51" s="1503" t="s">
        <v>42</v>
      </c>
      <c r="B51" s="613">
        <v>2330</v>
      </c>
      <c r="C51" s="465"/>
      <c r="D51" s="465"/>
      <c r="E51" s="465"/>
      <c r="F51" s="465"/>
      <c r="G51" s="465"/>
      <c r="H51" s="465"/>
      <c r="I51" s="466"/>
      <c r="J51" s="466"/>
      <c r="K51" s="1671">
        <f>SUM(C51:J51)</f>
        <v>0</v>
      </c>
      <c r="L51" s="465"/>
    </row>
    <row r="52" spans="1:14" ht="22.5" x14ac:dyDescent="0.2">
      <c r="A52" s="1504" t="s">
        <v>298</v>
      </c>
      <c r="B52" s="626" t="s">
        <v>366</v>
      </c>
      <c r="C52" s="473"/>
      <c r="D52" s="473"/>
      <c r="E52" s="473"/>
      <c r="F52" s="473"/>
      <c r="G52" s="473"/>
      <c r="H52" s="473"/>
      <c r="I52" s="473"/>
      <c r="J52" s="473"/>
      <c r="K52" s="1671">
        <f>SUM(C52:J52)</f>
        <v>0</v>
      </c>
      <c r="L52" s="473"/>
    </row>
    <row r="53" spans="1:14" ht="12.75" customHeight="1" thickBot="1" x14ac:dyDescent="0.25">
      <c r="A53" s="1667" t="s">
        <v>717</v>
      </c>
      <c r="B53" s="1668" t="s">
        <v>33</v>
      </c>
      <c r="C53" s="1669">
        <f>SUM(C49:C52)</f>
        <v>329281</v>
      </c>
      <c r="D53" s="1669">
        <f t="shared" ref="D53:L53" si="5">SUM(D49:D52)</f>
        <v>65660</v>
      </c>
      <c r="E53" s="1669">
        <f t="shared" si="5"/>
        <v>203153</v>
      </c>
      <c r="F53" s="1669">
        <f t="shared" si="5"/>
        <v>11293</v>
      </c>
      <c r="G53" s="1669">
        <f t="shared" si="5"/>
        <v>0</v>
      </c>
      <c r="H53" s="1669">
        <f t="shared" si="5"/>
        <v>11808</v>
      </c>
      <c r="I53" s="1669">
        <f t="shared" si="5"/>
        <v>0</v>
      </c>
      <c r="J53" s="1669">
        <f t="shared" si="5"/>
        <v>0</v>
      </c>
      <c r="K53" s="1669">
        <f t="shared" si="5"/>
        <v>621195</v>
      </c>
      <c r="L53" s="1669">
        <f t="shared" si="5"/>
        <v>664198</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257203</v>
      </c>
      <c r="D55" s="480">
        <v>13995</v>
      </c>
      <c r="E55" s="480">
        <v>1326</v>
      </c>
      <c r="F55" s="480">
        <v>23040</v>
      </c>
      <c r="G55" s="480"/>
      <c r="H55" s="480">
        <v>1503</v>
      </c>
      <c r="I55" s="466"/>
      <c r="J55" s="466"/>
      <c r="K55" s="1671">
        <f>SUM(C55:J55)</f>
        <v>297067</v>
      </c>
      <c r="L55" s="480">
        <v>304181</v>
      </c>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257203</v>
      </c>
      <c r="D57" s="1673">
        <f t="shared" ref="D57:K57" si="6">SUM(D55:D56)</f>
        <v>13995</v>
      </c>
      <c r="E57" s="1673">
        <f t="shared" si="6"/>
        <v>1326</v>
      </c>
      <c r="F57" s="1673">
        <f t="shared" si="6"/>
        <v>23040</v>
      </c>
      <c r="G57" s="1673">
        <f t="shared" si="6"/>
        <v>0</v>
      </c>
      <c r="H57" s="1673">
        <f t="shared" si="6"/>
        <v>1503</v>
      </c>
      <c r="I57" s="1673">
        <f t="shared" si="6"/>
        <v>0</v>
      </c>
      <c r="J57" s="1673">
        <f t="shared" si="6"/>
        <v>0</v>
      </c>
      <c r="K57" s="1673">
        <f t="shared" si="6"/>
        <v>297067</v>
      </c>
      <c r="L57" s="1669">
        <f>SUM(L55:L56)</f>
        <v>304181</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v>93000</v>
      </c>
      <c r="D59" s="480">
        <v>9198</v>
      </c>
      <c r="E59" s="480">
        <v>15576</v>
      </c>
      <c r="F59" s="480">
        <v>-5</v>
      </c>
      <c r="G59" s="480"/>
      <c r="H59" s="480">
        <v>956</v>
      </c>
      <c r="I59" s="466"/>
      <c r="J59" s="466"/>
      <c r="K59" s="1671">
        <f t="shared" ref="K59:K64" si="7">SUM(C59:J59)</f>
        <v>118725</v>
      </c>
      <c r="L59" s="480">
        <v>118747</v>
      </c>
      <c r="M59" s="608"/>
      <c r="N59" s="608"/>
    </row>
    <row r="60" spans="1:14" s="342" customFormat="1" x14ac:dyDescent="0.2">
      <c r="A60" s="1503" t="s">
        <v>463</v>
      </c>
      <c r="B60" s="613">
        <v>2520</v>
      </c>
      <c r="C60" s="465">
        <v>179389</v>
      </c>
      <c r="D60" s="465"/>
      <c r="E60" s="465">
        <v>26828</v>
      </c>
      <c r="F60" s="465">
        <v>2044</v>
      </c>
      <c r="G60" s="465"/>
      <c r="H60" s="465">
        <v>275</v>
      </c>
      <c r="I60" s="466"/>
      <c r="J60" s="466"/>
      <c r="K60" s="1671">
        <f t="shared" si="7"/>
        <v>208536</v>
      </c>
      <c r="L60" s="465">
        <v>205420</v>
      </c>
      <c r="M60" s="608"/>
      <c r="N60" s="608"/>
    </row>
    <row r="61" spans="1:14" s="342" customFormat="1" x14ac:dyDescent="0.2">
      <c r="A61" s="1503" t="s">
        <v>197</v>
      </c>
      <c r="B61" s="613">
        <v>2540</v>
      </c>
      <c r="C61" s="465"/>
      <c r="D61" s="465"/>
      <c r="E61" s="465"/>
      <c r="F61" s="465"/>
      <c r="G61" s="465"/>
      <c r="H61" s="465"/>
      <c r="I61" s="466"/>
      <c r="J61" s="466"/>
      <c r="K61" s="1671">
        <f t="shared" si="7"/>
        <v>0</v>
      </c>
      <c r="L61" s="465"/>
      <c r="M61" s="608"/>
      <c r="N61" s="608"/>
    </row>
    <row r="62" spans="1:14" s="342" customFormat="1" x14ac:dyDescent="0.2">
      <c r="A62" s="1503" t="s">
        <v>953</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c r="D63" s="465"/>
      <c r="E63" s="465">
        <v>336055</v>
      </c>
      <c r="F63" s="465">
        <v>100</v>
      </c>
      <c r="G63" s="465">
        <v>3610</v>
      </c>
      <c r="H63" s="465"/>
      <c r="I63" s="466"/>
      <c r="J63" s="466"/>
      <c r="K63" s="1671">
        <f t="shared" si="7"/>
        <v>339765</v>
      </c>
      <c r="L63" s="465">
        <v>412000</v>
      </c>
    </row>
    <row r="64" spans="1:14" s="608" customFormat="1" x14ac:dyDescent="0.2">
      <c r="A64" s="1508" t="s">
        <v>101</v>
      </c>
      <c r="B64" s="629">
        <v>2570</v>
      </c>
      <c r="C64" s="480"/>
      <c r="D64" s="480"/>
      <c r="E64" s="480"/>
      <c r="F64" s="480"/>
      <c r="G64" s="480"/>
      <c r="H64" s="480"/>
      <c r="I64" s="466"/>
      <c r="J64" s="466"/>
      <c r="K64" s="1671">
        <f t="shared" si="7"/>
        <v>0</v>
      </c>
      <c r="L64" s="480"/>
    </row>
    <row r="65" spans="1:14" s="342" customFormat="1" ht="12.75" customHeight="1" thickBot="1" x14ac:dyDescent="0.25">
      <c r="A65" s="1667" t="s">
        <v>719</v>
      </c>
      <c r="B65" s="1668" t="s">
        <v>35</v>
      </c>
      <c r="C65" s="1669">
        <f>SUM(C59:C64)</f>
        <v>272389</v>
      </c>
      <c r="D65" s="1669">
        <f t="shared" ref="D65:L65" si="8">SUM(D59:D64)</f>
        <v>9198</v>
      </c>
      <c r="E65" s="1669">
        <f t="shared" si="8"/>
        <v>378459</v>
      </c>
      <c r="F65" s="1669">
        <f t="shared" si="8"/>
        <v>2139</v>
      </c>
      <c r="G65" s="1669">
        <f t="shared" si="8"/>
        <v>3610</v>
      </c>
      <c r="H65" s="1669">
        <f t="shared" si="8"/>
        <v>1231</v>
      </c>
      <c r="I65" s="1669">
        <f t="shared" si="8"/>
        <v>0</v>
      </c>
      <c r="J65" s="1669">
        <f t="shared" si="8"/>
        <v>0</v>
      </c>
      <c r="K65" s="1669">
        <f t="shared" si="8"/>
        <v>667026</v>
      </c>
      <c r="L65" s="1669">
        <f t="shared" si="8"/>
        <v>736167</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c r="M67" s="608"/>
      <c r="N67" s="608"/>
    </row>
    <row r="68" spans="1:14" s="342" customFormat="1" x14ac:dyDescent="0.2">
      <c r="A68" s="1503" t="s">
        <v>607</v>
      </c>
      <c r="B68" s="613">
        <v>2620</v>
      </c>
      <c r="C68" s="465"/>
      <c r="D68" s="465"/>
      <c r="E68" s="465">
        <v>34728</v>
      </c>
      <c r="F68" s="465"/>
      <c r="G68" s="465"/>
      <c r="H68" s="465"/>
      <c r="I68" s="466"/>
      <c r="J68" s="466"/>
      <c r="K68" s="1671">
        <f>SUM(C68:J68)</f>
        <v>34728</v>
      </c>
      <c r="L68" s="465">
        <v>35129</v>
      </c>
      <c r="M68" s="608"/>
      <c r="N68" s="608"/>
    </row>
    <row r="69" spans="1:14" s="342" customFormat="1" x14ac:dyDescent="0.2">
      <c r="A69" s="1503" t="s">
        <v>1061</v>
      </c>
      <c r="B69" s="613">
        <v>2630</v>
      </c>
      <c r="C69" s="465">
        <v>192038</v>
      </c>
      <c r="D69" s="465">
        <v>5093</v>
      </c>
      <c r="E69" s="465">
        <v>68422</v>
      </c>
      <c r="F69" s="465">
        <v>163573</v>
      </c>
      <c r="G69" s="465">
        <v>23270</v>
      </c>
      <c r="H69" s="465">
        <v>154</v>
      </c>
      <c r="I69" s="466">
        <v>203321</v>
      </c>
      <c r="J69" s="466"/>
      <c r="K69" s="1671">
        <f>SUM(C69:J69)</f>
        <v>655871</v>
      </c>
      <c r="L69" s="465">
        <v>670119</v>
      </c>
      <c r="M69" s="608"/>
      <c r="N69" s="608"/>
    </row>
    <row r="70" spans="1:14" s="342" customFormat="1" x14ac:dyDescent="0.2">
      <c r="A70" s="1503" t="s">
        <v>403</v>
      </c>
      <c r="B70" s="613">
        <v>2640</v>
      </c>
      <c r="C70" s="465"/>
      <c r="D70" s="465"/>
      <c r="E70" s="465"/>
      <c r="F70" s="465"/>
      <c r="G70" s="465"/>
      <c r="H70" s="465"/>
      <c r="I70" s="466"/>
      <c r="J70" s="466"/>
      <c r="K70" s="1671">
        <f>SUM(C70:J70)</f>
        <v>0</v>
      </c>
      <c r="L70" s="465"/>
      <c r="M70" s="608"/>
      <c r="N70" s="608"/>
    </row>
    <row r="71" spans="1:14" s="342" customFormat="1" x14ac:dyDescent="0.2">
      <c r="A71" s="1503" t="s">
        <v>404</v>
      </c>
      <c r="B71" s="613">
        <v>2660</v>
      </c>
      <c r="C71" s="465">
        <v>75194</v>
      </c>
      <c r="D71" s="465"/>
      <c r="E71" s="465">
        <v>15274</v>
      </c>
      <c r="F71" s="465">
        <v>374</v>
      </c>
      <c r="G71" s="465"/>
      <c r="H71" s="465"/>
      <c r="I71" s="466"/>
      <c r="J71" s="466"/>
      <c r="K71" s="1671">
        <f>SUM(C71:J71)</f>
        <v>90842</v>
      </c>
      <c r="L71" s="465">
        <v>93466</v>
      </c>
      <c r="M71" s="608"/>
      <c r="N71" s="608"/>
    </row>
    <row r="72" spans="1:14" s="342" customFormat="1" ht="12.75" customHeight="1" thickBot="1" x14ac:dyDescent="0.25">
      <c r="A72" s="1667" t="s">
        <v>37</v>
      </c>
      <c r="B72" s="1674" t="s">
        <v>36</v>
      </c>
      <c r="C72" s="1669">
        <f>SUM(C67:C71)</f>
        <v>267232</v>
      </c>
      <c r="D72" s="1669">
        <f t="shared" ref="D72:K72" si="9">SUM(D67:D71)</f>
        <v>5093</v>
      </c>
      <c r="E72" s="1669">
        <f t="shared" si="9"/>
        <v>118424</v>
      </c>
      <c r="F72" s="1669">
        <f t="shared" si="9"/>
        <v>163947</v>
      </c>
      <c r="G72" s="1669">
        <f t="shared" si="9"/>
        <v>23270</v>
      </c>
      <c r="H72" s="1669">
        <f t="shared" si="9"/>
        <v>154</v>
      </c>
      <c r="I72" s="1669">
        <f t="shared" si="9"/>
        <v>203321</v>
      </c>
      <c r="J72" s="1669">
        <f t="shared" si="9"/>
        <v>0</v>
      </c>
      <c r="K72" s="1669">
        <f t="shared" si="9"/>
        <v>781441</v>
      </c>
      <c r="L72" s="1669">
        <f>SUM(L67:L71)</f>
        <v>798714</v>
      </c>
      <c r="M72" s="608"/>
      <c r="N72" s="608"/>
    </row>
    <row r="73" spans="1:14" s="342" customFormat="1" ht="14.25" thickTop="1" thickBot="1" x14ac:dyDescent="0.25">
      <c r="A73" s="1509" t="s">
        <v>980</v>
      </c>
      <c r="B73" s="631" t="s">
        <v>574</v>
      </c>
      <c r="C73" s="572"/>
      <c r="D73" s="572"/>
      <c r="E73" s="572"/>
      <c r="F73" s="572"/>
      <c r="G73" s="572"/>
      <c r="H73" s="572"/>
      <c r="I73" s="530"/>
      <c r="J73" s="530"/>
      <c r="K73" s="1669">
        <f>SUM(C73:J73)</f>
        <v>0</v>
      </c>
      <c r="L73" s="575"/>
      <c r="M73" s="608"/>
      <c r="N73" s="608"/>
    </row>
    <row r="74" spans="1:14" ht="12.75" customHeight="1" thickTop="1" thickBot="1" x14ac:dyDescent="0.25">
      <c r="A74" s="1667" t="s">
        <v>811</v>
      </c>
      <c r="B74" s="1675">
        <v>2000</v>
      </c>
      <c r="C74" s="1676">
        <f>SUM(C42,C47,C53,C57,C65,C72,C73)</f>
        <v>3029543</v>
      </c>
      <c r="D74" s="1676">
        <f t="shared" ref="D74:K74" si="10">SUM(D42,D47,D53,D57,D65,D72,D73)</f>
        <v>153392</v>
      </c>
      <c r="E74" s="1676">
        <f t="shared" si="10"/>
        <v>768791</v>
      </c>
      <c r="F74" s="1676">
        <f t="shared" si="10"/>
        <v>254180</v>
      </c>
      <c r="G74" s="1676">
        <f t="shared" si="10"/>
        <v>29676</v>
      </c>
      <c r="H74" s="1676">
        <f t="shared" si="10"/>
        <v>19330</v>
      </c>
      <c r="I74" s="1676">
        <f t="shared" si="10"/>
        <v>216597</v>
      </c>
      <c r="J74" s="1676">
        <f t="shared" si="10"/>
        <v>0</v>
      </c>
      <c r="K74" s="1676">
        <f t="shared" si="10"/>
        <v>4471509</v>
      </c>
      <c r="L74" s="1676">
        <f>SUM(L42,L47,L53,L57,L65,L72,L73)</f>
        <v>4675133</v>
      </c>
    </row>
    <row r="75" spans="1:14" s="258" customFormat="1" ht="15.75" customHeight="1" thickTop="1" thickBot="1" x14ac:dyDescent="0.25">
      <c r="A75" s="1609" t="s">
        <v>47</v>
      </c>
      <c r="B75" s="1610" t="s">
        <v>575</v>
      </c>
      <c r="C75" s="572">
        <v>123995</v>
      </c>
      <c r="D75" s="572"/>
      <c r="E75" s="572"/>
      <c r="F75" s="572">
        <v>40</v>
      </c>
      <c r="G75" s="572"/>
      <c r="H75" s="572"/>
      <c r="I75" s="530"/>
      <c r="J75" s="530"/>
      <c r="K75" s="1669">
        <f>SUM(C75:J75)</f>
        <v>124035</v>
      </c>
      <c r="L75" s="575">
        <v>124518</v>
      </c>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c r="F78" s="615"/>
      <c r="G78" s="615"/>
      <c r="H78" s="633"/>
      <c r="I78" s="476"/>
      <c r="J78" s="476"/>
      <c r="K78" s="1670">
        <f t="shared" ref="K78:K83" si="11">SUM(C78:J78)</f>
        <v>0</v>
      </c>
      <c r="L78" s="480"/>
    </row>
    <row r="79" spans="1:14" x14ac:dyDescent="0.2">
      <c r="A79" s="1503" t="s">
        <v>304</v>
      </c>
      <c r="B79" s="613">
        <v>4120</v>
      </c>
      <c r="C79" s="615"/>
      <c r="D79" s="615"/>
      <c r="E79" s="465">
        <v>583728</v>
      </c>
      <c r="F79" s="615"/>
      <c r="G79" s="615"/>
      <c r="H79" s="465"/>
      <c r="I79" s="476"/>
      <c r="J79" s="476"/>
      <c r="K79" s="1670">
        <f t="shared" si="11"/>
        <v>583728</v>
      </c>
      <c r="L79" s="465">
        <v>655000</v>
      </c>
    </row>
    <row r="80" spans="1:14" x14ac:dyDescent="0.2">
      <c r="A80" s="1503" t="s">
        <v>305</v>
      </c>
      <c r="B80" s="613">
        <v>4130</v>
      </c>
      <c r="C80" s="615"/>
      <c r="D80" s="615"/>
      <c r="E80" s="465"/>
      <c r="F80" s="615"/>
      <c r="G80" s="615"/>
      <c r="H80" s="465"/>
      <c r="I80" s="476"/>
      <c r="J80" s="476"/>
      <c r="K80" s="1670">
        <f t="shared" si="11"/>
        <v>0</v>
      </c>
      <c r="L80" s="465"/>
    </row>
    <row r="81" spans="1:12" x14ac:dyDescent="0.2">
      <c r="A81" s="1503" t="s">
        <v>697</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698</v>
      </c>
      <c r="B83" s="627">
        <v>4190</v>
      </c>
      <c r="C83" s="615"/>
      <c r="D83" s="615"/>
      <c r="E83" s="465"/>
      <c r="F83" s="615"/>
      <c r="G83" s="615"/>
      <c r="H83" s="465"/>
      <c r="I83" s="476"/>
      <c r="J83" s="476"/>
      <c r="K83" s="1670">
        <f t="shared" si="11"/>
        <v>0</v>
      </c>
      <c r="L83" s="465"/>
    </row>
    <row r="84" spans="1:12" ht="13.5" thickBot="1" x14ac:dyDescent="0.25">
      <c r="A84" s="1667" t="s">
        <v>1485</v>
      </c>
      <c r="B84" s="1677">
        <v>4100</v>
      </c>
      <c r="C84" s="615"/>
      <c r="D84" s="615"/>
      <c r="E84" s="1669">
        <f>SUM(E78:E83)</f>
        <v>583728</v>
      </c>
      <c r="F84" s="615"/>
      <c r="G84" s="615"/>
      <c r="H84" s="1669">
        <f>SUM(H78:H83)</f>
        <v>0</v>
      </c>
      <c r="I84" s="476"/>
      <c r="J84" s="476"/>
      <c r="K84" s="1669">
        <f>SUM(K78:K83)</f>
        <v>583728</v>
      </c>
      <c r="L84" s="1669">
        <f>SUM(L78:L83)</f>
        <v>655000</v>
      </c>
    </row>
    <row r="85" spans="1:12" ht="12.75" customHeight="1" thickTop="1" thickBot="1" x14ac:dyDescent="0.25">
      <c r="A85" s="1510" t="s">
        <v>255</v>
      </c>
      <c r="B85" s="634">
        <v>4210</v>
      </c>
      <c r="C85" s="615"/>
      <c r="D85" s="615"/>
      <c r="E85" s="635"/>
      <c r="F85" s="615"/>
      <c r="G85" s="615"/>
      <c r="H85" s="534">
        <v>21446</v>
      </c>
      <c r="I85" s="476"/>
      <c r="J85" s="476"/>
      <c r="K85" s="1676">
        <f>H85</f>
        <v>21446</v>
      </c>
      <c r="L85" s="529">
        <v>25000</v>
      </c>
    </row>
    <row r="86" spans="1:12" ht="12.75" customHeight="1" thickTop="1" thickBot="1" x14ac:dyDescent="0.25">
      <c r="A86" s="1511" t="s">
        <v>699</v>
      </c>
      <c r="B86" s="636">
        <v>4220</v>
      </c>
      <c r="C86" s="615"/>
      <c r="D86" s="615"/>
      <c r="E86" s="637"/>
      <c r="F86" s="615"/>
      <c r="G86" s="615"/>
      <c r="H86" s="466">
        <v>6768</v>
      </c>
      <c r="I86" s="476"/>
      <c r="J86" s="476"/>
      <c r="K86" s="1676">
        <f t="shared" ref="K86:K98" si="12">H86</f>
        <v>6768</v>
      </c>
      <c r="L86" s="529">
        <v>5000</v>
      </c>
    </row>
    <row r="87" spans="1:12" ht="14.25" thickTop="1" thickBot="1" x14ac:dyDescent="0.25">
      <c r="A87" s="1512" t="s">
        <v>700</v>
      </c>
      <c r="B87" s="638">
        <v>4230</v>
      </c>
      <c r="C87" s="615"/>
      <c r="D87" s="615"/>
      <c r="E87" s="637"/>
      <c r="F87" s="615"/>
      <c r="G87" s="615"/>
      <c r="H87" s="466"/>
      <c r="I87" s="476"/>
      <c r="J87" s="476"/>
      <c r="K87" s="1676">
        <f t="shared" si="12"/>
        <v>0</v>
      </c>
      <c r="L87" s="529"/>
    </row>
    <row r="88" spans="1:12" ht="12.75" customHeight="1" thickTop="1" thickBot="1" x14ac:dyDescent="0.25">
      <c r="A88" s="1512" t="s">
        <v>765</v>
      </c>
      <c r="B88" s="638">
        <v>4240</v>
      </c>
      <c r="C88" s="615"/>
      <c r="D88" s="615"/>
      <c r="E88" s="637"/>
      <c r="F88" s="615"/>
      <c r="G88" s="615"/>
      <c r="H88" s="466"/>
      <c r="I88" s="476"/>
      <c r="J88" s="476"/>
      <c r="K88" s="1676">
        <f t="shared" si="12"/>
        <v>0</v>
      </c>
      <c r="L88" s="529"/>
    </row>
    <row r="89" spans="1:12" ht="12.75" customHeight="1" thickTop="1" thickBot="1" x14ac:dyDescent="0.25">
      <c r="A89" s="1512" t="s">
        <v>701</v>
      </c>
      <c r="B89" s="638">
        <v>4270</v>
      </c>
      <c r="C89" s="615"/>
      <c r="D89" s="615"/>
      <c r="E89" s="637"/>
      <c r="F89" s="615"/>
      <c r="G89" s="615"/>
      <c r="H89" s="466"/>
      <c r="I89" s="476"/>
      <c r="J89" s="476"/>
      <c r="K89" s="1676">
        <f t="shared" si="12"/>
        <v>0</v>
      </c>
      <c r="L89" s="529"/>
    </row>
    <row r="90" spans="1:12" ht="12.75" customHeight="1" thickTop="1" thickBot="1" x14ac:dyDescent="0.25">
      <c r="A90" s="1512" t="s">
        <v>686</v>
      </c>
      <c r="B90" s="638">
        <v>4280</v>
      </c>
      <c r="C90" s="615"/>
      <c r="D90" s="615"/>
      <c r="E90" s="637"/>
      <c r="F90" s="615"/>
      <c r="G90" s="615"/>
      <c r="H90" s="466"/>
      <c r="I90" s="476"/>
      <c r="J90" s="476"/>
      <c r="K90" s="1676">
        <f t="shared" si="12"/>
        <v>0</v>
      </c>
      <c r="L90" s="529"/>
    </row>
    <row r="91" spans="1:12" ht="12.75" customHeight="1" thickTop="1" thickBot="1" x14ac:dyDescent="0.25">
      <c r="A91" s="1512" t="s">
        <v>687</v>
      </c>
      <c r="B91" s="638">
        <v>4290</v>
      </c>
      <c r="C91" s="615"/>
      <c r="D91" s="615"/>
      <c r="E91" s="637"/>
      <c r="F91" s="615"/>
      <c r="G91" s="615"/>
      <c r="H91" s="466"/>
      <c r="I91" s="476"/>
      <c r="J91" s="476"/>
      <c r="K91" s="1676">
        <f t="shared" si="12"/>
        <v>0</v>
      </c>
      <c r="L91" s="529"/>
    </row>
    <row r="92" spans="1:12" ht="14.25" thickTop="1" thickBot="1" x14ac:dyDescent="0.25">
      <c r="A92" s="1679" t="s">
        <v>1560</v>
      </c>
      <c r="B92" s="1677">
        <v>4200</v>
      </c>
      <c r="C92" s="615"/>
      <c r="D92" s="615"/>
      <c r="E92" s="637"/>
      <c r="F92" s="615"/>
      <c r="G92" s="615"/>
      <c r="H92" s="1669">
        <f>SUM(H85:H91)</f>
        <v>28214</v>
      </c>
      <c r="I92" s="476"/>
      <c r="J92" s="476"/>
      <c r="K92" s="1676">
        <f t="shared" si="12"/>
        <v>28214</v>
      </c>
      <c r="L92" s="1669">
        <f>SUM(L85:L91)</f>
        <v>30000</v>
      </c>
    </row>
    <row r="93" spans="1:12" ht="14.25" thickTop="1" thickBot="1" x14ac:dyDescent="0.25">
      <c r="A93" s="1511" t="s">
        <v>688</v>
      </c>
      <c r="B93" s="639">
        <v>4310</v>
      </c>
      <c r="C93" s="615"/>
      <c r="D93" s="615"/>
      <c r="E93" s="637"/>
      <c r="F93" s="615"/>
      <c r="G93" s="615"/>
      <c r="H93" s="640"/>
      <c r="I93" s="476"/>
      <c r="J93" s="476"/>
      <c r="K93" s="1676">
        <f t="shared" si="12"/>
        <v>0</v>
      </c>
      <c r="L93" s="531"/>
    </row>
    <row r="94" spans="1:12" ht="12.75" customHeight="1" thickTop="1" thickBot="1" x14ac:dyDescent="0.25">
      <c r="A94" s="1512" t="s">
        <v>689</v>
      </c>
      <c r="B94" s="638">
        <v>4320</v>
      </c>
      <c r="C94" s="615"/>
      <c r="D94" s="615"/>
      <c r="E94" s="637"/>
      <c r="F94" s="615"/>
      <c r="G94" s="615"/>
      <c r="H94" s="466"/>
      <c r="I94" s="476"/>
      <c r="J94" s="476"/>
      <c r="K94" s="1676">
        <f t="shared" si="12"/>
        <v>0</v>
      </c>
      <c r="L94" s="529"/>
    </row>
    <row r="95" spans="1:12" ht="15" customHeight="1" thickTop="1" thickBot="1" x14ac:dyDescent="0.25">
      <c r="A95" s="1512" t="s">
        <v>1488</v>
      </c>
      <c r="B95" s="638">
        <v>4330</v>
      </c>
      <c r="C95" s="615"/>
      <c r="D95" s="615"/>
      <c r="E95" s="637"/>
      <c r="F95" s="615"/>
      <c r="G95" s="615"/>
      <c r="H95" s="466"/>
      <c r="I95" s="476"/>
      <c r="J95" s="476"/>
      <c r="K95" s="1676">
        <f t="shared" si="12"/>
        <v>0</v>
      </c>
      <c r="L95" s="529"/>
    </row>
    <row r="96" spans="1:12" ht="14.25" thickTop="1" thickBot="1" x14ac:dyDescent="0.25">
      <c r="A96" s="1512" t="s">
        <v>690</v>
      </c>
      <c r="B96" s="638">
        <v>4340</v>
      </c>
      <c r="C96" s="615"/>
      <c r="D96" s="615"/>
      <c r="E96" s="637"/>
      <c r="F96" s="615"/>
      <c r="G96" s="615"/>
      <c r="H96" s="466"/>
      <c r="I96" s="476"/>
      <c r="J96" s="476"/>
      <c r="K96" s="1676">
        <f t="shared" si="12"/>
        <v>0</v>
      </c>
      <c r="L96" s="529"/>
    </row>
    <row r="97" spans="1:14" ht="12.75" customHeight="1" thickTop="1" thickBot="1" x14ac:dyDescent="0.25">
      <c r="A97" s="1512" t="s">
        <v>763</v>
      </c>
      <c r="B97" s="638">
        <v>4370</v>
      </c>
      <c r="C97" s="615"/>
      <c r="D97" s="615"/>
      <c r="E97" s="637"/>
      <c r="F97" s="615"/>
      <c r="G97" s="615"/>
      <c r="H97" s="466"/>
      <c r="I97" s="476"/>
      <c r="J97" s="476"/>
      <c r="K97" s="1676">
        <f t="shared" si="12"/>
        <v>0</v>
      </c>
      <c r="L97" s="529"/>
    </row>
    <row r="98" spans="1:14" ht="14.25" thickTop="1" thickBot="1" x14ac:dyDescent="0.25">
      <c r="A98" s="1512" t="s">
        <v>764</v>
      </c>
      <c r="B98" s="638">
        <v>4380</v>
      </c>
      <c r="C98" s="615"/>
      <c r="D98" s="615"/>
      <c r="E98" s="641"/>
      <c r="F98" s="615"/>
      <c r="G98" s="615"/>
      <c r="H98" s="466"/>
      <c r="I98" s="476"/>
      <c r="J98" s="476"/>
      <c r="K98" s="1676">
        <f t="shared" si="12"/>
        <v>0</v>
      </c>
      <c r="L98" s="529"/>
    </row>
    <row r="99" spans="1:14" ht="14.25" thickTop="1" thickBot="1" x14ac:dyDescent="0.25">
      <c r="A99" s="1512" t="s">
        <v>367</v>
      </c>
      <c r="B99" s="638">
        <v>4390</v>
      </c>
      <c r="C99" s="615"/>
      <c r="D99" s="615"/>
      <c r="E99" s="531"/>
      <c r="F99" s="615"/>
      <c r="G99" s="615"/>
      <c r="H99" s="466"/>
      <c r="I99" s="476"/>
      <c r="J99" s="476"/>
      <c r="K99" s="1676">
        <f>SUM(E99,H99)</f>
        <v>0</v>
      </c>
      <c r="L99" s="529"/>
    </row>
    <row r="100" spans="1:14" ht="14.25" thickTop="1" thickBot="1" x14ac:dyDescent="0.25">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row>
    <row r="102" spans="1:14" ht="12.75" customHeight="1" thickTop="1" thickBot="1" x14ac:dyDescent="0.25">
      <c r="A102" s="1667" t="s">
        <v>1487</v>
      </c>
      <c r="B102" s="1677">
        <v>4000</v>
      </c>
      <c r="C102" s="615"/>
      <c r="D102" s="615"/>
      <c r="E102" s="1676">
        <f>SUM(E84,E92,E100,E101)</f>
        <v>583728</v>
      </c>
      <c r="F102" s="615"/>
      <c r="G102" s="615"/>
      <c r="H102" s="1676">
        <f>SUM(H84,H92,H100,H101)</f>
        <v>28214</v>
      </c>
      <c r="I102" s="476"/>
      <c r="J102" s="476"/>
      <c r="K102" s="1676">
        <f>SUM(K84,K92,K100,K101)</f>
        <v>611942</v>
      </c>
      <c r="L102" s="1676">
        <f>SUM(L84,L92,L100,L101)</f>
        <v>685000</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589</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15170755</v>
      </c>
      <c r="D114" s="1669">
        <f t="shared" ref="D114:K114" si="13">SUM(D33,D74,D75,D102,D112,D113)</f>
        <v>2476342</v>
      </c>
      <c r="E114" s="1669">
        <f t="shared" si="13"/>
        <v>1589736</v>
      </c>
      <c r="F114" s="1669">
        <f t="shared" si="13"/>
        <v>720018</v>
      </c>
      <c r="G114" s="1669">
        <f t="shared" si="13"/>
        <v>46538</v>
      </c>
      <c r="H114" s="1669">
        <f>SUM(H33,H74,H75,H102,H112,H113)</f>
        <v>1437898</v>
      </c>
      <c r="I114" s="1669">
        <f t="shared" si="13"/>
        <v>222231</v>
      </c>
      <c r="J114" s="1669">
        <f t="shared" si="13"/>
        <v>0</v>
      </c>
      <c r="K114" s="1669">
        <f t="shared" si="13"/>
        <v>21663518</v>
      </c>
      <c r="L114" s="1669">
        <f>SUM(L33,L74,L75,L102,L112,L113)</f>
        <v>22159057</v>
      </c>
    </row>
    <row r="115" spans="1:14" ht="13.5" thickTop="1" x14ac:dyDescent="0.2">
      <c r="A115" s="2159" t="s">
        <v>996</v>
      </c>
      <c r="B115" s="2160"/>
      <c r="C115" s="617"/>
      <c r="D115" s="617"/>
      <c r="E115" s="617"/>
      <c r="F115" s="617"/>
      <c r="G115" s="617"/>
      <c r="H115" s="617"/>
      <c r="I115" s="617"/>
      <c r="J115" s="617"/>
      <c r="K115" s="1683">
        <f>'Revenues 9-14'!C268-'Expenditures 15-22'!K114</f>
        <v>82616</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64" t="s">
        <v>296</v>
      </c>
      <c r="B117" s="2165"/>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2058</v>
      </c>
      <c r="B120" s="627" t="s">
        <v>716</v>
      </c>
      <c r="C120" s="465"/>
      <c r="D120" s="465"/>
      <c r="E120" s="465"/>
      <c r="F120" s="465"/>
      <c r="G120" s="465"/>
      <c r="H120" s="465"/>
      <c r="I120" s="466"/>
      <c r="J120" s="466"/>
      <c r="K120" s="1670">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row>
    <row r="124" spans="1:14" ht="14.25" thickTop="1" thickBot="1" x14ac:dyDescent="0.25">
      <c r="A124" s="1503" t="s">
        <v>197</v>
      </c>
      <c r="B124" s="613">
        <v>2540</v>
      </c>
      <c r="C124" s="465"/>
      <c r="D124" s="465"/>
      <c r="E124" s="465">
        <v>1771352</v>
      </c>
      <c r="F124" s="465">
        <v>689295</v>
      </c>
      <c r="G124" s="465">
        <v>80231</v>
      </c>
      <c r="H124" s="465"/>
      <c r="I124" s="466">
        <v>7732</v>
      </c>
      <c r="J124" s="466"/>
      <c r="K124" s="1669">
        <f>SUM(C124:J124)</f>
        <v>2548610</v>
      </c>
      <c r="L124" s="465">
        <v>2421780</v>
      </c>
    </row>
    <row r="125" spans="1:14" ht="14.25" thickTop="1" thickBot="1" x14ac:dyDescent="0.25">
      <c r="A125" s="1503" t="s">
        <v>953</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719</v>
      </c>
      <c r="B127" s="1668" t="s">
        <v>35</v>
      </c>
      <c r="C127" s="1669">
        <f>SUM(C122:C126)</f>
        <v>0</v>
      </c>
      <c r="D127" s="1669">
        <f t="shared" ref="D127:L127" si="14">SUM(D122:D126)</f>
        <v>0</v>
      </c>
      <c r="E127" s="1669">
        <f t="shared" si="14"/>
        <v>1771352</v>
      </c>
      <c r="F127" s="1669">
        <f t="shared" si="14"/>
        <v>689295</v>
      </c>
      <c r="G127" s="1669">
        <f t="shared" si="14"/>
        <v>80231</v>
      </c>
      <c r="H127" s="1669">
        <f t="shared" si="14"/>
        <v>0</v>
      </c>
      <c r="I127" s="1669">
        <f t="shared" si="14"/>
        <v>7732</v>
      </c>
      <c r="J127" s="1669">
        <f t="shared" si="14"/>
        <v>0</v>
      </c>
      <c r="K127" s="1669">
        <f t="shared" si="14"/>
        <v>2548610</v>
      </c>
      <c r="L127" s="1669">
        <f t="shared" si="14"/>
        <v>2421780</v>
      </c>
    </row>
    <row r="128" spans="1:14" ht="12.75" customHeight="1" thickTop="1" x14ac:dyDescent="0.2">
      <c r="A128" s="1510" t="s">
        <v>980</v>
      </c>
      <c r="B128" s="654" t="s">
        <v>574</v>
      </c>
      <c r="C128" s="655"/>
      <c r="D128" s="655"/>
      <c r="E128" s="655"/>
      <c r="F128" s="655"/>
      <c r="G128" s="655"/>
      <c r="H128" s="655"/>
      <c r="I128" s="534"/>
      <c r="J128" s="534"/>
      <c r="K128" s="1684">
        <f>SUM(C128:J128)</f>
        <v>0</v>
      </c>
      <c r="L128" s="655"/>
    </row>
    <row r="129" spans="1:14" ht="12.75" customHeight="1" thickBot="1" x14ac:dyDescent="0.25">
      <c r="A129" s="1685" t="s">
        <v>811</v>
      </c>
      <c r="B129" s="1686" t="s">
        <v>569</v>
      </c>
      <c r="C129" s="1676">
        <f>SUM(C120,C127,C128)</f>
        <v>0</v>
      </c>
      <c r="D129" s="1676">
        <f t="shared" ref="D129:L129" si="15">SUM(D120,D127,D128)</f>
        <v>0</v>
      </c>
      <c r="E129" s="1676">
        <f t="shared" si="15"/>
        <v>1771352</v>
      </c>
      <c r="F129" s="1676">
        <f t="shared" si="15"/>
        <v>689295</v>
      </c>
      <c r="G129" s="1676">
        <f t="shared" si="15"/>
        <v>80231</v>
      </c>
      <c r="H129" s="1676">
        <f t="shared" si="15"/>
        <v>0</v>
      </c>
      <c r="I129" s="1676">
        <f t="shared" si="15"/>
        <v>7732</v>
      </c>
      <c r="J129" s="1676">
        <f t="shared" si="15"/>
        <v>0</v>
      </c>
      <c r="K129" s="1676">
        <f t="shared" si="15"/>
        <v>2548610</v>
      </c>
      <c r="L129" s="1676">
        <f t="shared" si="15"/>
        <v>2421780</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1844</v>
      </c>
      <c r="C133" s="467"/>
      <c r="D133" s="467"/>
      <c r="E133" s="640"/>
      <c r="F133" s="467"/>
      <c r="G133" s="467"/>
      <c r="H133" s="640"/>
      <c r="I133" s="467"/>
      <c r="J133" s="467"/>
      <c r="K133" s="1820">
        <f>SUM(E133,H133)</f>
        <v>0</v>
      </c>
      <c r="L133" s="640"/>
      <c r="M133" s="205"/>
      <c r="N133" s="205"/>
    </row>
    <row r="134" spans="1:14" x14ac:dyDescent="0.2">
      <c r="A134" s="1503" t="s">
        <v>304</v>
      </c>
      <c r="B134" s="613">
        <v>4120</v>
      </c>
      <c r="C134" s="615"/>
      <c r="D134" s="615"/>
      <c r="E134" s="477"/>
      <c r="F134" s="615"/>
      <c r="G134" s="615"/>
      <c r="H134" s="480"/>
      <c r="I134" s="476"/>
      <c r="J134" s="615"/>
      <c r="K134" s="1671">
        <f>SUM(E134,H134)</f>
        <v>0</v>
      </c>
      <c r="L134" s="480"/>
    </row>
    <row r="135" spans="1:14" x14ac:dyDescent="0.2">
      <c r="A135" s="1503" t="s">
        <v>697</v>
      </c>
      <c r="B135" s="613">
        <v>4140</v>
      </c>
      <c r="C135" s="615"/>
      <c r="D135" s="615"/>
      <c r="E135" s="466"/>
      <c r="F135" s="615"/>
      <c r="G135" s="615"/>
      <c r="H135" s="465"/>
      <c r="I135" s="476"/>
      <c r="J135" s="615"/>
      <c r="K135" s="1671">
        <f>SUM(E135,H135)</f>
        <v>0</v>
      </c>
      <c r="L135" s="465"/>
    </row>
    <row r="136" spans="1:14" x14ac:dyDescent="0.2">
      <c r="A136" s="1507" t="s">
        <v>698</v>
      </c>
      <c r="B136" s="627">
        <v>4190</v>
      </c>
      <c r="C136" s="615"/>
      <c r="D136" s="615"/>
      <c r="E136" s="466"/>
      <c r="F136" s="615"/>
      <c r="G136" s="615"/>
      <c r="H136" s="465"/>
      <c r="I136" s="476"/>
      <c r="J136" s="615"/>
      <c r="K136" s="1671">
        <f>SUM(E136,H136)</f>
        <v>0</v>
      </c>
      <c r="L136" s="465"/>
    </row>
    <row r="137" spans="1:14" ht="12.75" customHeight="1" thickBot="1" x14ac:dyDescent="0.25">
      <c r="A137" s="1667" t="s">
        <v>480</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row>
    <row r="139" spans="1:14" ht="12.75" customHeight="1" thickTop="1" thickBot="1" x14ac:dyDescent="0.25">
      <c r="A139" s="1667" t="s">
        <v>1487</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1170</v>
      </c>
      <c r="B144" s="627" t="s">
        <v>617</v>
      </c>
      <c r="C144" s="615"/>
      <c r="D144" s="615"/>
      <c r="E144" s="615"/>
      <c r="F144" s="615"/>
      <c r="G144" s="615"/>
      <c r="H144" s="465"/>
      <c r="I144" s="467"/>
      <c r="J144" s="615"/>
      <c r="K144" s="1671">
        <f>SUM(H144)</f>
        <v>0</v>
      </c>
      <c r="L144" s="465"/>
    </row>
    <row r="145" spans="1:14" x14ac:dyDescent="0.2">
      <c r="A145" s="1503" t="s">
        <v>89</v>
      </c>
      <c r="B145" s="613" t="s">
        <v>589</v>
      </c>
      <c r="C145" s="615"/>
      <c r="D145" s="615"/>
      <c r="E145" s="615"/>
      <c r="F145" s="615"/>
      <c r="G145" s="615"/>
      <c r="H145" s="465"/>
      <c r="I145" s="467"/>
      <c r="J145" s="615"/>
      <c r="K145" s="1671">
        <f>SUM(H145)</f>
        <v>0</v>
      </c>
      <c r="L145" s="465"/>
    </row>
    <row r="146" spans="1:14" ht="12.75" customHeight="1" x14ac:dyDescent="0.2">
      <c r="A146" s="1503" t="s">
        <v>619</v>
      </c>
      <c r="B146" s="613" t="s">
        <v>618</v>
      </c>
      <c r="C146" s="615"/>
      <c r="D146" s="615"/>
      <c r="E146" s="615"/>
      <c r="F146" s="615"/>
      <c r="G146" s="615"/>
      <c r="H146" s="465"/>
      <c r="I146" s="467"/>
      <c r="J146" s="615"/>
      <c r="K146" s="1671">
        <f>SUM(H146)</f>
        <v>0</v>
      </c>
      <c r="L146" s="465"/>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1038</v>
      </c>
      <c r="B150" s="1612" t="s">
        <v>861</v>
      </c>
      <c r="C150" s="615"/>
      <c r="D150" s="615"/>
      <c r="E150" s="615"/>
      <c r="F150" s="615"/>
      <c r="G150" s="615"/>
      <c r="H150" s="661"/>
      <c r="I150" s="520"/>
      <c r="J150" s="615"/>
      <c r="K150" s="622"/>
      <c r="L150" s="572"/>
    </row>
    <row r="151" spans="1:14" ht="12.75" customHeight="1" thickTop="1" thickBot="1" x14ac:dyDescent="0.25">
      <c r="A151" s="2176" t="s">
        <v>620</v>
      </c>
      <c r="B151" s="2156"/>
      <c r="C151" s="1669">
        <f>SUM(C129,C130,C139,C149,C150)</f>
        <v>0</v>
      </c>
      <c r="D151" s="1669">
        <f t="shared" ref="D151:K151" si="16">SUM(D129,D130,D139,D149,D150)</f>
        <v>0</v>
      </c>
      <c r="E151" s="1669">
        <f t="shared" si="16"/>
        <v>1771352</v>
      </c>
      <c r="F151" s="1669">
        <f t="shared" si="16"/>
        <v>689295</v>
      </c>
      <c r="G151" s="1669">
        <f t="shared" si="16"/>
        <v>80231</v>
      </c>
      <c r="H151" s="1669">
        <f t="shared" si="16"/>
        <v>0</v>
      </c>
      <c r="I151" s="1669">
        <f t="shared" si="16"/>
        <v>7732</v>
      </c>
      <c r="J151" s="1669">
        <f t="shared" si="16"/>
        <v>0</v>
      </c>
      <c r="K151" s="1669">
        <f t="shared" si="16"/>
        <v>2548610</v>
      </c>
      <c r="L151" s="1669">
        <f>SUM(L129,L130,L139,L149,L150)</f>
        <v>2421780</v>
      </c>
    </row>
    <row r="152" spans="1:14" ht="12.75" customHeight="1" thickTop="1" x14ac:dyDescent="0.2">
      <c r="A152" s="2179" t="s">
        <v>1178</v>
      </c>
      <c r="B152" s="2180"/>
      <c r="C152" s="617"/>
      <c r="D152" s="617"/>
      <c r="E152" s="617"/>
      <c r="F152" s="617"/>
      <c r="G152" s="617"/>
      <c r="H152" s="617"/>
      <c r="I152" s="617"/>
      <c r="J152" s="615"/>
      <c r="K152" s="1683">
        <f>'Revenues 9-14'!D268-'Expenditures 15-22'!K151</f>
        <v>4406</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64" t="s">
        <v>621</v>
      </c>
      <c r="B154" s="2166"/>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1845</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1844</v>
      </c>
      <c r="C157" s="615"/>
      <c r="D157" s="615"/>
      <c r="E157" s="615"/>
      <c r="F157" s="615"/>
      <c r="G157" s="615"/>
      <c r="H157" s="640"/>
      <c r="I157" s="615"/>
      <c r="J157" s="615"/>
      <c r="K157" s="1670">
        <f>H157</f>
        <v>0</v>
      </c>
      <c r="L157" s="466"/>
      <c r="M157" s="618"/>
      <c r="N157" s="618"/>
    </row>
    <row r="158" spans="1:14" s="619" customFormat="1" ht="12" x14ac:dyDescent="0.2">
      <c r="A158" s="1825" t="s">
        <v>304</v>
      </c>
      <c r="B158" s="1826" t="s">
        <v>1846</v>
      </c>
      <c r="C158" s="615"/>
      <c r="D158" s="615"/>
      <c r="E158" s="615"/>
      <c r="F158" s="615"/>
      <c r="G158" s="615"/>
      <c r="H158" s="466"/>
      <c r="I158" s="615"/>
      <c r="J158" s="615"/>
      <c r="K158" s="1670">
        <f>H158</f>
        <v>0</v>
      </c>
      <c r="L158" s="466"/>
      <c r="M158" s="618"/>
      <c r="N158" s="618"/>
    </row>
    <row r="159" spans="1:14" s="619" customFormat="1" ht="12" x14ac:dyDescent="0.2">
      <c r="A159" s="1825" t="s">
        <v>1847</v>
      </c>
      <c r="B159" s="1826" t="s">
        <v>558</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1848</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1170</v>
      </c>
      <c r="B165" s="613" t="s">
        <v>617</v>
      </c>
      <c r="C165" s="615"/>
      <c r="D165" s="615"/>
      <c r="E165" s="615"/>
      <c r="F165" s="615"/>
      <c r="G165" s="615"/>
      <c r="H165" s="465"/>
      <c r="I165" s="615"/>
      <c r="J165" s="615"/>
      <c r="K165" s="1670">
        <f>SUM(C165:J165)</f>
        <v>0</v>
      </c>
      <c r="L165" s="465"/>
    </row>
    <row r="166" spans="1:14" x14ac:dyDescent="0.2">
      <c r="A166" s="1503" t="s">
        <v>89</v>
      </c>
      <c r="B166" s="627" t="s">
        <v>589</v>
      </c>
      <c r="C166" s="615"/>
      <c r="D166" s="615"/>
      <c r="E166" s="615"/>
      <c r="F166" s="615"/>
      <c r="G166" s="615"/>
      <c r="H166" s="465"/>
      <c r="I166" s="615"/>
      <c r="J166" s="615"/>
      <c r="K166" s="1670">
        <f>SUM(C166:J166)</f>
        <v>0</v>
      </c>
      <c r="L166" s="465"/>
    </row>
    <row r="167" spans="1:14" ht="12.75" customHeight="1" x14ac:dyDescent="0.2">
      <c r="A167" s="1503" t="s">
        <v>619</v>
      </c>
      <c r="B167" s="613" t="s">
        <v>618</v>
      </c>
      <c r="C167" s="615"/>
      <c r="D167" s="615"/>
      <c r="E167" s="615"/>
      <c r="F167" s="615"/>
      <c r="G167" s="615"/>
      <c r="H167" s="465"/>
      <c r="I167" s="615"/>
      <c r="J167" s="615"/>
      <c r="K167" s="1670">
        <f>SUM(C167:J167)</f>
        <v>0</v>
      </c>
      <c r="L167" s="465"/>
    </row>
    <row r="168" spans="1:14" ht="13.5" thickBot="1" x14ac:dyDescent="0.25">
      <c r="A168" s="1667" t="s">
        <v>276</v>
      </c>
      <c r="B168" s="1674" t="s">
        <v>718</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v>1692771</v>
      </c>
      <c r="I169" s="615"/>
      <c r="J169" s="615"/>
      <c r="K169" s="1670">
        <f>SUM(C169:H169)</f>
        <v>1692771</v>
      </c>
      <c r="L169" s="655">
        <v>1683825</v>
      </c>
    </row>
    <row r="170" spans="1:14" ht="33.75" customHeight="1" x14ac:dyDescent="0.2">
      <c r="A170" s="668" t="s">
        <v>1670</v>
      </c>
      <c r="B170" s="670" t="s">
        <v>31</v>
      </c>
      <c r="C170" s="615"/>
      <c r="D170" s="615"/>
      <c r="E170" s="615"/>
      <c r="F170" s="615"/>
      <c r="G170" s="615"/>
      <c r="H170" s="568">
        <v>3859254</v>
      </c>
      <c r="I170" s="615"/>
      <c r="J170" s="615"/>
      <c r="K170" s="1670">
        <f>SUM(C170:J170)</f>
        <v>3859254</v>
      </c>
      <c r="L170" s="568">
        <v>3825000</v>
      </c>
    </row>
    <row r="171" spans="1:14" ht="15.75" customHeight="1" x14ac:dyDescent="0.2">
      <c r="A171" s="620" t="s">
        <v>766</v>
      </c>
      <c r="B171" s="671" t="s">
        <v>84</v>
      </c>
      <c r="C171" s="615"/>
      <c r="D171" s="615"/>
      <c r="E171" s="465"/>
      <c r="F171" s="615"/>
      <c r="G171" s="615"/>
      <c r="H171" s="568">
        <v>3875</v>
      </c>
      <c r="I171" s="476"/>
      <c r="J171" s="615"/>
      <c r="K171" s="1670">
        <f>SUM(C171:J171)</f>
        <v>3875</v>
      </c>
      <c r="L171" s="568">
        <v>1500</v>
      </c>
    </row>
    <row r="172" spans="1:14" ht="12.75" customHeight="1" thickBot="1" x14ac:dyDescent="0.25">
      <c r="A172" s="1667" t="s">
        <v>638</v>
      </c>
      <c r="B172" s="1668" t="s">
        <v>492</v>
      </c>
      <c r="C172" s="615"/>
      <c r="D172" s="615"/>
      <c r="E172" s="1676">
        <f>SUM(E168,E169,E170,E171)</f>
        <v>0</v>
      </c>
      <c r="F172" s="615"/>
      <c r="G172" s="615"/>
      <c r="H172" s="1676">
        <f>SUM(H168,H169,H170,H171)</f>
        <v>5555900</v>
      </c>
      <c r="I172" s="637"/>
      <c r="J172" s="615"/>
      <c r="K172" s="1676">
        <f>SUM(K168,K169,K170,K171)</f>
        <v>5555900</v>
      </c>
      <c r="L172" s="1676">
        <f>SUM(L168,L169,L170,L171)</f>
        <v>5510325</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5555900</v>
      </c>
      <c r="I174" s="637"/>
      <c r="J174" s="615"/>
      <c r="K174" s="1676">
        <f>SUM(K160,K172,K173)</f>
        <v>5555900</v>
      </c>
      <c r="L174" s="1676">
        <f>SUM(L160,L172,L173)</f>
        <v>5510325</v>
      </c>
    </row>
    <row r="175" spans="1:14" ht="13.5" thickTop="1" x14ac:dyDescent="0.2">
      <c r="A175" s="2159" t="s">
        <v>996</v>
      </c>
      <c r="B175" s="2160"/>
      <c r="C175" s="615"/>
      <c r="D175" s="615"/>
      <c r="E175" s="615"/>
      <c r="F175" s="615"/>
      <c r="G175" s="615"/>
      <c r="H175" s="617"/>
      <c r="I175" s="615"/>
      <c r="J175" s="615"/>
      <c r="K175" s="1683">
        <f>'Revenues 9-14'!E268-'Expenditures 15-22'!K174</f>
        <v>337292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2058</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c r="D182" s="465"/>
      <c r="E182" s="465">
        <v>701853</v>
      </c>
      <c r="F182" s="465">
        <v>806</v>
      </c>
      <c r="G182" s="465"/>
      <c r="H182" s="465"/>
      <c r="I182" s="466"/>
      <c r="J182" s="466"/>
      <c r="K182" s="1670">
        <f>SUM(C182:J182)</f>
        <v>702659</v>
      </c>
      <c r="L182" s="465">
        <v>743800</v>
      </c>
    </row>
    <row r="183" spans="1:14" ht="12.75" customHeight="1" thickBot="1" x14ac:dyDescent="0.25">
      <c r="A183" s="1508" t="s">
        <v>980</v>
      </c>
      <c r="B183" s="676">
        <v>2900</v>
      </c>
      <c r="C183" s="572"/>
      <c r="D183" s="572"/>
      <c r="E183" s="572"/>
      <c r="F183" s="572"/>
      <c r="G183" s="572"/>
      <c r="H183" s="572"/>
      <c r="I183" s="531"/>
      <c r="J183" s="531"/>
      <c r="K183" s="1676">
        <f>SUM(C183:J183)</f>
        <v>0</v>
      </c>
      <c r="L183" s="572"/>
    </row>
    <row r="184" spans="1:14" ht="12.75" customHeight="1" thickTop="1" thickBot="1" x14ac:dyDescent="0.25">
      <c r="A184" s="1690" t="s">
        <v>811</v>
      </c>
      <c r="B184" s="1668" t="s">
        <v>569</v>
      </c>
      <c r="C184" s="1676">
        <f>SUM(C180,C182,C183)</f>
        <v>0</v>
      </c>
      <c r="D184" s="1676">
        <f t="shared" ref="D184:J184" si="17">SUM(D180,D182,D183)</f>
        <v>0</v>
      </c>
      <c r="E184" s="1676">
        <f t="shared" si="17"/>
        <v>701853</v>
      </c>
      <c r="F184" s="1676">
        <f t="shared" si="17"/>
        <v>806</v>
      </c>
      <c r="G184" s="1676">
        <f t="shared" si="17"/>
        <v>0</v>
      </c>
      <c r="H184" s="1676">
        <f t="shared" si="17"/>
        <v>0</v>
      </c>
      <c r="I184" s="1676">
        <f t="shared" si="17"/>
        <v>0</v>
      </c>
      <c r="J184" s="1676">
        <f t="shared" si="17"/>
        <v>0</v>
      </c>
      <c r="K184" s="1676">
        <f>SUM(K180,K182,K183)</f>
        <v>702659</v>
      </c>
      <c r="L184" s="1676">
        <f>SUM(L180, L182:L183)</f>
        <v>743800</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row>
    <row r="189" spans="1:14" x14ac:dyDescent="0.2">
      <c r="A189" s="1503" t="s">
        <v>304</v>
      </c>
      <c r="B189" s="613">
        <v>4120</v>
      </c>
      <c r="C189" s="615"/>
      <c r="D189" s="615"/>
      <c r="E189" s="465"/>
      <c r="F189" s="615"/>
      <c r="G189" s="615"/>
      <c r="H189" s="465"/>
      <c r="I189" s="476"/>
      <c r="J189" s="615"/>
      <c r="K189" s="1670">
        <f t="shared" si="18"/>
        <v>0</v>
      </c>
      <c r="L189" s="465"/>
    </row>
    <row r="190" spans="1:14" x14ac:dyDescent="0.2">
      <c r="A190" s="1503" t="s">
        <v>305</v>
      </c>
      <c r="B190" s="627">
        <v>4130</v>
      </c>
      <c r="C190" s="615"/>
      <c r="D190" s="615"/>
      <c r="E190" s="465"/>
      <c r="F190" s="615"/>
      <c r="G190" s="615"/>
      <c r="H190" s="465"/>
      <c r="I190" s="476"/>
      <c r="J190" s="615"/>
      <c r="K190" s="1670">
        <f t="shared" si="18"/>
        <v>0</v>
      </c>
      <c r="L190" s="465"/>
    </row>
    <row r="191" spans="1:14" x14ac:dyDescent="0.2">
      <c r="A191" s="1503" t="s">
        <v>697</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698</v>
      </c>
      <c r="B193" s="627">
        <v>4190</v>
      </c>
      <c r="C193" s="615"/>
      <c r="D193" s="615"/>
      <c r="E193" s="465"/>
      <c r="F193" s="615"/>
      <c r="G193" s="615"/>
      <c r="H193" s="465"/>
      <c r="I193" s="476"/>
      <c r="J193" s="615"/>
      <c r="K193" s="1670">
        <f t="shared" si="18"/>
        <v>0</v>
      </c>
      <c r="L193" s="465"/>
    </row>
    <row r="194" spans="1:14" ht="12.75" customHeight="1" thickBot="1" x14ac:dyDescent="0.25">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931</v>
      </c>
      <c r="C195" s="615"/>
      <c r="D195" s="615"/>
      <c r="E195" s="655"/>
      <c r="F195" s="615"/>
      <c r="G195" s="615"/>
      <c r="H195" s="655"/>
      <c r="I195" s="476"/>
      <c r="J195" s="615"/>
      <c r="K195" s="1684">
        <f>SUM(E195,H195)</f>
        <v>0</v>
      </c>
      <c r="L195" s="655"/>
    </row>
    <row r="196" spans="1:14" ht="12.75" customHeight="1" thickBot="1" x14ac:dyDescent="0.25">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1170</v>
      </c>
      <c r="B201" s="627" t="s">
        <v>617</v>
      </c>
      <c r="C201" s="615"/>
      <c r="D201" s="615"/>
      <c r="E201" s="615"/>
      <c r="F201" s="615"/>
      <c r="G201" s="615"/>
      <c r="H201" s="465"/>
      <c r="I201" s="615"/>
      <c r="J201" s="615"/>
      <c r="K201" s="1670">
        <f>SUM(H201)</f>
        <v>0</v>
      </c>
      <c r="L201" s="465"/>
    </row>
    <row r="202" spans="1:14" x14ac:dyDescent="0.2">
      <c r="A202" s="1503" t="s">
        <v>89</v>
      </c>
      <c r="B202" s="613" t="s">
        <v>589</v>
      </c>
      <c r="C202" s="615"/>
      <c r="D202" s="615"/>
      <c r="E202" s="615"/>
      <c r="F202" s="615"/>
      <c r="G202" s="615"/>
      <c r="H202" s="465"/>
      <c r="I202" s="615"/>
      <c r="J202" s="615"/>
      <c r="K202" s="1670">
        <f>SUM(H202)</f>
        <v>0</v>
      </c>
      <c r="L202" s="465"/>
    </row>
    <row r="203" spans="1:14" x14ac:dyDescent="0.2">
      <c r="A203" s="1515" t="s">
        <v>619</v>
      </c>
      <c r="B203" s="613" t="s">
        <v>618</v>
      </c>
      <c r="C203" s="615"/>
      <c r="D203" s="615"/>
      <c r="E203" s="615"/>
      <c r="F203" s="615"/>
      <c r="G203" s="615"/>
      <c r="H203" s="470"/>
      <c r="I203" s="615"/>
      <c r="J203" s="615"/>
      <c r="K203" s="1670">
        <f>SUM(H203)</f>
        <v>0</v>
      </c>
      <c r="L203" s="470"/>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v>1989</v>
      </c>
      <c r="I205" s="615"/>
      <c r="J205" s="615"/>
      <c r="K205" s="1684">
        <f>SUM(H205)</f>
        <v>1989</v>
      </c>
      <c r="L205" s="534">
        <v>0</v>
      </c>
    </row>
    <row r="206" spans="1:14" ht="30" customHeight="1" x14ac:dyDescent="0.2">
      <c r="A206" s="680" t="s">
        <v>1671</v>
      </c>
      <c r="B206" s="671" t="s">
        <v>31</v>
      </c>
      <c r="C206" s="615"/>
      <c r="D206" s="615"/>
      <c r="E206" s="615"/>
      <c r="F206" s="615"/>
      <c r="G206" s="615"/>
      <c r="H206" s="465">
        <v>13303</v>
      </c>
      <c r="I206" s="615"/>
      <c r="J206" s="615"/>
      <c r="K206" s="1670">
        <f>SUM(H206)</f>
        <v>13303</v>
      </c>
      <c r="L206" s="465">
        <v>0</v>
      </c>
    </row>
    <row r="207" spans="1:14" ht="15.75" customHeight="1" x14ac:dyDescent="0.2">
      <c r="A207" s="620" t="s">
        <v>766</v>
      </c>
      <c r="B207" s="671" t="s">
        <v>84</v>
      </c>
      <c r="C207" s="615"/>
      <c r="D207" s="615"/>
      <c r="E207" s="615"/>
      <c r="F207" s="615"/>
      <c r="G207" s="615"/>
      <c r="H207" s="466"/>
      <c r="I207" s="615"/>
      <c r="J207" s="615"/>
      <c r="K207" s="1670">
        <f>H207</f>
        <v>0</v>
      </c>
      <c r="L207" s="465"/>
    </row>
    <row r="208" spans="1:14" ht="12.75" customHeight="1" thickBot="1" x14ac:dyDescent="0.25">
      <c r="A208" s="1685" t="s">
        <v>638</v>
      </c>
      <c r="B208" s="1686" t="s">
        <v>492</v>
      </c>
      <c r="C208" s="615"/>
      <c r="D208" s="615"/>
      <c r="E208" s="615"/>
      <c r="F208" s="615"/>
      <c r="G208" s="615"/>
      <c r="H208" s="1676">
        <f>SUM(H204,H205,H206,H207)</f>
        <v>15292</v>
      </c>
      <c r="I208" s="615"/>
      <c r="J208" s="615"/>
      <c r="K208" s="1676">
        <f>SUM(K204,K205,K206,K207)</f>
        <v>15292</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row>
    <row r="210" spans="1:14" ht="12.75" customHeight="1" thickTop="1" thickBot="1" x14ac:dyDescent="0.25">
      <c r="A210" s="1691" t="s">
        <v>277</v>
      </c>
      <c r="B210" s="1692"/>
      <c r="C210" s="1669">
        <f>SUM(C184,C185)</f>
        <v>0</v>
      </c>
      <c r="D210" s="1669">
        <f>SUM(D184,D185)</f>
        <v>0</v>
      </c>
      <c r="E210" s="1669">
        <f>SUM(E184,E185,E196)</f>
        <v>701853</v>
      </c>
      <c r="F210" s="1669">
        <f>SUM(F184,F185)</f>
        <v>806</v>
      </c>
      <c r="G210" s="1669">
        <f>SUM(G184,G185)</f>
        <v>0</v>
      </c>
      <c r="H210" s="1669">
        <f>SUM(H184,H185,H196,H208,H209)</f>
        <v>15292</v>
      </c>
      <c r="I210" s="1669">
        <f>SUM(I184,I185)</f>
        <v>0</v>
      </c>
      <c r="J210" s="1669">
        <f>SUM(J184,J185)</f>
        <v>0</v>
      </c>
      <c r="K210" s="1670">
        <f>SUM(K184,K185,K196,K208,K209)</f>
        <v>717951</v>
      </c>
      <c r="L210" s="1669">
        <f>SUM(L184,L185,L196,L208,L209)</f>
        <v>743800</v>
      </c>
    </row>
    <row r="211" spans="1:14" ht="13.5" thickTop="1" x14ac:dyDescent="0.2">
      <c r="A211" s="2159" t="s">
        <v>996</v>
      </c>
      <c r="B211" s="2160"/>
      <c r="C211" s="617"/>
      <c r="D211" s="617"/>
      <c r="E211" s="617"/>
      <c r="F211" s="617"/>
      <c r="G211" s="617"/>
      <c r="H211" s="617"/>
      <c r="I211" s="615"/>
      <c r="J211" s="615"/>
      <c r="K211" s="1683">
        <f>'Revenues 9-14'!F268-'Expenditures 15-22'!K210</f>
        <v>226535</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81" t="s">
        <v>965</v>
      </c>
      <c r="B213" s="2182"/>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170577</v>
      </c>
      <c r="E215" s="615"/>
      <c r="F215" s="615"/>
      <c r="G215" s="615"/>
      <c r="H215" s="615"/>
      <c r="I215" s="615"/>
      <c r="J215" s="615"/>
      <c r="K215" s="1670">
        <f>D215</f>
        <v>170577</v>
      </c>
      <c r="L215" s="465">
        <v>171000</v>
      </c>
    </row>
    <row r="216" spans="1:14" x14ac:dyDescent="0.2">
      <c r="A216" s="1503" t="s">
        <v>163</v>
      </c>
      <c r="B216" s="613" t="s">
        <v>967</v>
      </c>
      <c r="C216" s="615"/>
      <c r="D216" s="466"/>
      <c r="E216" s="615"/>
      <c r="F216" s="615"/>
      <c r="G216" s="615"/>
      <c r="H216" s="615"/>
      <c r="I216" s="615"/>
      <c r="J216" s="615"/>
      <c r="K216" s="1670">
        <f t="shared" ref="K216:K228" si="19">D216</f>
        <v>0</v>
      </c>
      <c r="L216" s="465"/>
    </row>
    <row r="217" spans="1:14" x14ac:dyDescent="0.2">
      <c r="A217" s="1503" t="s">
        <v>164</v>
      </c>
      <c r="B217" s="613">
        <v>1200</v>
      </c>
      <c r="C217" s="615"/>
      <c r="D217" s="465">
        <v>111434</v>
      </c>
      <c r="E217" s="615"/>
      <c r="F217" s="615"/>
      <c r="G217" s="615"/>
      <c r="H217" s="615"/>
      <c r="I217" s="615"/>
      <c r="J217" s="615"/>
      <c r="K217" s="1670">
        <f t="shared" si="19"/>
        <v>111434</v>
      </c>
      <c r="L217" s="465">
        <v>116500</v>
      </c>
    </row>
    <row r="218" spans="1:14" x14ac:dyDescent="0.2">
      <c r="A218" s="1503" t="s">
        <v>278</v>
      </c>
      <c r="B218" s="613" t="s">
        <v>968</v>
      </c>
      <c r="C218" s="615"/>
      <c r="D218" s="466"/>
      <c r="E218" s="615"/>
      <c r="F218" s="615"/>
      <c r="G218" s="615"/>
      <c r="H218" s="615"/>
      <c r="I218" s="615"/>
      <c r="J218" s="615"/>
      <c r="K218" s="1670">
        <f t="shared" si="19"/>
        <v>0</v>
      </c>
      <c r="L218" s="465"/>
    </row>
    <row r="219" spans="1:14" x14ac:dyDescent="0.2">
      <c r="A219" s="1503" t="s">
        <v>279</v>
      </c>
      <c r="B219" s="613">
        <v>1250</v>
      </c>
      <c r="C219" s="615"/>
      <c r="D219" s="465">
        <v>7743</v>
      </c>
      <c r="E219" s="615"/>
      <c r="F219" s="615"/>
      <c r="G219" s="615"/>
      <c r="H219" s="615"/>
      <c r="I219" s="615"/>
      <c r="J219" s="615"/>
      <c r="K219" s="1670">
        <f t="shared" si="19"/>
        <v>7743</v>
      </c>
      <c r="L219" s="465">
        <v>8400</v>
      </c>
    </row>
    <row r="220" spans="1:14" x14ac:dyDescent="0.2">
      <c r="A220" s="1503" t="s">
        <v>280</v>
      </c>
      <c r="B220" s="613" t="s">
        <v>161</v>
      </c>
      <c r="C220" s="615"/>
      <c r="D220" s="466"/>
      <c r="E220" s="615"/>
      <c r="F220" s="615"/>
      <c r="G220" s="615"/>
      <c r="H220" s="615"/>
      <c r="I220" s="615"/>
      <c r="J220" s="615"/>
      <c r="K220" s="1670">
        <f t="shared" si="19"/>
        <v>0</v>
      </c>
      <c r="L220" s="465"/>
    </row>
    <row r="221" spans="1:14" x14ac:dyDescent="0.2">
      <c r="A221" s="1503" t="s">
        <v>962</v>
      </c>
      <c r="B221" s="613">
        <v>1300</v>
      </c>
      <c r="C221" s="615"/>
      <c r="D221" s="465"/>
      <c r="E221" s="615"/>
      <c r="F221" s="615"/>
      <c r="G221" s="615"/>
      <c r="H221" s="615"/>
      <c r="I221" s="615"/>
      <c r="J221" s="615"/>
      <c r="K221" s="1670">
        <f t="shared" si="19"/>
        <v>0</v>
      </c>
      <c r="L221" s="465"/>
    </row>
    <row r="222" spans="1:14" x14ac:dyDescent="0.2">
      <c r="A222" s="1503" t="s">
        <v>723</v>
      </c>
      <c r="B222" s="613">
        <v>1400</v>
      </c>
      <c r="C222" s="615"/>
      <c r="D222" s="465">
        <v>3463</v>
      </c>
      <c r="E222" s="615"/>
      <c r="F222" s="615"/>
      <c r="G222" s="615"/>
      <c r="H222" s="615"/>
      <c r="I222" s="615"/>
      <c r="J222" s="615"/>
      <c r="K222" s="1670">
        <f t="shared" si="19"/>
        <v>3463</v>
      </c>
      <c r="L222" s="465">
        <v>4200</v>
      </c>
    </row>
    <row r="223" spans="1:14" x14ac:dyDescent="0.2">
      <c r="A223" s="1503" t="s">
        <v>963</v>
      </c>
      <c r="B223" s="613">
        <v>1500</v>
      </c>
      <c r="C223" s="615"/>
      <c r="D223" s="465">
        <v>31259</v>
      </c>
      <c r="E223" s="615"/>
      <c r="F223" s="615"/>
      <c r="G223" s="615"/>
      <c r="H223" s="615"/>
      <c r="I223" s="615"/>
      <c r="J223" s="615"/>
      <c r="K223" s="1670">
        <f t="shared" si="19"/>
        <v>31259</v>
      </c>
      <c r="L223" s="465">
        <v>31750</v>
      </c>
    </row>
    <row r="224" spans="1:14" x14ac:dyDescent="0.2">
      <c r="A224" s="1503" t="s">
        <v>964</v>
      </c>
      <c r="B224" s="613">
        <v>1600</v>
      </c>
      <c r="C224" s="615"/>
      <c r="D224" s="465">
        <v>3512</v>
      </c>
      <c r="E224" s="615"/>
      <c r="F224" s="615"/>
      <c r="G224" s="615"/>
      <c r="H224" s="615"/>
      <c r="I224" s="615"/>
      <c r="J224" s="615"/>
      <c r="K224" s="1670">
        <f t="shared" si="19"/>
        <v>3512</v>
      </c>
      <c r="L224" s="465">
        <v>3900</v>
      </c>
    </row>
    <row r="225" spans="1:12" x14ac:dyDescent="0.2">
      <c r="A225" s="1503" t="s">
        <v>987</v>
      </c>
      <c r="B225" s="613">
        <v>1650</v>
      </c>
      <c r="C225" s="615"/>
      <c r="D225" s="465"/>
      <c r="E225" s="615"/>
      <c r="F225" s="615"/>
      <c r="G225" s="615"/>
      <c r="H225" s="615"/>
      <c r="I225" s="615"/>
      <c r="J225" s="615"/>
      <c r="K225" s="1670">
        <f t="shared" si="19"/>
        <v>0</v>
      </c>
      <c r="L225" s="465"/>
    </row>
    <row r="226" spans="1:12" x14ac:dyDescent="0.2">
      <c r="A226" s="1503" t="s">
        <v>724</v>
      </c>
      <c r="B226" s="613" t="s">
        <v>162</v>
      </c>
      <c r="C226" s="615"/>
      <c r="D226" s="466"/>
      <c r="E226" s="615"/>
      <c r="F226" s="615"/>
      <c r="G226" s="615"/>
      <c r="H226" s="615"/>
      <c r="I226" s="615"/>
      <c r="J226" s="615"/>
      <c r="K226" s="1670">
        <f t="shared" si="19"/>
        <v>0</v>
      </c>
      <c r="L226" s="465"/>
    </row>
    <row r="227" spans="1:12" x14ac:dyDescent="0.2">
      <c r="A227" s="1503" t="s">
        <v>1087</v>
      </c>
      <c r="B227" s="613">
        <v>1800</v>
      </c>
      <c r="C227" s="615"/>
      <c r="D227" s="465"/>
      <c r="E227" s="615"/>
      <c r="F227" s="615"/>
      <c r="G227" s="615"/>
      <c r="H227" s="615"/>
      <c r="I227" s="615"/>
      <c r="J227" s="615"/>
      <c r="K227" s="1670">
        <f t="shared" si="19"/>
        <v>0</v>
      </c>
      <c r="L227" s="465"/>
    </row>
    <row r="228" spans="1:12" x14ac:dyDescent="0.2">
      <c r="A228" s="1503" t="s">
        <v>1088</v>
      </c>
      <c r="B228" s="613">
        <v>1900</v>
      </c>
      <c r="C228" s="615"/>
      <c r="D228" s="465"/>
      <c r="E228" s="615"/>
      <c r="F228" s="615"/>
      <c r="G228" s="615"/>
      <c r="H228" s="615"/>
      <c r="I228" s="615"/>
      <c r="J228" s="615"/>
      <c r="K228" s="1670">
        <f t="shared" si="19"/>
        <v>0</v>
      </c>
      <c r="L228" s="465"/>
    </row>
    <row r="229" spans="1:12" ht="12.75" customHeight="1" thickBot="1" x14ac:dyDescent="0.25">
      <c r="A229" s="1667" t="s">
        <v>715</v>
      </c>
      <c r="B229" s="1674" t="s">
        <v>570</v>
      </c>
      <c r="C229" s="615"/>
      <c r="D229" s="1669">
        <f>SUM(D215:D228)</f>
        <v>327988</v>
      </c>
      <c r="E229" s="615"/>
      <c r="F229" s="615"/>
      <c r="G229" s="615"/>
      <c r="H229" s="615"/>
      <c r="I229" s="615"/>
      <c r="J229" s="615"/>
      <c r="K229" s="1669">
        <f>SUM(K215:K228)</f>
        <v>327988</v>
      </c>
      <c r="L229" s="1669">
        <f>SUM(L215:L228)</f>
        <v>335750</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54378</v>
      </c>
      <c r="E232" s="615"/>
      <c r="F232" s="615"/>
      <c r="G232" s="615"/>
      <c r="H232" s="615"/>
      <c r="I232" s="615"/>
      <c r="J232" s="615"/>
      <c r="K232" s="1670">
        <f t="shared" ref="K232:K237" si="20">D232</f>
        <v>54378</v>
      </c>
      <c r="L232" s="465">
        <v>54000</v>
      </c>
    </row>
    <row r="233" spans="1:12" x14ac:dyDescent="0.2">
      <c r="A233" s="1503" t="s">
        <v>1090</v>
      </c>
      <c r="B233" s="613">
        <v>2120</v>
      </c>
      <c r="C233" s="615"/>
      <c r="D233" s="465">
        <v>18459</v>
      </c>
      <c r="E233" s="615"/>
      <c r="F233" s="615"/>
      <c r="G233" s="615"/>
      <c r="H233" s="615"/>
      <c r="I233" s="615"/>
      <c r="J233" s="615"/>
      <c r="K233" s="1670">
        <f t="shared" si="20"/>
        <v>18459</v>
      </c>
      <c r="L233" s="465">
        <v>19100</v>
      </c>
    </row>
    <row r="234" spans="1:12" x14ac:dyDescent="0.2">
      <c r="A234" s="1503" t="s">
        <v>198</v>
      </c>
      <c r="B234" s="613">
        <v>2130</v>
      </c>
      <c r="C234" s="615"/>
      <c r="D234" s="465">
        <v>9971</v>
      </c>
      <c r="E234" s="615"/>
      <c r="F234" s="615"/>
      <c r="G234" s="615"/>
      <c r="H234" s="615"/>
      <c r="I234" s="615"/>
      <c r="J234" s="615"/>
      <c r="K234" s="1670">
        <f t="shared" si="20"/>
        <v>9971</v>
      </c>
      <c r="L234" s="465">
        <v>10900</v>
      </c>
    </row>
    <row r="235" spans="1:12" x14ac:dyDescent="0.2">
      <c r="A235" s="1503" t="s">
        <v>199</v>
      </c>
      <c r="B235" s="613">
        <v>2140</v>
      </c>
      <c r="C235" s="615"/>
      <c r="D235" s="465"/>
      <c r="E235" s="615"/>
      <c r="F235" s="615"/>
      <c r="G235" s="615"/>
      <c r="H235" s="615"/>
      <c r="I235" s="615"/>
      <c r="J235" s="615"/>
      <c r="K235" s="1670">
        <f t="shared" si="20"/>
        <v>0</v>
      </c>
      <c r="L235" s="465"/>
    </row>
    <row r="236" spans="1:12" x14ac:dyDescent="0.2">
      <c r="A236" s="1503" t="s">
        <v>200</v>
      </c>
      <c r="B236" s="613">
        <v>2150</v>
      </c>
      <c r="C236" s="615"/>
      <c r="D236" s="465"/>
      <c r="E236" s="615"/>
      <c r="F236" s="615"/>
      <c r="G236" s="615"/>
      <c r="H236" s="615"/>
      <c r="I236" s="615"/>
      <c r="J236" s="615"/>
      <c r="K236" s="1670">
        <f t="shared" si="20"/>
        <v>0</v>
      </c>
      <c r="L236" s="465"/>
    </row>
    <row r="237" spans="1:12" x14ac:dyDescent="0.2">
      <c r="A237" s="1503" t="s">
        <v>165</v>
      </c>
      <c r="B237" s="613">
        <v>2190</v>
      </c>
      <c r="C237" s="615"/>
      <c r="D237" s="465"/>
      <c r="E237" s="615"/>
      <c r="F237" s="615"/>
      <c r="G237" s="615"/>
      <c r="H237" s="615"/>
      <c r="I237" s="615"/>
      <c r="J237" s="615"/>
      <c r="K237" s="1670">
        <f t="shared" si="20"/>
        <v>0</v>
      </c>
      <c r="L237" s="465"/>
    </row>
    <row r="238" spans="1:12" ht="12.75" customHeight="1" thickBot="1" x14ac:dyDescent="0.25">
      <c r="A238" s="1667" t="s">
        <v>560</v>
      </c>
      <c r="B238" s="1674" t="s">
        <v>716</v>
      </c>
      <c r="C238" s="615"/>
      <c r="D238" s="1669">
        <f>SUM(D232:D237)</f>
        <v>82808</v>
      </c>
      <c r="E238" s="615"/>
      <c r="F238" s="615"/>
      <c r="G238" s="615"/>
      <c r="H238" s="615"/>
      <c r="I238" s="615"/>
      <c r="J238" s="615"/>
      <c r="K238" s="1669">
        <f>SUM(K232:K237)</f>
        <v>82808</v>
      </c>
      <c r="L238" s="1669">
        <f>SUM(L232:L237)</f>
        <v>84000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c r="E240" s="615"/>
      <c r="F240" s="615"/>
      <c r="G240" s="615"/>
      <c r="H240" s="615"/>
      <c r="I240" s="615"/>
      <c r="J240" s="615"/>
      <c r="K240" s="1671">
        <f>D240</f>
        <v>0</v>
      </c>
      <c r="L240" s="480"/>
    </row>
    <row r="241" spans="1:12" x14ac:dyDescent="0.2">
      <c r="A241" s="1503" t="s">
        <v>815</v>
      </c>
      <c r="B241" s="613">
        <v>2220</v>
      </c>
      <c r="C241" s="615"/>
      <c r="D241" s="465">
        <v>24532</v>
      </c>
      <c r="E241" s="615"/>
      <c r="F241" s="615"/>
      <c r="G241" s="615"/>
      <c r="H241" s="615"/>
      <c r="I241" s="615"/>
      <c r="J241" s="615"/>
      <c r="K241" s="1671">
        <f>D241</f>
        <v>24532</v>
      </c>
      <c r="L241" s="465">
        <v>28300</v>
      </c>
    </row>
    <row r="242" spans="1:12" x14ac:dyDescent="0.2">
      <c r="A242" s="1503" t="s">
        <v>816</v>
      </c>
      <c r="B242" s="613">
        <v>2230</v>
      </c>
      <c r="C242" s="615"/>
      <c r="D242" s="465"/>
      <c r="E242" s="615"/>
      <c r="F242" s="615"/>
      <c r="G242" s="615"/>
      <c r="H242" s="615"/>
      <c r="I242" s="615"/>
      <c r="J242" s="615"/>
      <c r="K242" s="1671">
        <f>D242</f>
        <v>0</v>
      </c>
      <c r="L242" s="465"/>
    </row>
    <row r="243" spans="1:12" ht="12.75" customHeight="1" thickBot="1" x14ac:dyDescent="0.25">
      <c r="A243" s="1693" t="s">
        <v>561</v>
      </c>
      <c r="B243" s="1694">
        <v>2200</v>
      </c>
      <c r="C243" s="615"/>
      <c r="D243" s="1669">
        <f>SUM(D240:D242)</f>
        <v>24532</v>
      </c>
      <c r="E243" s="615"/>
      <c r="F243" s="615"/>
      <c r="G243" s="615"/>
      <c r="H243" s="615"/>
      <c r="I243" s="615"/>
      <c r="J243" s="615"/>
      <c r="K243" s="1669">
        <f>SUM(K240:K242)</f>
        <v>24532</v>
      </c>
      <c r="L243" s="1669">
        <f>SUM(L240:L242)</f>
        <v>28300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c r="E245" s="615"/>
      <c r="F245" s="615"/>
      <c r="G245" s="615"/>
      <c r="H245" s="615"/>
      <c r="I245" s="615"/>
      <c r="J245" s="615"/>
      <c r="K245" s="1671">
        <f>D245</f>
        <v>0</v>
      </c>
      <c r="L245" s="480"/>
    </row>
    <row r="246" spans="1:12" x14ac:dyDescent="0.2">
      <c r="A246" s="1503" t="s">
        <v>818</v>
      </c>
      <c r="B246" s="613">
        <v>2320</v>
      </c>
      <c r="C246" s="615"/>
      <c r="D246" s="465">
        <v>16255</v>
      </c>
      <c r="E246" s="615"/>
      <c r="F246" s="615"/>
      <c r="G246" s="615"/>
      <c r="H246" s="615"/>
      <c r="I246" s="615"/>
      <c r="J246" s="615"/>
      <c r="K246" s="1671">
        <f t="shared" ref="K246:K256" si="21">D246</f>
        <v>16255</v>
      </c>
      <c r="L246" s="465">
        <v>18700</v>
      </c>
    </row>
    <row r="247" spans="1:12" x14ac:dyDescent="0.2">
      <c r="A247" s="1503" t="s">
        <v>819</v>
      </c>
      <c r="B247" s="613">
        <v>2330</v>
      </c>
      <c r="C247" s="615"/>
      <c r="D247" s="465"/>
      <c r="E247" s="615"/>
      <c r="F247" s="615"/>
      <c r="G247" s="615"/>
      <c r="H247" s="615"/>
      <c r="I247" s="615"/>
      <c r="J247" s="615"/>
      <c r="K247" s="1671">
        <f t="shared" si="21"/>
        <v>0</v>
      </c>
      <c r="L247" s="465"/>
    </row>
    <row r="248" spans="1:12" x14ac:dyDescent="0.2">
      <c r="A248" s="1504" t="s">
        <v>299</v>
      </c>
      <c r="B248" s="601" t="s">
        <v>281</v>
      </c>
      <c r="C248" s="615"/>
      <c r="D248" s="473"/>
      <c r="E248" s="615"/>
      <c r="F248" s="615"/>
      <c r="G248" s="615"/>
      <c r="H248" s="615"/>
      <c r="I248" s="615"/>
      <c r="J248" s="615"/>
      <c r="K248" s="1671">
        <f t="shared" si="21"/>
        <v>0</v>
      </c>
      <c r="L248" s="465"/>
    </row>
    <row r="249" spans="1:12" x14ac:dyDescent="0.2">
      <c r="A249" s="1505" t="s">
        <v>1805</v>
      </c>
      <c r="B249" s="682" t="s">
        <v>282</v>
      </c>
      <c r="C249" s="615"/>
      <c r="D249" s="473"/>
      <c r="E249" s="615"/>
      <c r="F249" s="615"/>
      <c r="G249" s="615"/>
      <c r="H249" s="615"/>
      <c r="I249" s="615"/>
      <c r="J249" s="615"/>
      <c r="K249" s="1671">
        <f t="shared" si="21"/>
        <v>0</v>
      </c>
      <c r="L249" s="465"/>
    </row>
    <row r="250" spans="1:12" x14ac:dyDescent="0.2">
      <c r="A250" s="1504" t="s">
        <v>1806</v>
      </c>
      <c r="B250" s="601" t="s">
        <v>283</v>
      </c>
      <c r="C250" s="615"/>
      <c r="D250" s="473"/>
      <c r="E250" s="615"/>
      <c r="F250" s="615"/>
      <c r="G250" s="615"/>
      <c r="H250" s="615"/>
      <c r="I250" s="615"/>
      <c r="J250" s="615"/>
      <c r="K250" s="1671">
        <f t="shared" si="21"/>
        <v>0</v>
      </c>
      <c r="L250" s="465"/>
    </row>
    <row r="251" spans="1:12" x14ac:dyDescent="0.2">
      <c r="A251" s="1504" t="s">
        <v>238</v>
      </c>
      <c r="B251" s="601" t="s">
        <v>284</v>
      </c>
      <c r="C251" s="615"/>
      <c r="D251" s="473"/>
      <c r="E251" s="615"/>
      <c r="F251" s="615"/>
      <c r="G251" s="615"/>
      <c r="H251" s="615"/>
      <c r="I251" s="615"/>
      <c r="J251" s="615"/>
      <c r="K251" s="1671">
        <f t="shared" si="21"/>
        <v>0</v>
      </c>
      <c r="L251" s="465"/>
    </row>
    <row r="252" spans="1:12" x14ac:dyDescent="0.2">
      <c r="A252" s="1504" t="s">
        <v>702</v>
      </c>
      <c r="B252" s="601" t="s">
        <v>285</v>
      </c>
      <c r="C252" s="615"/>
      <c r="D252" s="473"/>
      <c r="E252" s="615"/>
      <c r="F252" s="615"/>
      <c r="G252" s="615"/>
      <c r="H252" s="615"/>
      <c r="I252" s="615"/>
      <c r="J252" s="615"/>
      <c r="K252" s="1671">
        <f t="shared" si="21"/>
        <v>0</v>
      </c>
      <c r="L252" s="465"/>
    </row>
    <row r="253" spans="1:12" x14ac:dyDescent="0.2">
      <c r="A253" s="1504" t="s">
        <v>239</v>
      </c>
      <c r="B253" s="601" t="s">
        <v>286</v>
      </c>
      <c r="C253" s="615"/>
      <c r="D253" s="473"/>
      <c r="E253" s="615"/>
      <c r="F253" s="615"/>
      <c r="G253" s="615"/>
      <c r="H253" s="615"/>
      <c r="I253" s="615"/>
      <c r="J253" s="615"/>
      <c r="K253" s="1671">
        <f t="shared" si="21"/>
        <v>0</v>
      </c>
      <c r="L253" s="465"/>
    </row>
    <row r="254" spans="1:12" ht="22.5" x14ac:dyDescent="0.2">
      <c r="A254" s="1504" t="s">
        <v>1029</v>
      </c>
      <c r="B254" s="682" t="s">
        <v>287</v>
      </c>
      <c r="C254" s="615"/>
      <c r="D254" s="473"/>
      <c r="E254" s="615"/>
      <c r="F254" s="615"/>
      <c r="G254" s="615"/>
      <c r="H254" s="615"/>
      <c r="I254" s="615"/>
      <c r="J254" s="615"/>
      <c r="K254" s="1671">
        <f t="shared" si="21"/>
        <v>0</v>
      </c>
      <c r="L254" s="465"/>
    </row>
    <row r="255" spans="1:12" x14ac:dyDescent="0.2">
      <c r="A255" s="1504" t="s">
        <v>1030</v>
      </c>
      <c r="B255" s="601" t="s">
        <v>288</v>
      </c>
      <c r="C255" s="615"/>
      <c r="D255" s="473"/>
      <c r="E255" s="615"/>
      <c r="F255" s="615"/>
      <c r="G255" s="615"/>
      <c r="H255" s="615"/>
      <c r="I255" s="615"/>
      <c r="J255" s="615"/>
      <c r="K255" s="1671">
        <f t="shared" si="21"/>
        <v>0</v>
      </c>
      <c r="L255" s="465"/>
    </row>
    <row r="256" spans="1:12" x14ac:dyDescent="0.2">
      <c r="A256" s="1504" t="s">
        <v>971</v>
      </c>
      <c r="B256" s="613" t="s">
        <v>289</v>
      </c>
      <c r="C256" s="615"/>
      <c r="D256" s="473"/>
      <c r="E256" s="615"/>
      <c r="F256" s="615"/>
      <c r="G256" s="615"/>
      <c r="H256" s="615"/>
      <c r="I256" s="615"/>
      <c r="J256" s="615"/>
      <c r="K256" s="1671">
        <f t="shared" si="21"/>
        <v>0</v>
      </c>
      <c r="L256" s="465"/>
    </row>
    <row r="257" spans="1:14" ht="12.75" customHeight="1" thickBot="1" x14ac:dyDescent="0.25">
      <c r="A257" s="1667" t="s">
        <v>717</v>
      </c>
      <c r="B257" s="1695">
        <v>2300</v>
      </c>
      <c r="C257" s="615"/>
      <c r="D257" s="1669">
        <f>SUM(D245:D256)</f>
        <v>16255</v>
      </c>
      <c r="E257" s="615"/>
      <c r="F257" s="615"/>
      <c r="G257" s="615"/>
      <c r="H257" s="615"/>
      <c r="I257" s="615"/>
      <c r="J257" s="615"/>
      <c r="K257" s="1669">
        <f>SUM(K245:K256)</f>
        <v>16255</v>
      </c>
      <c r="L257" s="1669">
        <f>SUM(L245:L256)</f>
        <v>18700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17544</v>
      </c>
      <c r="E259" s="615"/>
      <c r="F259" s="615"/>
      <c r="G259" s="615"/>
      <c r="H259" s="615"/>
      <c r="I259" s="615"/>
      <c r="J259" s="615"/>
      <c r="K259" s="1671">
        <f>D259</f>
        <v>17544</v>
      </c>
      <c r="L259" s="480">
        <v>18900</v>
      </c>
    </row>
    <row r="260" spans="1:14" s="596" customFormat="1" x14ac:dyDescent="0.2">
      <c r="A260" s="1521" t="s">
        <v>1804</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17544</v>
      </c>
      <c r="E261" s="615"/>
      <c r="F261" s="615"/>
      <c r="G261" s="615"/>
      <c r="H261" s="615"/>
      <c r="I261" s="615"/>
      <c r="J261" s="615"/>
      <c r="K261" s="1669">
        <f>SUM(K259:K260)</f>
        <v>17544</v>
      </c>
      <c r="L261" s="1669">
        <f>SUM(L259:L260)</f>
        <v>18900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v>1350</v>
      </c>
      <c r="E263" s="615"/>
      <c r="F263" s="615"/>
      <c r="G263" s="615"/>
      <c r="H263" s="615"/>
      <c r="I263" s="615"/>
      <c r="J263" s="615"/>
      <c r="K263" s="1671">
        <f>D263</f>
        <v>1350</v>
      </c>
      <c r="L263" s="480">
        <v>1300</v>
      </c>
    </row>
    <row r="264" spans="1:14" x14ac:dyDescent="0.2">
      <c r="A264" s="1503" t="s">
        <v>463</v>
      </c>
      <c r="B264" s="684">
        <v>2520</v>
      </c>
      <c r="C264" s="615"/>
      <c r="D264" s="465">
        <v>24564</v>
      </c>
      <c r="E264" s="615"/>
      <c r="F264" s="615"/>
      <c r="G264" s="615"/>
      <c r="H264" s="615"/>
      <c r="I264" s="615"/>
      <c r="J264" s="615"/>
      <c r="K264" s="1671">
        <f t="shared" ref="K264:K269" si="22">D264</f>
        <v>24564</v>
      </c>
      <c r="L264" s="465">
        <v>25200</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c r="E266" s="615"/>
      <c r="F266" s="615"/>
      <c r="G266" s="615"/>
      <c r="H266" s="615"/>
      <c r="I266" s="615"/>
      <c r="J266" s="615"/>
      <c r="K266" s="1671">
        <f t="shared" si="22"/>
        <v>0</v>
      </c>
      <c r="L266" s="465"/>
    </row>
    <row r="267" spans="1:14" x14ac:dyDescent="0.2">
      <c r="A267" s="1503" t="s">
        <v>953</v>
      </c>
      <c r="B267" s="613">
        <v>2550</v>
      </c>
      <c r="C267" s="615"/>
      <c r="D267" s="465"/>
      <c r="E267" s="615"/>
      <c r="F267" s="615"/>
      <c r="G267" s="615"/>
      <c r="H267" s="615"/>
      <c r="I267" s="615"/>
      <c r="J267" s="615"/>
      <c r="K267" s="1671">
        <f t="shared" si="22"/>
        <v>0</v>
      </c>
      <c r="L267" s="465"/>
    </row>
    <row r="268" spans="1:14" x14ac:dyDescent="0.2">
      <c r="A268" s="1503" t="s">
        <v>100</v>
      </c>
      <c r="B268" s="613">
        <v>2560</v>
      </c>
      <c r="C268" s="615"/>
      <c r="D268" s="465"/>
      <c r="E268" s="615"/>
      <c r="F268" s="615"/>
      <c r="G268" s="615"/>
      <c r="H268" s="615"/>
      <c r="I268" s="615"/>
      <c r="J268" s="615"/>
      <c r="K268" s="1671">
        <f t="shared" si="22"/>
        <v>0</v>
      </c>
      <c r="L268" s="465"/>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719</v>
      </c>
      <c r="B270" s="1674" t="s">
        <v>35</v>
      </c>
      <c r="C270" s="615"/>
      <c r="D270" s="1669">
        <f>SUM(D263:D269)</f>
        <v>25914</v>
      </c>
      <c r="E270" s="615"/>
      <c r="F270" s="615"/>
      <c r="G270" s="615"/>
      <c r="H270" s="615"/>
      <c r="I270" s="615"/>
      <c r="J270" s="615"/>
      <c r="K270" s="1669">
        <f>SUM(K263:K269)</f>
        <v>25914</v>
      </c>
      <c r="L270" s="1669">
        <f>SUM(L263:L269)</f>
        <v>26500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row>
    <row r="273" spans="1:12" x14ac:dyDescent="0.2">
      <c r="A273" s="1503" t="s">
        <v>607</v>
      </c>
      <c r="B273" s="627">
        <v>2620</v>
      </c>
      <c r="C273" s="615"/>
      <c r="D273" s="465"/>
      <c r="E273" s="615"/>
      <c r="F273" s="615"/>
      <c r="G273" s="615"/>
      <c r="H273" s="615"/>
      <c r="I273" s="615"/>
      <c r="J273" s="615"/>
      <c r="K273" s="1671">
        <f>D273</f>
        <v>0</v>
      </c>
      <c r="L273" s="465"/>
    </row>
    <row r="274" spans="1:12" ht="12" customHeight="1" x14ac:dyDescent="0.2">
      <c r="A274" s="1503" t="s">
        <v>1061</v>
      </c>
      <c r="B274" s="613">
        <v>2630</v>
      </c>
      <c r="C274" s="615"/>
      <c r="D274" s="465"/>
      <c r="E274" s="615"/>
      <c r="F274" s="615"/>
      <c r="G274" s="615"/>
      <c r="H274" s="615"/>
      <c r="I274" s="615"/>
      <c r="J274" s="615"/>
      <c r="K274" s="1671">
        <f>D274</f>
        <v>0</v>
      </c>
      <c r="L274" s="465"/>
    </row>
    <row r="275" spans="1:12" x14ac:dyDescent="0.2">
      <c r="A275" s="1503" t="s">
        <v>403</v>
      </c>
      <c r="B275" s="613">
        <v>2640</v>
      </c>
      <c r="C275" s="615"/>
      <c r="D275" s="465"/>
      <c r="E275" s="615"/>
      <c r="F275" s="615"/>
      <c r="G275" s="615"/>
      <c r="H275" s="615"/>
      <c r="I275" s="615"/>
      <c r="J275" s="615"/>
      <c r="K275" s="1671">
        <f>D275</f>
        <v>0</v>
      </c>
      <c r="L275" s="465"/>
    </row>
    <row r="276" spans="1:12" x14ac:dyDescent="0.2">
      <c r="A276" s="1503" t="s">
        <v>404</v>
      </c>
      <c r="B276" s="613">
        <v>2660</v>
      </c>
      <c r="C276" s="615"/>
      <c r="D276" s="465">
        <v>10424</v>
      </c>
      <c r="E276" s="615"/>
      <c r="F276" s="615"/>
      <c r="G276" s="615"/>
      <c r="H276" s="615"/>
      <c r="I276" s="615"/>
      <c r="J276" s="615"/>
      <c r="K276" s="1671">
        <f>D276</f>
        <v>10424</v>
      </c>
      <c r="L276" s="465">
        <v>11200</v>
      </c>
    </row>
    <row r="277" spans="1:12" ht="12.75" customHeight="1" thickBot="1" x14ac:dyDescent="0.25">
      <c r="A277" s="1690" t="s">
        <v>37</v>
      </c>
      <c r="B277" s="1668" t="s">
        <v>36</v>
      </c>
      <c r="C277" s="615"/>
      <c r="D277" s="1669">
        <f>SUM(D272:D276)</f>
        <v>10424</v>
      </c>
      <c r="E277" s="615"/>
      <c r="F277" s="615"/>
      <c r="G277" s="615"/>
      <c r="H277" s="615"/>
      <c r="I277" s="615"/>
      <c r="J277" s="615"/>
      <c r="K277" s="1669">
        <f>SUM(K272:K276)</f>
        <v>10424</v>
      </c>
      <c r="L277" s="1669">
        <f>SUM(L272:L276)</f>
        <v>11200</v>
      </c>
    </row>
    <row r="278" spans="1:12" ht="13.5" customHeight="1" thickTop="1" x14ac:dyDescent="0.2">
      <c r="A278" s="1509" t="s">
        <v>980</v>
      </c>
      <c r="B278" s="654" t="s">
        <v>574</v>
      </c>
      <c r="C278" s="615"/>
      <c r="D278" s="655"/>
      <c r="E278" s="615"/>
      <c r="F278" s="615"/>
      <c r="G278" s="615"/>
      <c r="H278" s="615"/>
      <c r="I278" s="615"/>
      <c r="J278" s="615"/>
      <c r="K278" s="1684">
        <f>D278</f>
        <v>0</v>
      </c>
      <c r="L278" s="655"/>
    </row>
    <row r="279" spans="1:12" ht="12.75" customHeight="1" thickBot="1" x14ac:dyDescent="0.25">
      <c r="A279" s="1697" t="s">
        <v>811</v>
      </c>
      <c r="B279" s="1680">
        <v>2000</v>
      </c>
      <c r="C279" s="615"/>
      <c r="D279" s="1676">
        <f>SUM(D238,D243,D257,D261,D270,D277,D278)</f>
        <v>177477</v>
      </c>
      <c r="E279" s="615"/>
      <c r="F279" s="615"/>
      <c r="G279" s="615"/>
      <c r="H279" s="615"/>
      <c r="I279" s="615"/>
      <c r="J279" s="615"/>
      <c r="K279" s="1676">
        <f>SUM(K238,K243,K257,K261,K270,K277,K278)</f>
        <v>177477</v>
      </c>
      <c r="L279" s="1676">
        <f>SUM(L238,L243,L257,L261,L270,L277,L278)</f>
        <v>187600</v>
      </c>
    </row>
    <row r="280" spans="1:12" ht="15.75" customHeight="1" thickTop="1" thickBot="1" x14ac:dyDescent="0.25">
      <c r="A280" s="1623" t="s">
        <v>875</v>
      </c>
      <c r="B280" s="1612">
        <v>3000</v>
      </c>
      <c r="C280" s="615"/>
      <c r="D280" s="575">
        <v>15205</v>
      </c>
      <c r="E280" s="615"/>
      <c r="F280" s="615"/>
      <c r="G280" s="615"/>
      <c r="H280" s="615"/>
      <c r="I280" s="615"/>
      <c r="J280" s="615"/>
      <c r="K280" s="1678">
        <f>D280</f>
        <v>15205</v>
      </c>
      <c r="L280" s="575">
        <v>18000</v>
      </c>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1844</v>
      </c>
      <c r="C282" s="615"/>
      <c r="D282" s="466"/>
      <c r="E282" s="615"/>
      <c r="F282" s="615"/>
      <c r="G282" s="615"/>
      <c r="H282" s="615"/>
      <c r="I282" s="615"/>
      <c r="J282" s="615"/>
      <c r="K282" s="1670">
        <f>D282</f>
        <v>0</v>
      </c>
      <c r="L282" s="466"/>
    </row>
    <row r="283" spans="1:12" x14ac:dyDescent="0.2">
      <c r="A283" s="1503" t="s">
        <v>304</v>
      </c>
      <c r="B283" s="613">
        <v>4120</v>
      </c>
      <c r="C283" s="615"/>
      <c r="D283" s="465"/>
      <c r="E283" s="615"/>
      <c r="F283" s="615"/>
      <c r="G283" s="615"/>
      <c r="H283" s="615"/>
      <c r="I283" s="615"/>
      <c r="J283" s="615"/>
      <c r="K283" s="1670">
        <f>D283</f>
        <v>0</v>
      </c>
      <c r="L283" s="465"/>
    </row>
    <row r="284" spans="1:12" x14ac:dyDescent="0.2">
      <c r="A284" s="1503" t="s">
        <v>697</v>
      </c>
      <c r="B284" s="613">
        <v>4140</v>
      </c>
      <c r="C284" s="615"/>
      <c r="D284" s="466"/>
      <c r="E284" s="615"/>
      <c r="F284" s="615"/>
      <c r="G284" s="615"/>
      <c r="H284" s="615"/>
      <c r="I284" s="615"/>
      <c r="J284" s="615"/>
      <c r="K284" s="1670">
        <f>D284</f>
        <v>0</v>
      </c>
      <c r="L284" s="465"/>
    </row>
    <row r="285" spans="1:12" ht="12.75" customHeight="1" thickBot="1" x14ac:dyDescent="0.25">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1170</v>
      </c>
      <c r="B290" s="627" t="s">
        <v>617</v>
      </c>
      <c r="C290" s="615"/>
      <c r="D290" s="615"/>
      <c r="E290" s="615"/>
      <c r="F290" s="615"/>
      <c r="G290" s="615"/>
      <c r="H290" s="465"/>
      <c r="I290" s="615"/>
      <c r="J290" s="615"/>
      <c r="K290" s="1670">
        <f>H290</f>
        <v>0</v>
      </c>
      <c r="L290" s="465"/>
    </row>
    <row r="291" spans="1:14" x14ac:dyDescent="0.2">
      <c r="A291" s="1503" t="s">
        <v>89</v>
      </c>
      <c r="B291" s="613" t="s">
        <v>589</v>
      </c>
      <c r="C291" s="615"/>
      <c r="D291" s="615"/>
      <c r="E291" s="615"/>
      <c r="F291" s="615"/>
      <c r="G291" s="615"/>
      <c r="H291" s="465"/>
      <c r="I291" s="615"/>
      <c r="J291" s="615"/>
      <c r="K291" s="1670">
        <f>H291</f>
        <v>0</v>
      </c>
      <c r="L291" s="465"/>
    </row>
    <row r="292" spans="1:14" x14ac:dyDescent="0.2">
      <c r="A292" s="1503" t="s">
        <v>762</v>
      </c>
      <c r="B292" s="613" t="s">
        <v>618</v>
      </c>
      <c r="C292" s="615"/>
      <c r="D292" s="615"/>
      <c r="E292" s="615"/>
      <c r="F292" s="615"/>
      <c r="G292" s="615"/>
      <c r="H292" s="465"/>
      <c r="I292" s="615"/>
      <c r="J292" s="615"/>
      <c r="K292" s="1670">
        <f>H292</f>
        <v>0</v>
      </c>
      <c r="L292" s="465"/>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177" t="s">
        <v>505</v>
      </c>
      <c r="B295" s="2178"/>
      <c r="C295" s="615"/>
      <c r="D295" s="1669">
        <f>SUM(D229,D279,D280,D285)</f>
        <v>520670</v>
      </c>
      <c r="E295" s="615"/>
      <c r="F295" s="615"/>
      <c r="G295" s="615"/>
      <c r="H295" s="1669">
        <f>H293</f>
        <v>0</v>
      </c>
      <c r="I295" s="615"/>
      <c r="J295" s="615"/>
      <c r="K295" s="1669">
        <f>SUM(K229,K279,K280,K285,K293,K294)</f>
        <v>520670</v>
      </c>
      <c r="L295" s="1669">
        <f>SUM(L229,L279,L280,L285,L293,L294)</f>
        <v>541350</v>
      </c>
    </row>
    <row r="296" spans="1:14" ht="13.5" thickTop="1" x14ac:dyDescent="0.2">
      <c r="A296" s="2159" t="s">
        <v>996</v>
      </c>
      <c r="B296" s="2160"/>
      <c r="C296" s="615"/>
      <c r="D296" s="617"/>
      <c r="E296" s="615"/>
      <c r="F296" s="615"/>
      <c r="G296" s="615"/>
      <c r="H296" s="686"/>
      <c r="I296" s="615"/>
      <c r="J296" s="615"/>
      <c r="K296" s="1683">
        <f>'Revenues 9-14'!G268-'Expenditures 15-22'!K295</f>
        <v>39723</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9" t="s">
        <v>143</v>
      </c>
      <c r="B298" s="2163"/>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v>28438</v>
      </c>
      <c r="H301" s="465"/>
      <c r="I301" s="466"/>
      <c r="J301" s="466"/>
      <c r="K301" s="1670">
        <f>SUM(C301:J301)</f>
        <v>28438</v>
      </c>
      <c r="L301" s="466">
        <v>200000</v>
      </c>
    </row>
    <row r="302" spans="1:14" ht="13.5" customHeight="1" x14ac:dyDescent="0.2">
      <c r="A302" s="1516" t="s">
        <v>980</v>
      </c>
      <c r="B302" s="613" t="s">
        <v>574</v>
      </c>
      <c r="C302" s="465"/>
      <c r="D302" s="465"/>
      <c r="E302" s="465"/>
      <c r="F302" s="465"/>
      <c r="G302" s="465"/>
      <c r="H302" s="465"/>
      <c r="I302" s="466"/>
      <c r="J302" s="466"/>
      <c r="K302" s="1670">
        <f>SUM(C302:J302)</f>
        <v>0</v>
      </c>
      <c r="L302" s="465"/>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28438</v>
      </c>
      <c r="H303" s="1676">
        <f t="shared" si="23"/>
        <v>0</v>
      </c>
      <c r="I303" s="1676">
        <f t="shared" si="23"/>
        <v>0</v>
      </c>
      <c r="J303" s="1676">
        <f t="shared" si="23"/>
        <v>0</v>
      </c>
      <c r="K303" s="1676">
        <f t="shared" si="23"/>
        <v>28438</v>
      </c>
      <c r="L303" s="1676">
        <f t="shared" si="23"/>
        <v>200000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1849</v>
      </c>
      <c r="B306" s="689" t="s">
        <v>1844</v>
      </c>
      <c r="C306" s="615"/>
      <c r="D306" s="615"/>
      <c r="E306" s="466"/>
      <c r="F306" s="615"/>
      <c r="G306" s="615"/>
      <c r="H306" s="466"/>
      <c r="I306" s="615"/>
      <c r="J306" s="615"/>
      <c r="K306" s="1670">
        <f>SUM(E306,H306)</f>
        <v>0</v>
      </c>
      <c r="L306" s="466"/>
    </row>
    <row r="307" spans="1:14" x14ac:dyDescent="0.2">
      <c r="A307" s="1503" t="s">
        <v>304</v>
      </c>
      <c r="B307" s="613">
        <v>4120</v>
      </c>
      <c r="C307" s="615"/>
      <c r="D307" s="615"/>
      <c r="E307" s="466"/>
      <c r="F307" s="615"/>
      <c r="G307" s="615"/>
      <c r="H307" s="466"/>
      <c r="I307" s="476"/>
      <c r="J307" s="615"/>
      <c r="K307" s="1670">
        <f>SUM(E307,H307)</f>
        <v>0</v>
      </c>
      <c r="L307" s="465"/>
    </row>
    <row r="308" spans="1:14" x14ac:dyDescent="0.2">
      <c r="A308" s="1503" t="s">
        <v>697</v>
      </c>
      <c r="B308" s="613">
        <v>4140</v>
      </c>
      <c r="C308" s="615"/>
      <c r="D308" s="615"/>
      <c r="E308" s="466"/>
      <c r="F308" s="615"/>
      <c r="G308" s="615"/>
      <c r="H308" s="466"/>
      <c r="I308" s="476"/>
      <c r="J308" s="615"/>
      <c r="K308" s="1670">
        <f>SUM(E308,H308)</f>
        <v>0</v>
      </c>
      <c r="L308" s="465"/>
    </row>
    <row r="309" spans="1:14" ht="12.75" customHeight="1" x14ac:dyDescent="0.2">
      <c r="A309" s="1507" t="s">
        <v>698</v>
      </c>
      <c r="B309" s="627">
        <v>4190</v>
      </c>
      <c r="C309" s="615"/>
      <c r="D309" s="615"/>
      <c r="E309" s="466"/>
      <c r="F309" s="615"/>
      <c r="G309" s="615"/>
      <c r="H309" s="466"/>
      <c r="I309" s="476"/>
      <c r="J309" s="615"/>
      <c r="K309" s="1670">
        <f>SUM(E309,H309)</f>
        <v>0</v>
      </c>
      <c r="L309" s="465"/>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174" t="s">
        <v>277</v>
      </c>
      <c r="B312" s="2175"/>
      <c r="C312" s="1669">
        <f>SUM(C303)</f>
        <v>0</v>
      </c>
      <c r="D312" s="1669">
        <f>SUM(D303)</f>
        <v>0</v>
      </c>
      <c r="E312" s="1669">
        <f>SUM(E303,E310)</f>
        <v>0</v>
      </c>
      <c r="F312" s="1669">
        <f>SUM(F303)</f>
        <v>0</v>
      </c>
      <c r="G312" s="1669">
        <f>SUM(G303)</f>
        <v>28438</v>
      </c>
      <c r="H312" s="1669">
        <f>SUM(H303,H310)</f>
        <v>0</v>
      </c>
      <c r="I312" s="1669">
        <f>SUM(I303)</f>
        <v>0</v>
      </c>
      <c r="J312" s="1669">
        <f>SUM(J303)</f>
        <v>0</v>
      </c>
      <c r="K312" s="1669">
        <f>SUM(K303,K310,K311)</f>
        <v>28438</v>
      </c>
      <c r="L312" s="1669">
        <f>SUM(L303,L310,L311)</f>
        <v>200000</v>
      </c>
      <c r="M312" s="664"/>
      <c r="N312" s="664"/>
    </row>
    <row r="313" spans="1:14" ht="13.5" thickTop="1" x14ac:dyDescent="0.2">
      <c r="A313" s="2170" t="s">
        <v>996</v>
      </c>
      <c r="B313" s="2171"/>
      <c r="C313" s="625"/>
      <c r="D313" s="625"/>
      <c r="E313" s="625"/>
      <c r="F313" s="625"/>
      <c r="G313" s="625"/>
      <c r="H313" s="625"/>
      <c r="I313" s="625"/>
      <c r="J313" s="625"/>
      <c r="K313" s="1684">
        <f>'Revenues 9-14'!H268-'Expenditures 15-22'!K312</f>
        <v>-28009</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83" t="s">
        <v>149</v>
      </c>
      <c r="B315" s="2184"/>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5" t="s">
        <v>898</v>
      </c>
      <c r="B317" s="2184"/>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c r="M319" s="664"/>
      <c r="N319" s="664"/>
    </row>
    <row r="320" spans="1:14" s="673" customFormat="1" x14ac:dyDescent="0.2">
      <c r="A320" s="1522" t="s">
        <v>1805</v>
      </c>
      <c r="B320" s="697" t="s">
        <v>282</v>
      </c>
      <c r="C320" s="466"/>
      <c r="D320" s="466"/>
      <c r="E320" s="466"/>
      <c r="F320" s="466"/>
      <c r="G320" s="466"/>
      <c r="H320" s="466"/>
      <c r="I320" s="466"/>
      <c r="J320" s="466"/>
      <c r="K320" s="1670">
        <f t="shared" ref="K320:K327" si="24">SUM(C320:J320)</f>
        <v>0</v>
      </c>
      <c r="L320" s="466"/>
      <c r="M320" s="664"/>
      <c r="N320" s="664"/>
    </row>
    <row r="321" spans="1:14" s="673" customFormat="1" x14ac:dyDescent="0.2">
      <c r="A321" s="1518" t="s">
        <v>300</v>
      </c>
      <c r="B321" s="696" t="s">
        <v>283</v>
      </c>
      <c r="C321" s="466"/>
      <c r="D321" s="466"/>
      <c r="E321" s="466"/>
      <c r="F321" s="466"/>
      <c r="G321" s="466"/>
      <c r="H321" s="466"/>
      <c r="I321" s="466"/>
      <c r="J321" s="466"/>
      <c r="K321" s="1670">
        <f t="shared" si="24"/>
        <v>0</v>
      </c>
      <c r="L321" s="466"/>
      <c r="M321" s="664"/>
      <c r="N321" s="664"/>
    </row>
    <row r="322" spans="1:14" s="673" customFormat="1" x14ac:dyDescent="0.2">
      <c r="A322" s="1518" t="s">
        <v>238</v>
      </c>
      <c r="B322" s="696" t="s">
        <v>284</v>
      </c>
      <c r="C322" s="466"/>
      <c r="D322" s="466"/>
      <c r="E322" s="466"/>
      <c r="F322" s="466"/>
      <c r="G322" s="466"/>
      <c r="H322" s="466"/>
      <c r="I322" s="466"/>
      <c r="J322" s="466"/>
      <c r="K322" s="1670">
        <f t="shared" si="24"/>
        <v>0</v>
      </c>
      <c r="L322" s="466"/>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70">
        <f t="shared" si="24"/>
        <v>0</v>
      </c>
      <c r="L327" s="466"/>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4"/>
      <c r="N330" s="664"/>
    </row>
    <row r="331" spans="1:14" s="673" customFormat="1" ht="12.75" customHeight="1" thickTop="1" x14ac:dyDescent="0.2">
      <c r="A331" s="1830" t="s">
        <v>1850</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1844</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304</v>
      </c>
      <c r="B333" s="1826" t="s">
        <v>1846</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row>
    <row r="338" spans="1:14" ht="12.75" customHeight="1" x14ac:dyDescent="0.2">
      <c r="A338" s="1517" t="s">
        <v>1170</v>
      </c>
      <c r="B338" s="689" t="s">
        <v>617</v>
      </c>
      <c r="C338" s="637"/>
      <c r="D338" s="637"/>
      <c r="E338" s="637"/>
      <c r="F338" s="637"/>
      <c r="G338" s="637"/>
      <c r="H338" s="477"/>
      <c r="I338" s="637"/>
      <c r="J338" s="637"/>
      <c r="K338" s="1670">
        <f>H338</f>
        <v>0</v>
      </c>
      <c r="L338" s="477"/>
    </row>
    <row r="339" spans="1:14" x14ac:dyDescent="0.2">
      <c r="A339" s="1503" t="s">
        <v>901</v>
      </c>
      <c r="B339" s="627">
        <v>5150</v>
      </c>
      <c r="C339" s="637"/>
      <c r="D339" s="637"/>
      <c r="E339" s="637"/>
      <c r="F339" s="637"/>
      <c r="G339" s="637"/>
      <c r="H339" s="466"/>
      <c r="I339" s="637"/>
      <c r="J339" s="637"/>
      <c r="K339" s="1670">
        <f>H339</f>
        <v>0</v>
      </c>
      <c r="L339" s="466"/>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SUM(L330,L334,L340,L341)</f>
        <v>0</v>
      </c>
    </row>
    <row r="343" spans="1:14" ht="12.75" customHeight="1" thickTop="1" x14ac:dyDescent="0.2">
      <c r="A343" s="2172" t="s">
        <v>996</v>
      </c>
      <c r="B343" s="2173"/>
      <c r="C343" s="615"/>
      <c r="D343" s="615"/>
      <c r="E343" s="615"/>
      <c r="F343" s="615"/>
      <c r="G343" s="615"/>
      <c r="H343" s="615"/>
      <c r="I343" s="615"/>
      <c r="J343" s="615"/>
      <c r="K343" s="1683">
        <f>'Revenues 9-14'!J268-'Expenditures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62" t="s">
        <v>966</v>
      </c>
      <c r="B345" s="2163"/>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v>1360</v>
      </c>
      <c r="F348" s="465">
        <v>775</v>
      </c>
      <c r="G348" s="465">
        <v>844190</v>
      </c>
      <c r="H348" s="465"/>
      <c r="I348" s="466"/>
      <c r="J348" s="466"/>
      <c r="K348" s="1670">
        <f>SUM(C348:J348)</f>
        <v>846325</v>
      </c>
      <c r="L348" s="465">
        <v>600000</v>
      </c>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719</v>
      </c>
      <c r="B350" s="1668" t="s">
        <v>35</v>
      </c>
      <c r="C350" s="1669">
        <f>SUM(C348:C349)</f>
        <v>0</v>
      </c>
      <c r="D350" s="1669">
        <f t="shared" ref="D350:L350" si="26">SUM(D348:D349)</f>
        <v>0</v>
      </c>
      <c r="E350" s="1669">
        <f t="shared" si="26"/>
        <v>1360</v>
      </c>
      <c r="F350" s="1669">
        <f t="shared" si="26"/>
        <v>775</v>
      </c>
      <c r="G350" s="1669">
        <f t="shared" si="26"/>
        <v>844190</v>
      </c>
      <c r="H350" s="1669">
        <f t="shared" si="26"/>
        <v>0</v>
      </c>
      <c r="I350" s="1669">
        <f t="shared" si="26"/>
        <v>0</v>
      </c>
      <c r="J350" s="1669">
        <f t="shared" si="26"/>
        <v>0</v>
      </c>
      <c r="K350" s="1669">
        <f t="shared" si="26"/>
        <v>846325</v>
      </c>
      <c r="L350" s="1669">
        <f t="shared" si="26"/>
        <v>600000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7" t="s">
        <v>624</v>
      </c>
      <c r="B352" s="1674" t="s">
        <v>569</v>
      </c>
      <c r="C352" s="1669">
        <f>SUM(C350:C351)</f>
        <v>0</v>
      </c>
      <c r="D352" s="1669">
        <f t="shared" ref="D352:L352" si="27">SUM(D350:D351)</f>
        <v>0</v>
      </c>
      <c r="E352" s="1669">
        <f t="shared" si="27"/>
        <v>1360</v>
      </c>
      <c r="F352" s="1669">
        <f t="shared" si="27"/>
        <v>775</v>
      </c>
      <c r="G352" s="1669">
        <f t="shared" si="27"/>
        <v>844190</v>
      </c>
      <c r="H352" s="1669">
        <f t="shared" si="27"/>
        <v>0</v>
      </c>
      <c r="I352" s="1669">
        <f t="shared" si="27"/>
        <v>0</v>
      </c>
      <c r="J352" s="1669">
        <f t="shared" si="27"/>
        <v>0</v>
      </c>
      <c r="K352" s="1669">
        <f t="shared" si="27"/>
        <v>846325</v>
      </c>
      <c r="L352" s="1669">
        <f t="shared" si="27"/>
        <v>600000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1852</v>
      </c>
      <c r="B354" s="682" t="s">
        <v>1844</v>
      </c>
      <c r="C354" s="615"/>
      <c r="D354" s="615"/>
      <c r="E354" s="615"/>
      <c r="F354" s="615"/>
      <c r="G354" s="615"/>
      <c r="H354" s="473"/>
      <c r="I354" s="700"/>
      <c r="J354" s="615"/>
      <c r="K354" s="1698">
        <f>H354</f>
        <v>0</v>
      </c>
      <c r="L354" s="470"/>
    </row>
    <row r="355" spans="1:14" ht="12.75" customHeight="1" x14ac:dyDescent="0.2">
      <c r="A355" s="1512" t="s">
        <v>1853</v>
      </c>
      <c r="B355" s="689" t="s">
        <v>1846</v>
      </c>
      <c r="C355" s="615"/>
      <c r="D355" s="615"/>
      <c r="E355" s="615"/>
      <c r="F355" s="615"/>
      <c r="G355" s="615"/>
      <c r="H355" s="466"/>
      <c r="I355" s="700"/>
      <c r="J355" s="615"/>
      <c r="K355" s="1742">
        <f>H355</f>
        <v>0</v>
      </c>
      <c r="L355" s="466"/>
    </row>
    <row r="356" spans="1:14" ht="12.75" customHeight="1" x14ac:dyDescent="0.2">
      <c r="A356" s="1833" t="s">
        <v>698</v>
      </c>
      <c r="B356" s="682" t="s">
        <v>558</v>
      </c>
      <c r="C356" s="615"/>
      <c r="D356" s="615"/>
      <c r="E356" s="615"/>
      <c r="F356" s="615"/>
      <c r="G356" s="615"/>
      <c r="H356" s="478"/>
      <c r="I356" s="700"/>
      <c r="J356" s="615"/>
      <c r="K356" s="1739">
        <f>H356</f>
        <v>0</v>
      </c>
      <c r="L356" s="478"/>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619</v>
      </c>
      <c r="B361" s="601" t="s">
        <v>618</v>
      </c>
      <c r="C361" s="615"/>
      <c r="D361" s="615"/>
      <c r="E361" s="615"/>
      <c r="F361" s="615"/>
      <c r="G361" s="615"/>
      <c r="H361" s="466"/>
      <c r="I361" s="615"/>
      <c r="J361" s="615"/>
      <c r="K361" s="1670">
        <f>SUM(C361:J361)</f>
        <v>0</v>
      </c>
      <c r="L361" s="465"/>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1" t="s">
        <v>505</v>
      </c>
      <c r="B367" s="1703"/>
      <c r="C367" s="1669">
        <f t="shared" ref="C367:L367" si="28">SUM(C352,C357,C365,C366)</f>
        <v>0</v>
      </c>
      <c r="D367" s="1669">
        <f t="shared" si="28"/>
        <v>0</v>
      </c>
      <c r="E367" s="1669">
        <f t="shared" si="28"/>
        <v>1360</v>
      </c>
      <c r="F367" s="1669">
        <f t="shared" si="28"/>
        <v>775</v>
      </c>
      <c r="G367" s="1669">
        <f t="shared" si="28"/>
        <v>844190</v>
      </c>
      <c r="H367" s="1669">
        <f t="shared" si="28"/>
        <v>0</v>
      </c>
      <c r="I367" s="1669">
        <f t="shared" si="28"/>
        <v>0</v>
      </c>
      <c r="J367" s="1669">
        <f t="shared" si="28"/>
        <v>0</v>
      </c>
      <c r="K367" s="1669">
        <f t="shared" si="28"/>
        <v>846325</v>
      </c>
      <c r="L367" s="1669">
        <f t="shared" si="28"/>
        <v>600000</v>
      </c>
    </row>
    <row r="368" spans="1:14" ht="13.5" thickTop="1" x14ac:dyDescent="0.2">
      <c r="A368" s="2159" t="s">
        <v>996</v>
      </c>
      <c r="B368" s="2160"/>
      <c r="C368" s="653"/>
      <c r="D368" s="653"/>
      <c r="E368" s="625"/>
      <c r="F368" s="625"/>
      <c r="G368" s="625"/>
      <c r="H368" s="625"/>
      <c r="I368" s="625"/>
      <c r="J368" s="622"/>
      <c r="K368" s="1670">
        <f>'Revenues 9-14'!K268-'Expenditures 15-22'!K367</f>
        <v>-811626</v>
      </c>
      <c r="L368" s="653"/>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6ce3111e-7420-4802-b50a-75d4e9a0b980"/>
    <ds:schemaRef ds:uri="http://purl.org/dc/terms/"/>
    <ds:schemaRef ds:uri="http://schemas.openxmlformats.org/package/2006/metadata/core-properties"/>
    <ds:schemaRef ds:uri="http://schemas.microsoft.com/office/2006/metadata/properties"/>
    <ds:schemaRef ds:uri="http://purl.org/dc/dcmitype/"/>
    <ds:schemaRef ds:uri="http://purl.org/dc/elements/1.1/"/>
    <ds:schemaRef ds:uri="d21dc803-237d-4c68-8692-8d731fd29118"/>
    <ds:schemaRef ds:uri="http://schemas.microsoft.com/office/infopath/2007/PartnerControls"/>
    <ds:schemaRef ds:uri="4d435f69-8686-490b-bd6d-b153bf22ab50"/>
    <ds:schemaRef ds:uri="http://schemas.microsoft.com/sharepoint/v3"/>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2019-06-25T17:28:25Z</cp:lastPrinted>
  <dcterms:created xsi:type="dcterms:W3CDTF">2003-10-29T19:06:34Z</dcterms:created>
  <dcterms:modified xsi:type="dcterms:W3CDTF">2019-12-10T20:07:36Z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135</vt:lpwstr>
  </property>
  <property fmtid="{D5CDD505-2E9C-101B-9397-08002B2CF9AE}" pid="7" name="workpaperIndex">
    <vt:lpwstr/>
  </property>
</Properties>
</file>