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35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25"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G28" i="108"/>
  <c r="D31"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D22" i="37"/>
  <c r="J22" i="37"/>
  <c r="D24" i="37"/>
  <c r="B4270" i="106" s="1"/>
  <c r="D4270" i="106" s="1"/>
  <c r="L5" i="11"/>
  <c r="G33" i="108" l="1"/>
  <c r="B2056" i="106"/>
  <c r="D2056" i="106" s="1"/>
  <c r="M16" i="3"/>
  <c r="L13" i="11"/>
  <c r="B2060" i="106" s="1"/>
  <c r="D2060" i="106" s="1"/>
  <c r="F46" i="34"/>
  <c r="J41" i="3"/>
  <c r="D51" i="36" s="1"/>
  <c r="G35" i="108"/>
  <c r="H33" i="118"/>
  <c r="D14" i="4"/>
  <c r="B2570" i="106" s="1"/>
  <c r="D2570" i="106" s="1"/>
  <c r="G38" i="108"/>
  <c r="J129" i="29"/>
  <c r="B7038" i="106" s="1"/>
  <c r="D7038" i="106" s="1"/>
  <c r="F71" i="34"/>
  <c r="F68" i="34"/>
  <c r="E34" i="108"/>
  <c r="F50" i="34"/>
  <c r="G30" i="108"/>
  <c r="G39" i="108"/>
  <c r="I129" i="29"/>
  <c r="B7037" i="106" s="1"/>
  <c r="D7037" i="106" s="1"/>
  <c r="F28" i="108"/>
  <c r="B6995" i="106"/>
  <c r="D6995" i="106" s="1"/>
  <c r="L367" i="29"/>
  <c r="F36" i="34"/>
  <c r="E30" i="108"/>
  <c r="C342" i="29"/>
  <c r="B7216" i="106" s="1"/>
  <c r="D7216" i="106" s="1"/>
  <c r="D27" i="108"/>
  <c r="B1124" i="106"/>
  <c r="D1124" i="106" s="1"/>
  <c r="G14" i="4"/>
  <c r="B2609" i="106" s="1"/>
  <c r="D2609" i="106" s="1"/>
  <c r="F72" i="34"/>
  <c r="F44" i="34"/>
  <c r="E38" i="108"/>
  <c r="D36" i="108"/>
  <c r="G26" i="108"/>
  <c r="B2836" i="106"/>
  <c r="D2836" i="106" s="1"/>
  <c r="G15" i="145"/>
  <c r="F70" i="34"/>
  <c r="F62" i="34"/>
  <c r="F42" i="34"/>
  <c r="F37" i="34"/>
  <c r="F34" i="34"/>
  <c r="F36" i="108"/>
  <c r="E26" i="108"/>
  <c r="H112" i="29"/>
  <c r="B7018" i="106" s="1"/>
  <c r="D7018" i="106" s="1"/>
  <c r="B1274" i="106"/>
  <c r="D1274" i="106" s="1"/>
  <c r="H76" i="4"/>
  <c r="B3298" i="106" s="1"/>
  <c r="D3298" i="106" s="1"/>
  <c r="B6289" i="106"/>
  <c r="D6289" i="106" s="1"/>
  <c r="H365" i="29"/>
  <c r="B7242" i="106" s="1"/>
  <c r="D7242" i="106" s="1"/>
  <c r="C129" i="29"/>
  <c r="B1225" i="106" s="1"/>
  <c r="D1225" i="106" s="1"/>
  <c r="J352" i="29"/>
  <c r="J367" i="29" s="1"/>
  <c r="B7245" i="106" s="1"/>
  <c r="D7245" i="106" s="1"/>
  <c r="I210" i="29"/>
  <c r="B7071" i="106" s="1"/>
  <c r="D7071" i="106" s="1"/>
  <c r="H342" i="29"/>
  <c r="B7221" i="106" s="1"/>
  <c r="D7221" i="106" s="1"/>
  <c r="F77" i="4"/>
  <c r="B3255" i="106" s="1"/>
  <c r="D3255" i="106" s="1"/>
  <c r="K76" i="4"/>
  <c r="B3586" i="106" s="1"/>
  <c r="D3586" i="106" s="1"/>
  <c r="D69" i="36"/>
  <c r="K28" i="118"/>
  <c r="O27" i="118" s="1"/>
  <c r="O29" i="118" s="1"/>
  <c r="D9" i="7"/>
  <c r="B1767" i="106" s="1"/>
  <c r="D1767" i="106" s="1"/>
  <c r="J210" i="29"/>
  <c r="B7072" i="106" s="1"/>
  <c r="D7072" i="106" s="1"/>
  <c r="L342" i="29"/>
  <c r="B3647" i="106"/>
  <c r="D3647" i="106" s="1"/>
  <c r="K184" i="29"/>
  <c r="F13" i="4" s="1"/>
  <c r="B2596" i="106" s="1"/>
  <c r="D2596" i="106" s="1"/>
  <c r="G210" i="29"/>
  <c r="B1365" i="106" s="1"/>
  <c r="D1365" i="106" s="1"/>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614" i="106" l="1"/>
  <c r="M18" i="3"/>
  <c r="B275" i="106" s="1"/>
  <c r="D275" i="106" s="1"/>
  <c r="B2057" i="106"/>
  <c r="D2057" i="106" s="1"/>
  <c r="M17" i="3"/>
  <c r="B274" i="106" s="1"/>
  <c r="D274" i="106" s="1"/>
  <c r="B273" i="106"/>
  <c r="D273" i="106" s="1"/>
  <c r="B2059" i="106"/>
  <c r="D2059" i="106" s="1"/>
  <c r="M19" i="3"/>
  <c r="B276" i="106" s="1"/>
  <c r="D276" i="106" s="1"/>
  <c r="L16" i="11"/>
  <c r="H77" i="4"/>
  <c r="B3299" i="106" s="1"/>
  <c r="D3299" i="106" s="1"/>
  <c r="K77" i="4"/>
  <c r="B3587" i="106" s="1"/>
  <c r="D3587" i="106" s="1"/>
  <c r="C151" i="29"/>
  <c r="B1226" i="106" s="1"/>
  <c r="D1226" i="106" s="1"/>
  <c r="B1328" i="106"/>
  <c r="D1328" i="106" s="1"/>
  <c r="F65" i="34"/>
  <c r="I151" i="29"/>
  <c r="F59" i="34" s="1"/>
  <c r="C114" i="29"/>
  <c r="B757" i="106" s="1"/>
  <c r="D757" i="106" s="1"/>
  <c r="H151" i="29"/>
  <c r="B1273" i="106" s="1"/>
  <c r="D1273" i="106" s="1"/>
  <c r="B1381" i="106"/>
  <c r="D1381" i="106" s="1"/>
  <c r="F41" i="108"/>
  <c r="G43" i="108" s="1"/>
  <c r="D41" i="108"/>
  <c r="E43" i="108" s="1"/>
  <c r="K342" i="29"/>
  <c r="F13" i="34" s="1"/>
  <c r="F66" i="34"/>
  <c r="B7235" i="106"/>
  <c r="D7235" i="106" s="1"/>
  <c r="K365" i="29"/>
  <c r="B7243" i="106" s="1"/>
  <c r="D7243" i="106" s="1"/>
  <c r="J16" i="4"/>
  <c r="B6226" i="106" s="1"/>
  <c r="D6226" i="106" s="1"/>
  <c r="B5527" i="106"/>
  <c r="D5527" i="106" s="1"/>
  <c r="I7" i="4"/>
  <c r="B4444" i="106" s="1"/>
  <c r="D4444" i="106" s="1"/>
  <c r="B5778" i="106"/>
  <c r="D5778" i="106" s="1"/>
  <c r="G6" i="4"/>
  <c r="B2604" i="106" s="1"/>
  <c r="D2604" i="106" s="1"/>
  <c r="B5770" i="106"/>
  <c r="D5770" i="106" s="1"/>
  <c r="D44" i="36"/>
  <c r="L114" i="29"/>
  <c r="B7215" i="106"/>
  <c r="D7215" i="106"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061" i="106" l="1"/>
  <c r="D2061" i="106" s="1"/>
  <c r="M40" i="3"/>
  <c r="M23" i="3"/>
  <c r="B279" i="106" s="1"/>
  <c r="D279" i="106" s="1"/>
  <c r="K16" i="4"/>
  <c r="B3574" i="106" s="1"/>
  <c r="D3574" i="106" s="1"/>
  <c r="K367" i="29"/>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280" i="106"/>
  <c r="D280" i="106" s="1"/>
  <c r="M41" i="3"/>
  <c r="B6223" i="106"/>
  <c r="D6223" i="106" s="1"/>
  <c r="K17" i="4"/>
  <c r="K19" i="4" s="1"/>
  <c r="B4144" i="106" s="1"/>
  <c r="D4144"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K20" i="4"/>
  <c r="K78" i="4"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J81" i="4"/>
  <c r="D64" i="3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B6266" i="106"/>
  <c r="D6266" i="106" s="1"/>
  <c r="J82" i="4" l="1"/>
  <c r="B6274" i="106" s="1"/>
  <c r="D6274" i="106" s="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<sst xmlns="http://schemas.openxmlformats.org/spreadsheetml/2006/main" count="5133" uniqueCount="2123">
  <si>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</si>
  <si>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</si>
  <si>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</si>
  <si>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</si>
  <si>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</si>
  <si>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</si>
  <si>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</si>
  <si>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</si>
  <si>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</si>
  <si>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</si>
  <si>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</si>
  <si>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</si>
  <si>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</si>
  <si>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</si>
  <si>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</si>
  <si>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</si>
  <si>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</si>
  <si>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</si>
  <si>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</si>
  <si>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</si>
  <si>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</si>
  <si>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</si>
  <si>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</si>
  <si>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</si>
  <si>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</si>
  <si>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</si>
  <si>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</si>
  <si>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</si>
  <si>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</si>
  <si>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</si>
  <si>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</si>
  <si>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</si>
  <si>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</si>
  <si>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</si>
  <si>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</si>
  <si>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</si>
  <si>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</si>
  <si>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</si>
  <si>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</si>
  <si>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</si>
  <si>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</si>
  <si>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</si>
  <si>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</si>
  <si>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</si>
  <si>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</si>
  <si>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</si>
  <si>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</si>
  <si>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</si>
  <si>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</si>
  <si>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</si>
  <si>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</si>
  <si>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</si>
  <si>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</si>
  <si>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</si>
  <si>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</si>
  <si>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</si>
  <si>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</si>
  <si>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</si>
  <si>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</si>
  <si>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</si>
  <si>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</si>
  <si>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</si>
  <si>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</si>
  <si>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</si>
  <si>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</si>
  <si>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</si>
  <si>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</si>
  <si>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</si>
  <si>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</si>
  <si>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</si>
  <si>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</si>
  <si>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</si>
  <si>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</si>
  <si>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</si>
  <si>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</si>
  <si>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</si>
  <si>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</si>
  <si>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</si>
  <si>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</si>
  <si>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</si>
  <si>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</si>
  <si>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</si>
  <si>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</si>
  <si>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</si>
  <si>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</si>
  <si>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</si>
  <si>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</si>
  <si>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</si>
  <si>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</si>
  <si>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</si>
  <si>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</si>
  <si>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</si>
  <si>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</si>
  <si>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</si>
  <si>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</si>
  <si>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</si>
  <si>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</si>
  <si>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</si>
  <si>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</si>
  <si>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</si>
  <si>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</si>
  <si>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</si>
  <si>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</si>
  <si>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</si>
  <si>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</si>
  <si>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</si>
  <si>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</si>
  <si>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</si>
  <si>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</si>
  <si>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</si>
  <si>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</si>
  <si>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</si>
  <si>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</si>
  <si>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</si>
  <si>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</si>
  <si>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</si>
  <si>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</si>
  <si>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</si>
  <si>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</si>
  <si>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</si>
  <si>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</si>
  <si>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</si>
  <si>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</si>
  <si>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</si>
  <si>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</si>
  <si>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</si>
  <si>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</si>
  <si>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</si>
  <si>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</si>
  <si>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</si>
  <si>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</si>
  <si>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</si>
  <si>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</si>
  <si>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</si>
  <si>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</si>
  <si>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</si>
  <si>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</si>
  <si>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</si>
  <si>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</si>
  <si>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</si>
  <si>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</si>
  <si>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</si>
  <si>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</si>
  <si>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</si>
  <si>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</si>
  <si>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</si>
  <si>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</si>
  <si>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</si>
  <si>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</si>
  <si>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</si>
  <si>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</si>
  <si>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</si>
  <si>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</si>
  <si>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</si>
  <si>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</si>
  <si>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</si>
  <si>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</si>
  <si>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</si>
  <si>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</si>
  <si>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</si>
  <si>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</si>
  <si>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</si>
  <si>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</si>
  <si>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</si>
  <si>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</si>
  <si>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</si>
  <si>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</si>
  <si>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</si>
  <si>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</si>
  <si>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</si>
  <si>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</si>
  <si>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</si>
  <si>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</si>
  <si>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</si>
  <si>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</si>
  <si>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</si>
  <si>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</si>
  <si>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</si>
  <si>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</si>
  <si>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</si>
  <si>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</si>
  <si>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</si>
  <si>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</si>
  <si>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</si>
  <si>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</si>
  <si>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</si>
  <si>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</si>
  <si>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</si>
  <si>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</si>
  <si>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</si>
  <si>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</si>
  <si>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</si>
  <si>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</si>
  <si>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</si>
  <si>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</si>
  <si>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</si>
  <si>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</si>
  <si>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</si>
  <si>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</si>
  <si>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</si>
  <si>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</si>
  <si>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</si>
  <si>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</si>
  <si>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</si>
  <si>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</si>
  <si>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</si>
  <si>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</si>
  <si>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</si>
  <si>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</si>
  <si>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</si>
  <si>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</si>
  <si>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</si>
  <si>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</si>
  <si>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</si>
  <si>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</si>
  <si>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</si>
  <si>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</si>
  <si>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</si>
  <si>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</si>
  <si>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</si>
  <si>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</si>
  <si>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</si>
  <si>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</si>
  <si>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</si>
  <si>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</si>
  <si>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</si>
  <si>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</si>
  <si>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</si>
  <si>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</si>
  <si>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</si>
  <si>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</si>
  <si>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</si>
  <si>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</si>
  <si>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</si>
  <si>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</si>
  <si>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</si>
  <si>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</si>
  <si>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</si>
  <si>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</si>
  <si>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</si>
  <si>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</si>
  <si>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</si>
  <si>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</si>
  <si>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</si>
  <si>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</si>
  <si>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</si>
  <si>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</si>
  <si>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</si>
  <si>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</si>
  <si>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</si>
  <si>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</si>
  <si>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</si>
  <si>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</si>
  <si>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</si>
  <si>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</si>
  <si>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</si>
  <si>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</si>
  <si>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</si>
  <si>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</si>
  <si>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</si>
  <si>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</si>
  <si>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</si>
  <si>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</si>
  <si>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</si>
  <si>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</si>
  <si>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</si>
  <si>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</si>
  <si>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</si>
  <si>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</si>
  <si>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</si>
  <si>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</si>
  <si>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</si>
  <si>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</si>
  <si>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</si>
  <si>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</si>
  <si>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</si>
  <si>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</si>
  <si>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</si>
  <si>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</si>
  <si>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</si>
  <si>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</si>
  <si>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</si>
  <si>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</si>
  <si>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</si>
  <si>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</si>
  <si>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</si>
  <si>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</si>
  <si>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</si>
  <si>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</si>
  <si>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</si>
  <si>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</si>
  <si>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</si>
  <si>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</si>
  <si>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</si>
  <si>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</si>
  <si>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</si>
  <si>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</si>
  <si>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</si>
  <si>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</si>
  <si>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</si>
  <si>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</si>
  <si>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</si>
  <si>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</si>
  <si>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</si>
  <si>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</si>
  <si>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</si>
  <si>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</si>
  <si>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</si>
  <si>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</si>
  <si>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</si>
  <si>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</si>
  <si>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</si>
  <si>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</si>
  <si>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</si>
  <si>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</si>
  <si>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</si>
  <si>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</si>
  <si>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</si>
  <si>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</si>
  <si>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</si>
  <si>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</si>
  <si>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</si>
  <si>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</si>
  <si>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</si>
  <si>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</si>
  <si>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</si>
  <si>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</si>
  <si>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</si>
  <si>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</si>
  <si>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</si>
  <si>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</si>
  <si>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</si>
  <si>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</si>
  <si>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</si>
  <si>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</si>
  <si>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</si>
  <si>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</si>
  <si>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</si>
  <si>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</si>
  <si>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</si>
  <si>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</si>
  <si>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</si>
  <si>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</si>
  <si>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</si>
  <si>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</si>
  <si>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</si>
  <si>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</si>
  <si>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</si>
  <si>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</si>
  <si>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</si>
  <si>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</si>
  <si>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</si>
  <si>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</si>
  <si>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</si>
  <si>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</si>
  <si>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</si>
  <si>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</si>
  <si>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</si>
  <si>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</si>
  <si>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</si>
  <si>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</si>
  <si>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</si>
  <si>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</si>
  <si>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</si>
  <si>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</si>
  <si>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</si>
  <si>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</si>
  <si>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</si>
  <si>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</si>
  <si>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</si>
  <si>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</si>
  <si>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</si>
  <si>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</si>
  <si>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</si>
  <si>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</si>
  <si>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</si>
  <si>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</si>
  <si>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</si>
  <si>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</si>
  <si>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</si>
  <si>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</si>
  <si>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</si>
  <si>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</si>
  <si>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</si>
  <si>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</si>
  <si>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</si>
  <si>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</si>
  <si>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</si>
  <si>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</si>
  <si>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</si>
  <si>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</si>
  <si>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</si>
  <si>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</si>
  <si>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</si>
  <si>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</si>
  <si>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</si>
  <si>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</si>
  <si>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</si>
  <si>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</si>
  <si>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</si>
  <si>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</si>
  <si>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</si>
  <si>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</si>
  <si>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</si>
  <si>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</si>
  <si>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</si>
  <si>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</si>
  <si>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</si>
  <si>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</si>
  <si>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</si>
  <si>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</si>
  <si>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</si>
  <si>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</si>
  <si>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</si>
  <si>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</si>
  <si>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</si>
  <si>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</si>
  <si>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</si>
  <si>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</si>
  <si>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</si>
  <si>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</si>
  <si>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</si>
  <si>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</si>
  <si>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</si>
  <si>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</si>
  <si>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</si>
  <si>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</si>
  <si>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</si>
  <si>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</si>
  <si>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</si>
  <si>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</si>
  <si>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</si>
  <si>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</si>
  <si>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</si>
  <si>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</si>
  <si>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</si>
  <si>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</si>
  <si>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</si>
  <si>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</si>
  <si>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</si>
  <si>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</si>
  <si>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</si>
  <si>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</si>
  <si>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</si>
  <si>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</si>
  <si>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</si>
  <si>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</si>
  <si>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</si>
  <si>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</si>
  <si>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</si>
  <si>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</si>
  <si>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</si>
  <si>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</si>
  <si>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</si>
  <si>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</si>
  <si>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</si>
  <si>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</si>
  <si>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</si>
  <si>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</si>
  <si>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</si>
  <si>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</si>
  <si>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</si>
  <si>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</si>
  <si>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</si>
  <si>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</si>
  <si>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</si>
  <si>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</si>
  <si>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</si>
  <si>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</si>
  <si>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</si>
  <si>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</si>
  <si>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</si>
  <si>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</si>
  <si>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</si>
  <si>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</si>
  <si>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</si>
  <si>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</si>
  <si>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</si>
  <si>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</si>
  <si>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</si>
  <si>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</si>
  <si>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</si>
  <si>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</si>
  <si>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</si>
  <si>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</si>
  <si>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</si>
  <si>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</si>
  <si>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</si>
  <si>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</si>
  <si>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</si>
  <si>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</si>
  <si>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</si>
  <si>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</si>
  <si>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</si>
  <si>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</si>
  <si>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</si>
  <si>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</si>
  <si>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</si>
  <si>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</si>
  <si>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</si>
  <si>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</si>
  <si>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</si>
  <si>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</si>
  <si>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</si>
  <si>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</si>
  <si>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</si>
  <si>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</si>
  <si>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</si>
  <si>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</si>
  <si>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</si>
  <si>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</si>
  <si>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</si>
  <si>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</si>
  <si>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</si>
  <si>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</si>
  <si>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</si>
  <si>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</si>
  <si>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</si>
  <si>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</si>
  <si>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</si>
  <si>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</si>
  <si>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</si>
  <si>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</si>
  <si>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</si>
  <si>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</si>
  <si>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</si>
  <si>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</si>
  <si>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</si>
  <si>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</si>
  <si>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</si>
  <si>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</si>
  <si>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</si>
  <si>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</si>
  <si>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</si>
  <si>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</si>
  <si>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</si>
  <si>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</si>
  <si>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</si>
  <si>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</si>
  <si>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</si>
  <si>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</si>
  <si>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</si>
  <si>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</si>
  <si>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</si>
  <si>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</si>
  <si>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</si>
  <si>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</si>
  <si>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</si>
  <si>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</si>
  <si>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</si>
  <si>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</si>
  <si>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</si>
  <si>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</si>
  <si>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</si>
  <si>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</si>
  <si>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</si>
  <si>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</si>
  <si>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</si>
  <si>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</si>
  <si>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</si>
  <si>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</si>
  <si>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</si>
  <si>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</si>
  <si>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</si>
  <si>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</si>
  <si>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</si>
  <si>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</si>
  <si>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</si>
  <si>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</si>
  <si>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</si>
  <si>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</si>
  <si>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</si>
  <si>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</si>
  <si>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</si>
  <si>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</si>
  <si>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</si>
  <si>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</si>
  <si>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</si>
  <si>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</si>
  <si>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</si>
  <si>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</si>
  <si>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</si>
  <si>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</si>
  <si>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</si>
  <si>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</si>
  <si>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</si>
  <si>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</si>
  <si>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</si>
  <si>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</si>
  <si>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</si>
  <si>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</si>
  <si>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</si>
  <si>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</si>
  <si>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</si>
  <si>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</si>
  <si>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</si>
  <si>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</si>
  <si>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</si>
  <si>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</si>
  <si>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</si>
  <si>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</si>
  <si>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</si>
  <si>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</si>
  <si>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</si>
  <si>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</si>
  <si>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</si>
  <si>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</si>
  <si>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</si>
  <si>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</si>
  <si>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</si>
  <si>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</si>
  <si>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</si>
  <si>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</si>
  <si>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</si>
  <si>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</si>
  <si>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</si>
  <si>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</si>
  <si>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</si>
  <si>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</si>
  <si>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</si>
  <si>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</si>
  <si>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</si>
  <si>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</si>
  <si>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</si>
  <si>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</si>
  <si>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</si>
  <si>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</si>
  <si>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</si>
  <si>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</si>
  <si>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</si>
  <si>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</si>
  <si>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</si>
  <si>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</si>
  <si>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</si>
  <si>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</si>
  <si>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</si>
  <si>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</si>
  <si>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</si>
  <si>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</si>
  <si>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</si>
  <si>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</si>
  <si>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</si>
  <si>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</si>
  <si>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</si>
  <si>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</si>
  <si>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</si>
  <si>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</si>
  <si>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</si>
  <si>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</si>
  <si>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</si>
  <si>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</si>
  <si>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</si>
  <si>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</si>
  <si>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</si>
  <si>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</si>
  <si>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</si>
  <si>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</si>
  <si>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</si>
  <si>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</si>
  <si>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</si>
  <si>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</si>
  <si>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</si>
  <si>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</si>
  <si>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</si>
  <si>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</si>
  <si>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</si>
  <si>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</si>
  <si>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</si>
  <si>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</si>
  <si>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</si>
  <si>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</si>
  <si>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</si>
  <si>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</si>
  <si>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</si>
  <si>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</si>
  <si>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</si>
  <si>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</si>
  <si>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</si>
  <si>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</si>
  <si>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</si>
  <si>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</si>
  <si>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</si>
  <si>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</si>
  <si>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</si>
  <si>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</si>
  <si>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</si>
  <si>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</si>
  <si>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</si>
  <si>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</si>
  <si>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</si>
  <si>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</si>
  <si>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</si>
  <si>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</si>
  <si>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</si>
  <si>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</si>
  <si>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</si>
  <si>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</si>
  <si>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</si>
  <si>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</si>
  <si>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</si>
  <si>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</si>
  <si>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</si>
  <si>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</si>
  <si>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</si>
  <si>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</si>
  <si>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</si>
  <si>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</si>
  <si>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</si>
  <si>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</si>
  <si>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</si>
  <si>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</si>
  <si>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</si>
  <si>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</si>
  <si>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</si>
  <si>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</si>
  <si>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</si>
  <si>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</si>
  <si>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</si>
  <si>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</si>
  <si>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</si>
  <si>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</si>
  <si>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</si>
  <si>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</si>
  <si>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</si>
  <si>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</si>
  <si>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</si>
  <si>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</si>
  <si>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</si>
  <si>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</si>
  <si>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</si>
  <si>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</si>
  <si>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</si>
  <si>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</si>
  <si>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</si>
  <si>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</si>
  <si>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</si>
  <si>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</si>
  <si>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</si>
  <si>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</si>
  <si>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</si>
  <si>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</si>
  <si>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</si>
  <si>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</si>
  <si>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</si>
  <si>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</si>
  <si>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</si>
  <si>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</si>
  <si>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</si>
  <si>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</si>
  <si>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</si>
  <si>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</si>
  <si>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</si>
  <si>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</si>
  <si>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</si>
  <si>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</si>
  <si>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</si>
  <si>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</si>
  <si>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</si>
  <si>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</si>
  <si>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</si>
  <si>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</si>
  <si>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</si>
  <si>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</si>
  <si>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</si>
  <si>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</si>
  <si>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</si>
  <si>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</si>
  <si>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</si>
  <si>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</si>
  <si>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</si>
  <si>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</si>
  <si>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</si>
  <si>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</si>
  <si>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</si>
  <si>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</si>
  <si>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</si>
  <si>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</si>
  <si>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</si>
  <si>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</si>
  <si>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</si>
  <si>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</si>
  <si>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</si>
  <si>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</si>
  <si>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</si>
  <si>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</si>
  <si>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</si>
  <si>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</si>
  <si>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</si>
  <si>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</si>
  <si>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</si>
  <si>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</si>
  <si>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</si>
  <si>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</si>
  <si>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</si>
  <si>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</si>
  <si>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</si>
  <si>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</si>
  <si>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</si>
  <si>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</si>
  <si>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</si>
  <si>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</si>
  <si>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</si>
  <si>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</si>
  <si>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</si>
  <si>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</si>
  <si>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</si>
  <si>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</si>
  <si>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</si>
  <si>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</si>
  <si>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</si>
  <si>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</si>
  <si>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</si>
  <si>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</si>
  <si>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</si>
  <si>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</si>
  <si>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</si>
  <si>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</si>
  <si>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</si>
  <si>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</si>
  <si>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</si>
  <si>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</si>
  <si>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</si>
  <si>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</si>
  <si>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</si>
  <si>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</si>
  <si>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</si>
  <si>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</si>
  <si>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</si>
  <si>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</si>
  <si>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</si>
  <si>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</si>
  <si>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</si>
  <si>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</si>
  <si>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</si>
  <si>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</si>
  <si>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</si>
  <si>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</si>
  <si>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</si>
  <si>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</si>
  <si>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</si>
  <si>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</si>
  <si>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</si>
  <si>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</si>
  <si>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</si>
  <si>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</si>
  <si>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</si>
  <si>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</si>
  <si>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</si>
  <si>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</si>
  <si>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</si>
  <si>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</si>
  <si>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</si>
  <si>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</si>
  <si>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</si>
  <si>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</si>
  <si>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</si>
  <si>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</si>
  <si>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</si>
  <si>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</si>
  <si>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</si>
  <si>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</si>
  <si>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</si>
  <si>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</si>
  <si>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</si>
  <si>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</si>
  <si>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</si>
  <si>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</si>
  <si>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</si>
  <si>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</si>
  <si>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</si>
  <si>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</si>
  <si>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</si>
  <si>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</si>
  <si>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</si>
  <si>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</si>
  <si>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</si>
  <si>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</si>
  <si>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</si>
  <si>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</si>
  <si>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</si>
  <si>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</si>
  <si>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</si>
  <si>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</si>
  <si>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</si>
  <si>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</si>
  <si>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</si>
  <si>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</si>
  <si>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</si>
  <si>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</si>
  <si>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</si>
  <si>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</si>
  <si>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</si>
  <si>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</si>
  <si>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</si>
  <si>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</si>
  <si>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</si>
  <si>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</si>
  <si>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</si>
  <si>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</si>
  <si>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</si>
  <si>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</si>
  <si>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</si>
  <si>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</si>
  <si>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</si>
  <si>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</si>
  <si>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</si>
  <si>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</si>
  <si>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</si>
  <si>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</si>
  <si>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</si>
  <si>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</si>
  <si>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</si>
  <si>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</si>
  <si>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</si>
  <si>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</si>
  <si>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</si>
  <si>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</si>
  <si>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</si>
  <si>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</si>
  <si>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</si>
  <si>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</si>
  <si>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</si>
  <si>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</si>
  <si>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</si>
  <si>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</si>
  <si>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</si>
  <si>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</si>
  <si>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</si>
  <si>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</si>
  <si>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</si>
  <si>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</si>
  <si>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</si>
  <si>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</si>
  <si>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</si>
  <si>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</si>
  <si>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</si>
  <si>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</si>
  <si>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</si>
  <si>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</si>
  <si>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</si>
  <si>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</si>
  <si>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</si>
  <si>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</si>
  <si>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</si>
  <si>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</si>
  <si>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</si>
  <si>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</si>
  <si>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</si>
  <si>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</si>
  <si>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</si>
  <si>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</si>
  <si>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</si>
  <si>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</si>
  <si>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</si>
  <si>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</si>
  <si>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</si>
  <si>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</si>
  <si>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</si>
  <si>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</si>
  <si>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</si>
  <si>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</si>
  <si>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</si>
  <si>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</si>
  <si>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</si>
  <si>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</si>
  <si>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</si>
  <si>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</si>
  <si>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</si>
  <si>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</si>
  <si>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</si>
  <si>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</si>
  <si>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</si>
  <si>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</si>
  <si>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</si>
  <si>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</si>
  <si>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</si>
  <si>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</si>
  <si>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</si>
  <si>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</si>
  <si>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</si>
  <si>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</si>
  <si>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</si>
  <si>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</si>
  <si>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</si>
  <si>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</si>
  <si>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</si>
  <si>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</si>
  <si>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</si>
  <si>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</si>
  <si>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</si>
  <si>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</si>
  <si>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</si>
  <si>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</si>
  <si>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</si>
  <si>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</si>
  <si>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</si>
  <si>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</si>
  <si>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</si>
  <si>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</si>
  <si>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</si>
  <si>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</si>
  <si>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</si>
  <si>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</si>
  <si>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</si>
  <si>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</si>
  <si>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</si>
  <si>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</si>
  <si>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</si>
  <si>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</si>
  <si>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</si>
  <si>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</si>
  <si>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</si>
  <si>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</si>
  <si>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</si>
  <si>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</si>
  <si>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</si>
  <si>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</si>
  <si>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</si>
  <si>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</si>
  <si>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</si>
  <si>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</si>
  <si>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</si>
  <si>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</si>
  <si>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</si>
  <si>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</si>
  <si>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</si>
  <si>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</si>
  <si>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</si>
  <si>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</si>
  <si>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</si>
  <si>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</si>
  <si>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</si>
  <si>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</si>
  <si>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</si>
  <si>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</si>
  <si>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</si>
  <si>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</si>
  <si>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</si>
  <si>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</si>
  <si>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</si>
  <si>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</si>
  <si>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</si>
  <si>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</si>
  <si>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</si>
  <si>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</si>
  <si>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</si>
  <si>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</si>
  <si>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</si>
  <si>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</si>
  <si>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</si>
  <si>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</si>
  <si>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</si>
  <si>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</si>
  <si>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</si>
  <si>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</si>
  <si>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</si>
  <si>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</si>
  <si>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</si>
  <si>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</si>
  <si>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</si>
  <si>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</si>
  <si>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</si>
  <si>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</si>
  <si>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</si>
  <si>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</si>
  <si>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</si>
  <si>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</si>
  <si>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</si>
  <si>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</si>
  <si>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</si>
  <si>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</si>
  <si>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</si>
  <si>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</si>
  <si>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</si>
  <si>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</si>
  <si>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</si>
  <si>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</si>
  <si>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</si>
  <si>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</si>
  <si>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</si>
  <si>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</si>
  <si>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</si>
  <si>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</si>
  <si>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</si>
  <si>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</si>
  <si>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</si>
  <si>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</si>
  <si>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</si>
  <si>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</si>
  <si>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</si>
  <si>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</si>
  <si>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</si>
  <si>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</si>
  <si>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</si>
  <si>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</si>
  <si>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</si>
  <si>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</si>
  <si>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</si>
  <si>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</si>
  <si>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</si>
  <si>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</si>
  <si>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</si>
  <si>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</si>
  <si>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</si>
  <si>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</si>
  <si>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</si>
  <si>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</si>
  <si>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</si>
  <si>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</si>
  <si>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</si>
  <si>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</si>
  <si>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</si>
  <si>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</si>
  <si>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</si>
  <si>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</si>
  <si>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</si>
  <si>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</si>
  <si>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</si>
  <si>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</si>
  <si>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</si>
  <si>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</si>
  <si>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</si>
  <si>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</si>
  <si>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</si>
  <si>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</si>
  <si>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</si>
  <si>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</si>
  <si>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</si>
  <si>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</si>
  <si>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</si>
  <si>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</si>
  <si>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</si>
  <si>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</si>
  <si>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</si>
  <si>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</si>
  <si>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</si>
  <si>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</si>
  <si>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</si>
  <si>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</si>
  <si>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</si>
  <si>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</si>
  <si>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</si>
  <si>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</si>
  <si>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</si>
  <si>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</si>
  <si>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</si>
  <si>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</si>
  <si>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</si>
  <si>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</si>
  <si>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</si>
  <si>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</si>
  <si>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</si>
  <si>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</si>
  <si>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</si>
  <si>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</si>
  <si>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</si>
  <si>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</si>
  <si>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</si>
  <si>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</si>
  <si>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</si>
  <si>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</si>
  <si>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</si>
  <si>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</si>
  <si>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</si>
  <si>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</si>
  <si>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</si>
  <si>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</si>
  <si>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</si>
  <si>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</si>
  <si>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</si>
  <si>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</si>
  <si>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</si>
  <si>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</si>
  <si>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</si>
  <si>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</si>
  <si>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</si>
  <si>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</si>
  <si>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</si>
  <si>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</si>
  <si>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</si>
  <si>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</si>
  <si>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</si>
  <si>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</si>
  <si>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</si>
  <si>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</si>
  <si>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</si>
  <si>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</si>
  <si>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</si>
  <si>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</si>
  <si>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</si>
  <si>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</si>
  <si>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</si>
  <si>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</si>
  <si>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</si>
  <si>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</si>
  <si>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</si>
  <si>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</si>
  <si>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</si>
  <si>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</si>
  <si>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</si>
  <si>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</si>
  <si>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</si>
  <si>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</si>
  <si>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</si>
  <si>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</si>
  <si>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</si>
  <si>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</si>
  <si>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</si>
  <si>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</si>
  <si>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</si>
  <si>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</si>
  <si>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</si>
  <si>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</si>
  <si>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</si>
  <si>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</si>
  <si>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</si>
  <si>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</si>
  <si>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</si>
  <si>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</si>
  <si>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</si>
  <si>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</si>
  <si>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</si>
  <si>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</si>
  <si>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</si>
  <si>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</si>
  <si>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</si>
  <si>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</si>
  <si>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</si>
  <si>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</si>
  <si>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</si>
  <si>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</si>
  <si>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</si>
  <si>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</si>
  <si>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</si>
  <si>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</si>
  <si>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</si>
  <si>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</si>
  <si>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</si>
  <si>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</si>
  <si>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</si>
  <si>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</si>
  <si>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</si>
  <si>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</si>
  <si>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</si>
  <si>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</si>
  <si>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</si>
  <si>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</si>
  <si>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</si>
  <si>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</si>
  <si>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</si>
  <si>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</si>
  <si>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</si>
  <si>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</si>
  <si>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</si>
  <si>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</si>
  <si>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</si>
  <si>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</si>
  <si>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</si>
  <si>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</si>
  <si>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</si>
  <si>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</si>
  <si>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</si>
  <si>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</si>
  <si>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</si>
  <si>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</si>
  <si>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</si>
  <si>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</si>
  <si>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</si>
  <si>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</si>
  <si>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</si>
  <si>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</si>
  <si>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</si>
  <si>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</si>
  <si>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</si>
  <si>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</si>
  <si>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</si>
  <si>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</si>
  <si>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</si>
  <si>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</si>
  <si>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</si>
  <si>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</si>
  <si>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</si>
  <si>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</si>
  <si>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</si>
  <si>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</si>
  <si>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</si>
  <si>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</si>
  <si>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</si>
  <si>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</si>
  <si>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</si>
  <si>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</si>
  <si>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</si>
  <si>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</si>
  <si>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</si>
  <si>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</si>
  <si>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</si>
  <si>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</si>
  <si>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</si>
  <si>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</si>
  <si>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</si>
  <si>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</si>
  <si>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</si>
  <si>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</si>
  <si>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</si>
  <si>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</si>
  <si>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</si>
  <si>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</si>
  <si>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</si>
  <si>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</si>
  <si>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</si>
  <si>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</si>
  <si>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</si>
  <si>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</si>
  <si>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</si>
  <si>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</si>
  <si>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</si>
  <si>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</si>
  <si>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</si>
  <si>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</si>
  <si>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</si>
  <si>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</si>
  <si>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</si>
  <si>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</si>
  <si>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</si>
  <si>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</si>
  <si>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</si>
  <si>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</si>
  <si>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</si>
  <si>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</si>
  <si>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</si>
  <si>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</si>
  <si>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</si>
  <si>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</si>
  <si>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</si>
  <si>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</si>
  <si>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</si>
  <si>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</si>
  <si>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</si>
  <si>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</si>
  <si>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</si>
  <si>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</si>
  <si>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</si>
  <si>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</si>
  <si>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</si>
  <si>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</si>
  <si>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</si>
  <si>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</si>
  <si>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</si>
  <si>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</si>
  <si>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</si>
  <si>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</si>
  <si>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</si>
  <si>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</si>
  <si>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</si>
  <si>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</si>
  <si>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</si>
  <si>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</si>
  <si>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</si>
  <si>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</si>
  <si>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</si>
  <si>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</si>
  <si>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</si>
  <si>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</si>
  <si>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</si>
  <si>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</si>
  <si>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</si>
  <si>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</si>
  <si>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</si>
  <si>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</si>
  <si>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</si>
  <si>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</si>
  <si>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</si>
  <si>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</si>
  <si>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</si>
  <si>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</si>
  <si>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</si>
  <si>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</si>
  <si>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</si>
  <si>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</si>
  <si>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</si>
  <si>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</si>
  <si>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</si>
  <si>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</si>
  <si>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</si>
  <si>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</si>
  <si>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</si>
  <si>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</si>
  <si>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</si>
  <si>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</si>
  <si>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</si>
  <si>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</si>
  <si>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</si>
  <si>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</si>
  <si>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</si>
  <si>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</si>
  <si>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</si>
  <si>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</si>
  <si>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</si>
  <si>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</si>
  <si>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</si>
  <si>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</si>
  <si>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</si>
  <si>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</si>
  <si>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</si>
  <si>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</si>
  <si>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</si>
  <si>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</si>
  <si>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</si>
  <si>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</si>
  <si>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</si>
  <si>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</si>
  <si>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</si>
  <si>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</si>
  <si>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</si>
  <si>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</si>
  <si>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</si>
  <si>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</si>
  <si>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</si>
  <si>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</si>
  <si>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</si>
  <si>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</si>
  <si>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</si>
  <si>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</si>
  <si>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</si>
  <si>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</si>
  <si>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</si>
  <si>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</si>
  <si>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</si>
  <si>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</si>
  <si>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</si>
  <si>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</si>
  <si>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</si>
  <si>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</si>
  <si>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</si>
  <si>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</si>
  <si>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</si>
  <si>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</si>
  <si>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</si>
  <si>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</si>
  <si>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</si>
  <si>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</si>
  <si>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</si>
  <si>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</si>
  <si>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</si>
  <si>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</si>
  <si>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</si>
  <si>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</si>
  <si>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</si>
  <si>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</si>
  <si>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</si>
  <si>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</si>
  <si>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</si>
  <si>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</si>
  <si>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</si>
  <si>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</si>
  <si>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</si>
  <si>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</si>
  <si>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</si>
  <si>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</si>
  <si>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</si>
  <si>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</si>
  <si>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</si>
  <si>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</si>
  <si>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</si>
  <si>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</si>
  <si>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</si>
  <si>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</si>
  <si>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</si>
  <si>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</si>
  <si>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</si>
  <si>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</si>
  <si>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</si>
  <si>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</si>
  <si>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</si>
  <si>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</si>
  <si>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</si>
  <si>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</si>
  <si>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</si>
  <si>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</si>
  <si>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</si>
  <si>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</si>
  <si>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</si>
  <si>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</si>
  <si>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</si>
  <si>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</si>
  <si>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</si>
  <si>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</si>
  <si>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</si>
  <si>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</si>
  <si>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</si>
  <si>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</si>
  <si>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</si>
  <si>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</si>
  <si>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</si>
  <si>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</si>
  <si>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</si>
  <si>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</si>
  <si>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</si>
  <si>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</si>
  <si>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</si>
  <si>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</si>
  <si>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</si>
  <si>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</si>
  <si>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</si>
  <si>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</si>
  <si>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</si>
  <si>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</si>
  <si>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</si>
  <si>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</si>
  <si>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</si>
  <si>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</si>
  <si>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</si>
  <si>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</si>
  <si>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</si>
  <si>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</si>
  <si>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</si>
  <si>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</si>
  <si>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</si>
  <si>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</si>
  <si>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</si>
  <si>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</si>
  <si>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</si>
  <si>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</si>
  <si>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</si>
  <si>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</si>
  <si>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</si>
  <si>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</si>
  <si>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</si>
  <si>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</si>
  <si>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</si>
  <si>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</si>
  <si>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</si>
  <si>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</si>
  <si>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</si>
  <si>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</si>
  <si>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</si>
  <si>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</si>
  <si>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</si>
  <si>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</si>
  <si>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</si>
  <si>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</si>
  <si>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</si>
  <si>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</si>
  <si>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</si>
  <si>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</si>
  <si>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</si>
  <si>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</si>
  <si>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</si>
  <si>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</si>
  <si>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</si>
  <si>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</si>
  <si>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</si>
  <si>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</si>
  <si>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</si>
  <si>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</si>
  <si>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</si>
  <si>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</si>
  <si>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</si>
  <si>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</si>
  <si>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</si>
  <si>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</si>
  <si>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</si>
  <si>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</si>
  <si>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</si>
  <si>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</si>
  <si>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</si>
  <si>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</si>
  <si>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</si>
  <si>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</si>
  <si>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</si>
  <si>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</si>
  <si>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</si>
  <si>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</si>
  <si>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</si>
  <si>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</si>
  <si>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</si>
  <si>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</si>
  <si>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</si>
  <si>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</si>
  <si>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</si>
  <si>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</si>
  <si>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</si>
  <si>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</si>
  <si>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</si>
  <si>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</si>
  <si>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</si>
  <si>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</si>
  <si>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</si>
  <si>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</si>
  <si>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</si>
  <si>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</si>
  <si>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</si>
  <si>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</si>
  <si>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</si>
  <si>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</si>
  <si>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</si>
  <si>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</si>
  <si>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</si>
  <si>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</si>
  <si>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</si>
  <si>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</si>
  <si>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</si>
  <si>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</si>
  <si>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</si>
  <si>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</si>
  <si>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</si>
  <si>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</si>
  <si>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</si>
  <si>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</si>
  <si>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</si>
  <si>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</si>
  <si>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</si>
  <si>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</si>
  <si>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</si>
  <si>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</si>
  <si>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</si>
  <si>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</si>
  <si>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</si>
  <si>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</si>
  <si>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</si>
  <si>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</si>
  <si>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</si>
  <si>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</si>
  <si>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</si>
  <si>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</si>
  <si>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</si>
  <si>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</si>
  <si>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</si>
  <si>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</si>
  <si>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</si>
  <si>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</si>
  <si>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</si>
  <si>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</si>
  <si>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</si>
  <si>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</si>
  <si>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</si>
  <si>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</si>
  <si>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</si>
  <si>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</si>
  <si>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</si>
  <si>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</si>
  <si>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</si>
  <si>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</si>
  <si>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</si>
  <si>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</si>
  <si>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</si>
  <si>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</si>
  <si>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</si>
  <si>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</si>
  <si>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</si>
  <si>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</si>
  <si>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</si>
  <si>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</si>
  <si>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</si>
  <si>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</si>
  <si>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</si>
  <si>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</si>
  <si>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</si>
  <si>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</si>
  <si>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</si>
  <si>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</si>
  <si>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</si>
  <si>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</si>
  <si>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</si>
  <si>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</si>
  <si>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</si>
  <si>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</si>
  <si>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</si>
  <si>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</si>
  <si>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</si>
  <si>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</si>
  <si>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</si>
  <si>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</si>
  <si>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</si>
  <si>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</si>
  <si>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</si>
  <si>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</si>
  <si>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</si>
  <si>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</si>
  <si>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</si>
  <si>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</si>
  <si>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</si>
  <si>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</si>
  <si>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</si>
  <si>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</si>
  <si>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</si>
  <si>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</si>
  <si>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</si>
  <si>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</si>
  <si>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</si>
  <si>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</si>
  <si>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</si>
  <si>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</si>
  <si>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</si>
  <si>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</si>
  <si>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</si>
  <si>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</si>
  <si>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</si>
  <si>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</si>
  <si>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</si>
  <si>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</si>
  <si>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</si>
  <si>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</si>
  <si>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</si>
  <si>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</si>
  <si>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</si>
  <si>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</si>
  <si>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</si>
  <si>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</si>
  <si>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</si>
  <si>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</si>
  <si>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</si>
  <si>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</si>
  <si>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</si>
  <si>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</si>
  <si>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</si>
  <si>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</si>
  <si>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</si>
  <si>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</si>
  <si>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</si>
  <si>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</si>
  <si>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</si>
  <si>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</si>
  <si>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</si>
  <si>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</si>
  <si>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</si>
  <si>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</si>
  <si>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</si>
  <si>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</si>
  <si>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</si>
  <si>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</si>
  <si>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</si>
  <si>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</si>
  <si>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</si>
  <si>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</si>
  <si>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</si>
  <si>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</si>
  <si>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</si>
  <si>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</si>
  <si>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</si>
  <si>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</si>
  <si>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</si>
  <si>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</si>
  <si>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</si>
  <si>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</si>
  <si>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</si>
  <si>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</si>
  <si>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</si>
  <si>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</si>
  <si>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</si>
  <si>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</si>
  <si>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</si>
  <si>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</si>
  <si>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</si>
  <si>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</si>
  <si>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</si>
  <si>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</si>
  <si>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</si>
  <si>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</si>
  <si>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</si>
  <si>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</si>
  <si>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</si>
  <si>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</si>
  <si>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</si>
  <si>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</si>
  <si>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</si>
  <si>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</si>
  <si>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</si>
  <si>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</si>
  <si>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</si>
  <si>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</si>
  <si>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</si>
  <si>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</si>
  <si>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</si>
  <si>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</si>
  <si>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</si>
  <si>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</si>
  <si>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</si>
  <si>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</si>
  <si>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</si>
  <si>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</si>
  <si>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</si>
  <si>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</si>
  <si>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</si>
  <si>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</si>
  <si>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</si>
  <si>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</si>
  <si>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</si>
  <si>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</si>
  <si>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</si>
  <si>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</si>
  <si>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</si>
  <si>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</si>
  <si>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</si>
  <si>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</si>
  <si>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</si>
  <si>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</si>
  <si>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</si>
  <si>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</si>
  <si>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</si>
  <si>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</si>
  <si>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</si>
  <si>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</si>
  <si>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</si>
  <si>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</si>
  <si>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</si>
  <si>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</si>
  <si>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</si>
  <si>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</si>
  <si>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</si>
  <si>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</si>
  <si>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</si>
  <si>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</si>
  <si>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</si>
  <si>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</si>
  <si>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</si>
  <si>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</si>
  <si>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</si>
  <si>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</si>
  <si>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</si>
  <si>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</si>
  <si>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</si>
  <si>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</si>
  <si>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</si>
  <si>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</si>
  <si>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</si>
  <si>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</si>
  <si>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</si>
  <si>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</si>
  <si>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</si>
  <si>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</si>
  <si>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</si>
  <si>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</si>
  <si>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</si>
  <si>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</si>
  <si>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</si>
  <si>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</si>
  <si>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</si>
  <si>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</si>
  <si>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</si>
  <si>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</si>
  <si>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</si>
  <si>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</si>
  <si>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</si>
  <si>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</si>
  <si>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</si>
  <si>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</si>
  <si>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</si>
  <si>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</si>
  <si>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</si>
  <si>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</si>
  <si>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</si>
  <si>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</si>
  <si>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</si>
  <si>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</si>
  <si>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</si>
  <si>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</si>
  <si>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</si>
  <si>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</si>
  <si>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</si>
  <si>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</si>
  <si>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</si>
  <si>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</si>
  <si>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</si>
  <si>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</si>
  <si>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</si>
  <si>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</si>
  <si>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</si>
  <si>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</si>
  <si>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</si>
  <si>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</si>
  <si>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</si>
  <si>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</si>
  <si>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</si>
  <si>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</si>
  <si>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</si>
  <si>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</si>
  <si>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</si>
  <si>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</si>
  <si>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</si>
  <si>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</si>
  <si>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</si>
  <si>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</si>
  <si>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</si>
  <si>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</si>
  <si>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</si>
  <si>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</si>
  <si>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</si>
  <si>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</si>
  <si>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</si>
  <si>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</si>
  <si>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</si>
  <si>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</si>
  <si>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</si>
  <si>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</si>
  <si>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</si>
  <si>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</si>
  <si>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</si>
  <si>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</si>
  <si>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</si>
  <si>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</si>
  <si>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</si>
  <si>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</si>
  <si>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</si>
  <si>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</si>
  <si>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</si>
  <si>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</si>
  <si>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</si>
  <si>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</si>
  <si>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</si>
  <si>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</si>
  <si>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</si>
  <si>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</si>
  <si>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</si>
  <si>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</si>
  <si>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</si>
  <si>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</si>
  <si>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</si>
  <si>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</si>
  <si>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</si>
  <si>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</si>
  <si>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</si>
  <si>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</si>
  <si>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</si>
  <si>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</si>
  <si>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</si>
  <si>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</si>
  <si>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</si>
  <si>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</si>
  <si>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</si>
  <si>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</si>
  <si>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</si>
  <si>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</si>
  <si>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</si>
  <si>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</si>
  <si>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</si>
  <si>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</si>
  <si>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</si>
  <si>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</si>
  <si>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</si>
  <si>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</si>
  <si>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</si>
  <si>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</si>
  <si>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</si>
  <si>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</si>
  <si>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</si>
  <si>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</si>
  <si>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</si>
  <si>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</si>
  <si>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</si>
  <si>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</si>
  <si>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</si>
  <si>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</si>
  <si>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</si>
  <si>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</si>
  <si>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</si>
  <si>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</si>
  <si>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</si>
  <si>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</si>
  <si>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</si>
  <si>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</si>
  <si>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</si>
  <si>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</si>
  <si>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</si>
  <si>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</si>
  <si>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</si>
  <si>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</si>
  <si>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</si>
  <si>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</si>
  <si>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</si>
  <si>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</si>
  <si>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</si>
  <si>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</si>
  <si>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</si>
  <si>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</si>
  <si>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</si>
  <si>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</si>
  <si>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</si>
  <si>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</si>
  <si>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</si>
  <si>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</si>
  <si>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</si>
  <si>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</si>
  <si>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</si>
  <si>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</si>
  <si>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</si>
  <si>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</si>
  <si>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</si>
  <si>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</si>
  <si>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</si>
  <si>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</si>
  <si>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</si>
  <si>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</si>
  <si>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</si>
  <si>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</si>
  <si>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</si>
  <si>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</si>
  <si>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</si>
  <si>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</si>
  <si>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</si>
  <si>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</si>
  <si>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</si>
  <si>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</si>
  <si>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</si>
  <si>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</si>
  <si>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</si>
  <si>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</si>
  <si>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</si>
  <si>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</si>
  <si>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</si>
  <si>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</si>
  <si>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</si>
  <si>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</si>
  <si>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</si>
  <si>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</si>
  <si>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</si>
  <si>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</si>
  <si>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</si>
  <si>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</si>
  <si>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</si>
  <si>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</si>
  <si>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</si>
  <si>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</si>
  <si>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</si>
  <si>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</si>
  <si>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</si>
  <si>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</si>
  <si>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</si>
  <si>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</si>
  <si>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</si>
  <si>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</si>
  <si>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</si>
  <si>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</si>
  <si>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</si>
  <si>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</si>
  <si>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</si>
  <si>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</si>
  <si>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</si>
  <si>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</si>
  <si>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</si>
  <si>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</si>
  <si>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</si>
  <si>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</si>
  <si>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</si>
  <si>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</si>
  <si>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</si>
  <si>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</si>
  <si>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</si>
  <si>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</si>
  <si>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</si>
  <si>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</si>
  <si>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</si>
  <si>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</si>
  <si>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</si>
  <si>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</si>
  <si>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</si>
  <si>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</si>
  <si>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</si>
  <si>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</si>
  <si>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</si>
  <si>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</si>
  <si>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</si>
  <si>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</si>
  <si>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</si>
  <si>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</si>
  <si>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Lauterbach &amp; Amen, LLP</t>
  </si>
  <si>
    <t>Cook</t>
  </si>
  <si>
    <t>Matt Beran</t>
  </si>
  <si>
    <t>668 N. River Road</t>
  </si>
  <si>
    <t>1750 Plainfield Road</t>
  </si>
  <si>
    <t>Naperville</t>
  </si>
  <si>
    <t>IL</t>
  </si>
  <si>
    <t>LaGrange Highlands</t>
  </si>
  <si>
    <t>mduback@district106.net</t>
  </si>
  <si>
    <t>mberan@lauterbachamen.com</t>
  </si>
  <si>
    <t>Patricia Viniard</t>
  </si>
  <si>
    <t>pviniard@district106.net</t>
  </si>
  <si>
    <t>x</t>
  </si>
  <si>
    <t>General Obligation - Series 2003</t>
  </si>
  <si>
    <t>ED-Instruction-Supplies</t>
  </si>
  <si>
    <t>OM-Support Services-Professional Services</t>
  </si>
  <si>
    <t>TORT-Support Services-Professional Services</t>
  </si>
  <si>
    <t>OM-Support Services-Supplies</t>
  </si>
  <si>
    <t>ED-Instruction-Professional Services</t>
  </si>
  <si>
    <t>ED-Instruction-Other Objects</t>
  </si>
  <si>
    <t>TRANSPORTATION-Non-Programmed Charges-Professional Services</t>
  </si>
  <si>
    <t>TRANSPORTATION-Support Services-Professional Services</t>
  </si>
  <si>
    <t>10-1000-400</t>
  </si>
  <si>
    <t>10-1000-300</t>
  </si>
  <si>
    <t>Apple Financial Services</t>
  </si>
  <si>
    <t>Apple Inc.</t>
  </si>
  <si>
    <t>Automated Logic - Act Chicago</t>
  </si>
  <si>
    <t>Collective Liab Insurance Coop</t>
  </si>
  <si>
    <t>ComEd</t>
  </si>
  <si>
    <t>Cooperative Assoc. for Sp.Ed.</t>
  </si>
  <si>
    <t>Dynegy Energy Services</t>
  </si>
  <si>
    <t>Forecast5 Analytics</t>
  </si>
  <si>
    <t>Grand Prairie Transit</t>
  </si>
  <si>
    <t>GlenOaks Therapeutic Day School South</t>
  </si>
  <si>
    <t>LaGrange Area Dept. of Special Ed.</t>
  </si>
  <si>
    <t>Laidlaw Transit Inc</t>
  </si>
  <si>
    <t>Lyons Township School Treasurer</t>
  </si>
  <si>
    <t>Ricoh Americas Corporation</t>
  </si>
  <si>
    <t>SEAL of Illinois</t>
  </si>
  <si>
    <t>Sno-Enterprises, LLC</t>
  </si>
  <si>
    <t>Unique Products</t>
  </si>
  <si>
    <t>Vogel Landscaping</t>
  </si>
  <si>
    <t>N/A</t>
  </si>
  <si>
    <t>Outsourced - Buck Services Incorporated</t>
  </si>
  <si>
    <t>Coop - Educational Benefit Consultants</t>
  </si>
  <si>
    <t>Gas - Vangaurd Services, Electric-MidAmerican Energy</t>
  </si>
  <si>
    <t>Food Service Professionals</t>
  </si>
  <si>
    <t>Vogel Home and Lawn Care</t>
  </si>
  <si>
    <t>Coop- Collective Liability Insurance Cooperative</t>
  </si>
  <si>
    <t>Franczek Radelet</t>
  </si>
  <si>
    <t>Revenues 9-14; Other Local Revenues (Describe &amp; Itemize); $49,670 - Other Local Revenues</t>
  </si>
  <si>
    <t>20-2300-300</t>
  </si>
  <si>
    <t>80-2300-300</t>
  </si>
  <si>
    <t>20-2300-400</t>
  </si>
  <si>
    <t>20-2400-400</t>
  </si>
  <si>
    <t>40-2550-300</t>
  </si>
  <si>
    <t>10-2520-300</t>
  </si>
  <si>
    <t>LaGrange Highlands SD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</si>
</sst>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181841</xdr:colOff>
          <xdr:row>2</xdr:row>
          <xdr:rowOff>69274</xdr:rowOff>
        </xdr:from>
        <xdr:to>
          <xdr:col>1</xdr:col>
          <xdr:colOff>1092777</xdr:colOff>
          <xdr:row>7</xdr:row>
          <xdr:rowOff>28576</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1948296</xdr:colOff>
          <xdr:row>2</xdr:row>
          <xdr:rowOff>121228</xdr:rowOff>
        </xdr:from>
        <xdr:to>
          <xdr:col>1</xdr:col>
          <xdr:colOff>2859232</xdr:colOff>
          <xdr:row>7</xdr:row>
          <xdr:rowOff>80530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2064</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5">
        <v>6016106002</v>
      </c>
      <c r="B13" s="2016"/>
      <c r="C13" s="2016"/>
      <c r="D13" s="2016"/>
      <c r="E13" s="2016"/>
      <c r="F13" s="2016"/>
      <c r="G13" s="2016"/>
      <c r="H13" s="2017"/>
      <c r="I13" s="31"/>
      <c r="J13" s="30"/>
      <c r="K13" s="28"/>
      <c r="L13" s="30"/>
      <c r="M13" s="30"/>
      <c r="N13" s="30"/>
      <c r="O13" s="30"/>
      <c r="P13" s="30"/>
      <c r="Q13" s="30"/>
      <c r="R13" s="30"/>
      <c r="S13" s="30"/>
      <c r="T13" s="2020" t="s">
        <v>2065</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2066</v>
      </c>
      <c r="B15" s="2018"/>
      <c r="C15" s="2018"/>
      <c r="D15" s="2018"/>
      <c r="E15" s="2018"/>
      <c r="F15" s="2018"/>
      <c r="G15" s="2018"/>
      <c r="H15" s="2019"/>
      <c r="T15" s="2024" t="s">
        <v>2067</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2122</v>
      </c>
      <c r="B17" s="1975"/>
      <c r="C17" s="1975"/>
      <c r="D17" s="1975"/>
      <c r="E17" s="1975"/>
      <c r="F17" s="1975"/>
      <c r="G17" s="1975"/>
      <c r="H17" s="2000"/>
      <c r="T17" s="2031" t="s">
        <v>2068</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2069</v>
      </c>
      <c r="B19" s="1960"/>
      <c r="C19" s="1960"/>
      <c r="D19" s="1960"/>
      <c r="E19" s="1960"/>
      <c r="F19" s="1960"/>
      <c r="G19" s="1960"/>
      <c r="H19" s="1940"/>
      <c r="I19" s="30"/>
      <c r="J19" s="99"/>
      <c r="K19" s="40"/>
      <c r="L19" s="38"/>
      <c r="M19" s="112" t="s">
        <v>315</v>
      </c>
      <c r="P19" s="27"/>
      <c r="Q19" s="27"/>
      <c r="R19" s="27"/>
      <c r="S19" s="31"/>
      <c r="T19" s="2014" t="s">
        <v>2070</v>
      </c>
      <c r="U19" s="1939"/>
      <c r="V19" s="1939"/>
      <c r="W19" s="1940"/>
      <c r="X19" s="2029" t="s">
        <v>2071</v>
      </c>
      <c r="Y19" s="2030"/>
      <c r="Z19" s="2027">
        <v>60563</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2072</v>
      </c>
      <c r="B21" s="1939"/>
      <c r="C21" s="1939"/>
      <c r="D21" s="1939"/>
      <c r="E21" s="1939"/>
      <c r="F21" s="1939"/>
      <c r="G21" s="1939"/>
      <c r="H21" s="1940"/>
      <c r="I21" s="1994" t="s">
        <v>678</v>
      </c>
      <c r="J21" s="1989"/>
      <c r="K21" s="1989"/>
      <c r="L21" s="1989"/>
      <c r="M21" s="1989"/>
      <c r="N21" s="1989"/>
      <c r="O21" s="1989"/>
      <c r="P21" s="1989"/>
      <c r="Q21" s="1989"/>
      <c r="R21" s="1989"/>
      <c r="S21" s="1995"/>
      <c r="T21" s="2038">
        <v>6303931483</v>
      </c>
      <c r="U21" s="2039"/>
      <c r="V21" s="2039"/>
      <c r="W21" s="2039"/>
      <c r="X21" s="2044">
        <v>6303932516</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2073</v>
      </c>
      <c r="B23" s="1992"/>
      <c r="C23" s="1992"/>
      <c r="D23" s="1992"/>
      <c r="E23" s="1992"/>
      <c r="F23" s="1992"/>
      <c r="G23" s="1992"/>
      <c r="H23" s="1993"/>
      <c r="T23" s="1974">
        <v>65033233</v>
      </c>
      <c r="U23" s="2037"/>
      <c r="V23" s="2037"/>
      <c r="W23" s="2037"/>
      <c r="X23" s="2041">
        <v>44469</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60525</v>
      </c>
      <c r="B25" s="1939"/>
      <c r="C25" s="1939"/>
      <c r="D25" s="1939"/>
      <c r="E25" s="1939"/>
      <c r="F25" s="1939"/>
      <c r="G25" s="1939"/>
      <c r="H25" s="1940"/>
      <c r="I25" s="113"/>
      <c r="J25" s="1963"/>
      <c r="K25" s="1963"/>
      <c r="L25" s="1963"/>
      <c r="M25" s="1963"/>
      <c r="N25" s="1963"/>
      <c r="O25" s="1963"/>
      <c r="P25" s="1963"/>
      <c r="Q25" s="1963"/>
      <c r="R25" s="1963"/>
      <c r="S25" s="1964"/>
      <c r="T25" s="2034" t="s">
        <v>2074</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2075</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2076</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v>7082463085</v>
      </c>
      <c r="B42" s="1958"/>
      <c r="C42" s="1959"/>
      <c r="D42" s="1957">
        <v>7082460220</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Normal="100" workbookViewId="0">
      <selection activeCell="F18" sqref="F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8809182</v>
      </c>
      <c r="C4" s="1524">
        <v>4578437</v>
      </c>
      <c r="D4" s="1752">
        <f>B4-C4</f>
        <v>4230745</v>
      </c>
      <c r="E4" s="1524">
        <v>8866696</v>
      </c>
      <c r="F4" s="1752">
        <f>E4-C4</f>
        <v>4288259</v>
      </c>
    </row>
    <row r="5" spans="1:6" ht="13.7" customHeight="1" x14ac:dyDescent="0.2">
      <c r="A5" s="715" t="s">
        <v>870</v>
      </c>
      <c r="B5" s="1750">
        <f>'Revenues 9-14'!D5</f>
        <v>2067200</v>
      </c>
      <c r="C5" s="585">
        <v>1187663</v>
      </c>
      <c r="D5" s="1753">
        <f t="shared" ref="D5:D18" si="0">B5-C5</f>
        <v>879537</v>
      </c>
      <c r="E5" s="585">
        <v>2300052</v>
      </c>
      <c r="F5" s="1753">
        <f>E5-C5</f>
        <v>1112389</v>
      </c>
    </row>
    <row r="6" spans="1:6" ht="13.7" customHeight="1" x14ac:dyDescent="0.2">
      <c r="A6" s="715" t="s">
        <v>411</v>
      </c>
      <c r="B6" s="1750">
        <f>'Revenues 9-14'!E5</f>
        <v>637301</v>
      </c>
      <c r="C6" s="585">
        <v>341297</v>
      </c>
      <c r="D6" s="1753">
        <f t="shared" si="0"/>
        <v>296004</v>
      </c>
      <c r="E6" s="585">
        <v>660962</v>
      </c>
      <c r="F6" s="1753">
        <f t="shared" ref="F6:F18" si="1">E6-C6</f>
        <v>319665</v>
      </c>
    </row>
    <row r="7" spans="1:6" ht="13.7" customHeight="1" x14ac:dyDescent="0.2">
      <c r="A7" s="715" t="s">
        <v>155</v>
      </c>
      <c r="B7" s="1750">
        <f>'Revenues 9-14'!F5</f>
        <v>136450</v>
      </c>
      <c r="C7" s="585">
        <v>84624</v>
      </c>
      <c r="D7" s="1753">
        <f t="shared" si="0"/>
        <v>51826</v>
      </c>
      <c r="E7" s="585">
        <v>163885</v>
      </c>
      <c r="F7" s="1753">
        <f t="shared" si="1"/>
        <v>79261</v>
      </c>
    </row>
    <row r="8" spans="1:6" ht="13.7" customHeight="1" x14ac:dyDescent="0.2">
      <c r="A8" s="715" t="s">
        <v>1179</v>
      </c>
      <c r="B8" s="1750">
        <f>'Revenues 9-14'!G5</f>
        <v>95318</v>
      </c>
      <c r="C8" s="585">
        <v>58372</v>
      </c>
      <c r="D8" s="1753">
        <f t="shared" si="0"/>
        <v>36946</v>
      </c>
      <c r="E8" s="585">
        <v>113044</v>
      </c>
      <c r="F8" s="1753">
        <f t="shared" si="1"/>
        <v>54672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301357</v>
      </c>
      <c r="C11" s="585">
        <v>213629</v>
      </c>
      <c r="D11" s="1753">
        <f t="shared" si="0"/>
        <v>87728</v>
      </c>
      <c r="E11" s="585">
        <v>413719</v>
      </c>
      <c r="F11" s="1753">
        <f t="shared" si="1"/>
        <v>200090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399160</v>
      </c>
      <c r="C14" s="585">
        <v>254824</v>
      </c>
      <c r="D14" s="1753">
        <f t="shared" si="0"/>
        <v>144336</v>
      </c>
      <c r="E14" s="585">
        <v>493498</v>
      </c>
      <c r="F14" s="1753">
        <f t="shared" si="1"/>
        <v>238674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234038</v>
      </c>
      <c r="C16" s="585">
        <v>135264</v>
      </c>
      <c r="D16" s="1753">
        <f t="shared" si="0"/>
        <v>98774</v>
      </c>
      <c r="E16" s="585">
        <v>261955</v>
      </c>
      <c r="F16" s="1753">
        <f t="shared" si="1"/>
        <v>126691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12680006</v>
      </c>
      <c r="C19" s="1751">
        <f>SUM(C4:C18)</f>
        <v>6854110</v>
      </c>
      <c r="D19" s="1751">
        <f>SUM(D4:D18)</f>
        <v>5825896</v>
      </c>
      <c r="E19" s="1751">
        <f>SUM(E4:E18)</f>
        <v>13273811</v>
      </c>
      <c r="F19" s="1751">
        <f>SUM(F4:F18)</f>
        <v>6419701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B28" colorId="8" zoomScale="110" zoomScaleNormal="110" workbookViewId="0">
      <selection activeCell="H33" sqref="H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40634</v>
      </c>
      <c r="C31" s="734">
        <v>4545000</v>
      </c>
      <c r="D31" s="735">
        <v>3</v>
      </c>
      <c r="E31" s="734">
        <v>1230000</v>
      </c>
      <c r="F31" s="734"/>
      <c r="G31" s="734"/>
      <c r="H31" s="734">
        <v>580000</v>
      </c>
      <c r="I31" s="1756">
        <f>((E31+F31)-H31)+G31</f>
        <v>650000</v>
      </c>
      <c r="J31" s="734">
        <v>650000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4545000</v>
      </c>
      <c r="D49" s="745"/>
      <c r="E49" s="1756">
        <f t="shared" ref="E49:J49" si="2">SUM(E31:E48)</f>
        <v>1230000</v>
      </c>
      <c r="F49" s="1756">
        <f t="shared" si="2"/>
        <v>0</v>
      </c>
      <c r="G49" s="1756">
        <f t="shared" si="2"/>
        <v>0</v>
      </c>
      <c r="H49" s="1756">
        <f t="shared" si="2"/>
        <v>580000</v>
      </c>
      <c r="I49" s="1756">
        <f t="shared" si="2"/>
        <v>650000</v>
      </c>
      <c r="J49" s="1756">
        <f t="shared" si="2"/>
        <v>650000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v>399159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399159</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399159</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399159</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7"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684156</v>
      </c>
      <c r="D5" s="841"/>
      <c r="E5" s="841"/>
      <c r="F5" s="1760">
        <f>(C5+D5)-E5</f>
        <v>684156</v>
      </c>
      <c r="G5" s="837"/>
      <c r="H5" s="842"/>
      <c r="I5" s="842"/>
      <c r="J5" s="842"/>
      <c r="K5" s="793"/>
      <c r="L5" s="1769">
        <f>F5-K5</f>
        <v>684156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21637057</v>
      </c>
      <c r="D8" s="844">
        <v>134374</v>
      </c>
      <c r="E8" s="844"/>
      <c r="F8" s="1760">
        <f>(C8+D8)-E8</f>
        <v>21771431</v>
      </c>
      <c r="G8" s="843">
        <v>50</v>
      </c>
      <c r="H8" s="765">
        <v>10501578</v>
      </c>
      <c r="I8" s="765">
        <v>524051</v>
      </c>
      <c r="J8" s="765"/>
      <c r="K8" s="1769">
        <f>(H8+I8)-J8</f>
        <v>11025629</v>
      </c>
      <c r="L8" s="1769">
        <f>F8-K8</f>
        <v>10745802</v>
      </c>
    </row>
    <row r="9" spans="1:14" ht="14.25" thickTop="1" thickBot="1" x14ac:dyDescent="0.25">
      <c r="A9" s="778" t="s">
        <v>1119</v>
      </c>
      <c r="B9" s="840">
        <v>232</v>
      </c>
      <c r="C9" s="765">
        <v>1574088</v>
      </c>
      <c r="D9" s="765">
        <v>66738</v>
      </c>
      <c r="E9" s="765"/>
      <c r="F9" s="1760">
        <f>(C9+D9)-E9</f>
        <v>1640826</v>
      </c>
      <c r="G9" s="843">
        <v>20</v>
      </c>
      <c r="H9" s="765">
        <v>1089461</v>
      </c>
      <c r="I9" s="765">
        <v>65146</v>
      </c>
      <c r="J9" s="765"/>
      <c r="K9" s="1769">
        <f>(H9+I9)-J9</f>
        <v>1154607</v>
      </c>
      <c r="L9" s="1769">
        <f>F9-K9</f>
        <v>486219</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3776891</v>
      </c>
      <c r="D12" s="844">
        <v>7778</v>
      </c>
      <c r="E12" s="844"/>
      <c r="F12" s="1760">
        <f>(C12+D12)-E12</f>
        <v>3784669</v>
      </c>
      <c r="G12" s="843">
        <v>10</v>
      </c>
      <c r="H12" s="765">
        <v>3153921</v>
      </c>
      <c r="I12" s="765">
        <v>584290</v>
      </c>
      <c r="J12" s="765"/>
      <c r="K12" s="1769">
        <f>(H12+I12)-J12</f>
        <v>3738211</v>
      </c>
      <c r="L12" s="1769">
        <f>F12-K12</f>
        <v>46458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27672192</v>
      </c>
      <c r="D16" s="1760">
        <f>SUM(D3,D5:D6,D8:D10,D12:D15)</f>
        <v>208890</v>
      </c>
      <c r="E16" s="1760">
        <f>SUM(E3,E5:E6,E8:E10,E12:E15)</f>
        <v>0</v>
      </c>
      <c r="F16" s="1760">
        <f>SUM(F3,F5:F6,F8:F10,F12:F15)</f>
        <v>27881082</v>
      </c>
      <c r="G16" s="843"/>
      <c r="H16" s="1760">
        <f>SUM(H3,H6,H8:H10,H12:H14,)</f>
        <v>14744960</v>
      </c>
      <c r="I16" s="1760">
        <f>SUM(I3,I6,I8:I10,I12:I14,)</f>
        <v>1173487</v>
      </c>
      <c r="J16" s="1760">
        <f>SUM(J3,J6,J8:J10,J12:J14,)</f>
        <v>0</v>
      </c>
      <c r="K16" s="1760">
        <f>(H16+I16)-J16</f>
        <v>15918447</v>
      </c>
      <c r="L16" s="1760">
        <f>F16-K16</f>
        <v>11962635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622806</v>
      </c>
      <c r="G17" s="837">
        <v>10</v>
      </c>
      <c r="H17" s="769"/>
      <c r="I17" s="1769">
        <f>F17/G17</f>
        <v>62280.6</v>
      </c>
      <c r="J17" s="769"/>
      <c r="K17" s="795"/>
      <c r="L17" s="795"/>
    </row>
    <row r="18" spans="1:12" ht="14.25" thickTop="1" thickBot="1" x14ac:dyDescent="0.25">
      <c r="A18" s="1767" t="s">
        <v>685</v>
      </c>
      <c r="B18" s="1768"/>
      <c r="C18" s="771"/>
      <c r="D18" s="771"/>
      <c r="E18" s="771"/>
      <c r="F18" s="850"/>
      <c r="G18" s="851"/>
      <c r="H18" s="773"/>
      <c r="I18" s="1760">
        <f>SUM(I16,I17)</f>
        <v>1235767.6000000001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69" activePane="bottomLeft" state="frozen"/>
      <selection activeCell="A47" sqref="A47"/>
      <selection pane="bottomLeft" activeCell="D59" sqref="D5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10944321</v>
      </c>
      <c r="G8" s="865"/>
    </row>
    <row r="9" spans="1:7" x14ac:dyDescent="0.2">
      <c r="A9" s="869" t="s">
        <v>460</v>
      </c>
      <c r="B9" s="870" t="s">
        <v>1877</v>
      </c>
      <c r="C9" s="871"/>
      <c r="D9" s="869" t="s">
        <v>501</v>
      </c>
      <c r="E9" s="868"/>
      <c r="F9" s="1909">
        <f>'Expenditures 15-22'!K151</f>
        <v>1394699</v>
      </c>
      <c r="G9" s="872"/>
    </row>
    <row r="10" spans="1:7" x14ac:dyDescent="0.2">
      <c r="A10" s="869" t="s">
        <v>499</v>
      </c>
      <c r="B10" s="870" t="s">
        <v>1878</v>
      </c>
      <c r="C10" s="871"/>
      <c r="D10" s="869" t="s">
        <v>501</v>
      </c>
      <c r="E10" s="868"/>
      <c r="F10" s="1909">
        <f>'Expenditures 15-22'!K174</f>
        <v>625288</v>
      </c>
      <c r="G10" s="872"/>
    </row>
    <row r="11" spans="1:7" x14ac:dyDescent="0.2">
      <c r="A11" s="869" t="s">
        <v>461</v>
      </c>
      <c r="B11" s="870" t="s">
        <v>1879</v>
      </c>
      <c r="C11" s="871"/>
      <c r="D11" s="869" t="s">
        <v>501</v>
      </c>
      <c r="E11" s="868"/>
      <c r="F11" s="1909">
        <f>'Expenditures 15-22'!K210</f>
        <v>155920</v>
      </c>
      <c r="G11" s="872"/>
    </row>
    <row r="12" spans="1:7" x14ac:dyDescent="0.2">
      <c r="A12" s="869" t="s">
        <v>462</v>
      </c>
      <c r="B12" s="870" t="s">
        <v>1880</v>
      </c>
      <c r="C12" s="871"/>
      <c r="D12" s="869" t="s">
        <v>501</v>
      </c>
      <c r="E12" s="868"/>
      <c r="F12" s="1909">
        <f>'Expenditures 15-22'!K295</f>
        <v>310125</v>
      </c>
      <c r="G12" s="872"/>
    </row>
    <row r="13" spans="1:7" x14ac:dyDescent="0.2">
      <c r="A13" s="869" t="s">
        <v>106</v>
      </c>
      <c r="B13" s="870" t="s">
        <v>1881</v>
      </c>
      <c r="C13" s="871"/>
      <c r="D13" s="869" t="s">
        <v>501</v>
      </c>
      <c r="E13" s="868"/>
      <c r="F13" s="1909">
        <f>'Expenditures 15-22'!K342</f>
        <v>219719</v>
      </c>
      <c r="G13" s="873"/>
    </row>
    <row r="14" spans="1:7" ht="12" customHeight="1" thickBot="1" x14ac:dyDescent="0.25">
      <c r="A14" s="1770"/>
      <c r="B14" s="1771"/>
      <c r="C14" s="1772"/>
      <c r="D14" s="1773" t="s">
        <v>501</v>
      </c>
      <c r="E14" s="1774" t="s">
        <v>958</v>
      </c>
      <c r="F14" s="1775">
        <f>SUM(F8:F13)</f>
        <v>13650072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212184</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94742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72734</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110272</v>
      </c>
      <c r="G52" s="865"/>
    </row>
    <row r="53" spans="1:7" x14ac:dyDescent="0.2">
      <c r="A53" s="869" t="s">
        <v>459</v>
      </c>
      <c r="B53" s="869" t="s">
        <v>1475</v>
      </c>
      <c r="C53" s="889">
        <f>'Expenditures 15-22'!B102</f>
        <v>4000</v>
      </c>
      <c r="D53" s="888" t="str">
        <f>'Expenditures 15-22'!A102</f>
        <v>Total Payments to Other Govt Units</v>
      </c>
      <c r="E53" s="868"/>
      <c r="F53" s="1913">
        <f>'Expenditures 15-22'!K102</f>
        <v>74509</v>
      </c>
      <c r="G53" s="865"/>
    </row>
    <row r="54" spans="1:7" x14ac:dyDescent="0.2">
      <c r="A54" s="869" t="s">
        <v>459</v>
      </c>
      <c r="B54" s="869" t="s">
        <v>1476</v>
      </c>
      <c r="C54" s="889" t="s">
        <v>982</v>
      </c>
      <c r="D54" s="885" t="s">
        <v>1095</v>
      </c>
      <c r="E54" s="868"/>
      <c r="F54" s="1913">
        <f>'Expenditures 15-22'!G114</f>
        <v>1283</v>
      </c>
      <c r="G54" s="865"/>
    </row>
    <row r="55" spans="1:7" x14ac:dyDescent="0.2">
      <c r="A55" s="869" t="s">
        <v>459</v>
      </c>
      <c r="B55" s="869" t="s">
        <v>1477</v>
      </c>
      <c r="C55" s="889" t="s">
        <v>982</v>
      </c>
      <c r="D55" s="885" t="s">
        <v>291</v>
      </c>
      <c r="E55" s="868"/>
      <c r="F55" s="1913">
        <f>'Expenditures 15-22'!I114</f>
        <v>407764</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95941</v>
      </c>
      <c r="G58" s="865"/>
    </row>
    <row r="59" spans="1:7" x14ac:dyDescent="0.2">
      <c r="A59" s="893" t="s">
        <v>460</v>
      </c>
      <c r="B59" s="856" t="s">
        <v>1884</v>
      </c>
      <c r="C59" s="894" t="s">
        <v>982</v>
      </c>
      <c r="D59" s="856" t="s">
        <v>291</v>
      </c>
      <c r="F59" s="1916">
        <f>'Expenditures 15-22'!I151</f>
        <v>215042</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580000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52679</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10005</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2825</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1929980</v>
      </c>
      <c r="G76" s="865"/>
    </row>
    <row r="77" spans="1:8" s="893" customFormat="1" ht="12" customHeight="1" thickTop="1" thickBot="1" x14ac:dyDescent="0.25">
      <c r="A77" s="1779"/>
      <c r="B77" s="1776"/>
      <c r="C77" s="1772"/>
      <c r="D77" s="1777" t="s">
        <v>1900</v>
      </c>
      <c r="E77" s="1774"/>
      <c r="F77" s="1780">
        <f>(F14-F76)</f>
        <v>11720092</v>
      </c>
      <c r="G77" s="869"/>
    </row>
    <row r="78" spans="1:8" s="893" customFormat="1" ht="12" customHeight="1" thickTop="1" x14ac:dyDescent="0.2">
      <c r="A78" s="1781"/>
      <c r="B78" s="1776"/>
      <c r="C78" s="1772"/>
      <c r="D78" s="1777" t="s">
        <v>2062</v>
      </c>
      <c r="E78" s="1774"/>
      <c r="F78" s="898">
        <v>877.8</v>
      </c>
      <c r="G78" s="899"/>
      <c r="H78" s="869"/>
    </row>
    <row r="79" spans="1:8" s="893" customFormat="1" ht="12" customHeight="1" thickBot="1" x14ac:dyDescent="0.25">
      <c r="A79" s="1782"/>
      <c r="B79" s="1776"/>
      <c r="C79" s="1772"/>
      <c r="D79" s="1777" t="s">
        <v>1901</v>
      </c>
      <c r="E79" s="1774" t="s">
        <v>958</v>
      </c>
      <c r="F79" s="1783">
        <f>IF(F78&gt;0,F77/F78," Complete Line 78")</f>
        <v>13351.665527455001</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7563</v>
      </c>
      <c r="G94" s="912"/>
    </row>
    <row r="95" spans="1:7" x14ac:dyDescent="0.2">
      <c r="A95" s="908" t="s">
        <v>140</v>
      </c>
      <c r="B95" s="908" t="s">
        <v>175</v>
      </c>
      <c r="C95" s="910">
        <v>1700</v>
      </c>
      <c r="D95" s="918" t="str">
        <f>'Revenues 9-14'!A82</f>
        <v>Total District/School Activity Income</v>
      </c>
      <c r="E95" s="906"/>
      <c r="F95" s="1789">
        <f>SUM('Revenues 9-14'!C82,'Revenues 9-14'!D82)</f>
        <v>5496</v>
      </c>
      <c r="G95" s="912"/>
    </row>
    <row r="96" spans="1:7" x14ac:dyDescent="0.2">
      <c r="A96" s="908" t="s">
        <v>459</v>
      </c>
      <c r="B96" s="908" t="s">
        <v>176</v>
      </c>
      <c r="C96" s="910">
        <f>'Revenues 9-14'!B84</f>
        <v>1811</v>
      </c>
      <c r="D96" s="911" t="str">
        <f>'Revenues 9-14'!A84</f>
        <v>Rentals - Regular Textbooks</v>
      </c>
      <c r="E96" s="906"/>
      <c r="F96" s="1789">
        <f>'Revenues 9-14'!C84</f>
        <v>138706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59992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15647</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68362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4028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99908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6718</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22990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287253.52</v>
      </c>
      <c r="G171" s="927"/>
    </row>
    <row r="172" spans="1:7" x14ac:dyDescent="0.2">
      <c r="A172" s="1918" t="s">
        <v>664</v>
      </c>
      <c r="B172" s="1919" t="s">
        <v>1920</v>
      </c>
      <c r="C172" s="1920">
        <v>3300</v>
      </c>
      <c r="D172" s="1921" t="s">
        <v>1923</v>
      </c>
      <c r="E172" s="906"/>
      <c r="F172" s="1906">
        <v>37.06</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716700.58000000007</v>
      </c>
    </row>
    <row r="175" spans="1:7" ht="12" customHeight="1" x14ac:dyDescent="0.2">
      <c r="A175" s="1770"/>
      <c r="B175" s="1784"/>
      <c r="C175" s="1785"/>
      <c r="D175" s="1786" t="s">
        <v>2057</v>
      </c>
      <c r="E175" s="1787"/>
      <c r="F175" s="1789">
        <f>'PCTC-OEPP 27-28'!F77-F174</f>
        <v>11003391.42</v>
      </c>
    </row>
    <row r="176" spans="1:7" ht="12" customHeight="1" x14ac:dyDescent="0.2">
      <c r="A176" s="1770"/>
      <c r="B176" s="1784"/>
      <c r="C176" s="1785"/>
      <c r="D176" s="1786" t="s">
        <v>1817</v>
      </c>
      <c r="E176" s="1787"/>
      <c r="F176" s="1789">
        <f>'Cap Outlay Deprec 26'!I18</f>
        <v>1235767.6000000001</v>
      </c>
    </row>
    <row r="177" spans="1:7" ht="12" customHeight="1" x14ac:dyDescent="0.2">
      <c r="A177" s="1770"/>
      <c r="B177" s="1784"/>
      <c r="C177" s="1785"/>
      <c r="D177" s="1786" t="s">
        <v>2058</v>
      </c>
      <c r="E177" s="1787"/>
      <c r="F177" s="1789">
        <f>F175+F176</f>
        <v>12239159.02</v>
      </c>
    </row>
    <row r="178" spans="1:7" ht="12" customHeight="1" x14ac:dyDescent="0.2">
      <c r="A178" s="1770"/>
      <c r="B178" s="1790"/>
      <c r="C178" s="1785"/>
      <c r="D178" s="1786" t="str">
        <f>D78</f>
        <v>9 Month ADA from District Average Daily Attendance/Prior General State Aid Inquiry 2018-2019</v>
      </c>
      <c r="E178" s="1787"/>
      <c r="F178" s="1791">
        <f>'PCTC-OEPP 27-28'!F78</f>
        <v>877.8</v>
      </c>
      <c r="G178" s="930"/>
    </row>
    <row r="179" spans="1:7" ht="12" customHeight="1" thickBot="1" x14ac:dyDescent="0.25">
      <c r="A179" s="1770"/>
      <c r="B179" s="1790"/>
      <c r="C179" s="1785"/>
      <c r="D179" s="1786" t="s">
        <v>2059</v>
      </c>
      <c r="E179" s="1787" t="s">
        <v>1545</v>
      </c>
      <c r="F179" s="1792">
        <f>F177/F178</f>
        <v>13942.992731829574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zoomScaleNormal="100" workbookViewId="0">
      <selection activeCell="B34" sqref="B3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2079</v>
      </c>
      <c r="B17" s="1935" t="s">
        <v>2087</v>
      </c>
      <c r="C17" s="1656" t="s">
        <v>2089</v>
      </c>
      <c r="D17" s="1844">
        <v>231034</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206034</v>
      </c>
      <c r="H17" s="1647"/>
    </row>
    <row r="18" spans="1:8" x14ac:dyDescent="0.25">
      <c r="A18" s="1653" t="s">
        <v>2079</v>
      </c>
      <c r="B18" s="1935" t="s">
        <v>2087</v>
      </c>
      <c r="C18" s="1656" t="s">
        <v>2090</v>
      </c>
      <c r="D18" s="1844">
        <v>207955</v>
      </c>
      <c r="E18" s="1540">
        <f t="shared" ref="E18:E140" si="2">IF(D18&lt;=25000,D18,IF(D18&gt;25000,25000,0))</f>
        <v>25000</v>
      </c>
      <c r="F18" s="1933">
        <f t="shared" si="1"/>
        <v>25000</v>
      </c>
      <c r="G18" s="1793">
        <f t="shared" ref="G18:G140" si="3">IF(F18=0,0,D18-F18)</f>
        <v>182955</v>
      </c>
    </row>
    <row r="19" spans="1:8" x14ac:dyDescent="0.25">
      <c r="A19" s="1653" t="s">
        <v>2080</v>
      </c>
      <c r="B19" s="1935" t="s">
        <v>2116</v>
      </c>
      <c r="C19" s="1656" t="s">
        <v>2091</v>
      </c>
      <c r="D19" s="1844">
        <v>40075</v>
      </c>
      <c r="E19" s="1540">
        <f t="shared" si="2"/>
        <v>25000</v>
      </c>
      <c r="F19" s="1933">
        <f t="shared" si="1"/>
        <v>0</v>
      </c>
      <c r="G19" s="1793">
        <f t="shared" si="3"/>
        <v>0</v>
      </c>
    </row>
    <row r="20" spans="1:8" x14ac:dyDescent="0.25">
      <c r="A20" s="1653" t="s">
        <v>2081</v>
      </c>
      <c r="B20" s="1935" t="s">
        <v>2117</v>
      </c>
      <c r="C20" s="1656" t="s">
        <v>2092</v>
      </c>
      <c r="D20" s="1844">
        <v>96296</v>
      </c>
      <c r="E20" s="1540">
        <f t="shared" si="2"/>
        <v>25000</v>
      </c>
      <c r="F20" s="1933">
        <f t="shared" si="1"/>
        <v>25000</v>
      </c>
      <c r="G20" s="1793">
        <f t="shared" si="3"/>
        <v>71296</v>
      </c>
    </row>
    <row r="21" spans="1:8" x14ac:dyDescent="0.25">
      <c r="A21" s="1653" t="s">
        <v>2082</v>
      </c>
      <c r="B21" s="1935" t="s">
        <v>2118</v>
      </c>
      <c r="C21" s="1656" t="s">
        <v>2093</v>
      </c>
      <c r="D21" s="1844">
        <v>39683</v>
      </c>
      <c r="E21" s="1540">
        <f t="shared" si="2"/>
        <v>25000</v>
      </c>
      <c r="F21" s="1933">
        <f t="shared" si="1"/>
        <v>0</v>
      </c>
      <c r="G21" s="1793">
        <f t="shared" si="3"/>
        <v>0</v>
      </c>
    </row>
    <row r="22" spans="1:8" x14ac:dyDescent="0.25">
      <c r="A22" s="1653" t="s">
        <v>2083</v>
      </c>
      <c r="B22" s="1935" t="s">
        <v>2088</v>
      </c>
      <c r="C22" s="1656" t="s">
        <v>2094</v>
      </c>
      <c r="D22" s="1844">
        <v>117694</v>
      </c>
      <c r="E22" s="1540">
        <f t="shared" si="2"/>
        <v>25000</v>
      </c>
      <c r="F22" s="1933">
        <f t="shared" si="1"/>
        <v>25000</v>
      </c>
      <c r="G22" s="1793">
        <f t="shared" si="3"/>
        <v>92694</v>
      </c>
    </row>
    <row r="23" spans="1:8" x14ac:dyDescent="0.25">
      <c r="A23" s="1653" t="s">
        <v>2082</v>
      </c>
      <c r="B23" s="1935" t="s">
        <v>2119</v>
      </c>
      <c r="C23" s="1656" t="s">
        <v>2095</v>
      </c>
      <c r="D23" s="1844">
        <v>89224</v>
      </c>
      <c r="E23" s="1540">
        <f t="shared" si="2"/>
        <v>25000</v>
      </c>
      <c r="F23" s="1933">
        <f t="shared" si="1"/>
        <v>0</v>
      </c>
      <c r="G23" s="1793">
        <f t="shared" si="3"/>
        <v>0</v>
      </c>
    </row>
    <row r="24" spans="1:8" x14ac:dyDescent="0.25">
      <c r="A24" s="1653" t="s">
        <v>2083</v>
      </c>
      <c r="B24" s="1935" t="s">
        <v>2088</v>
      </c>
      <c r="C24" s="1656" t="s">
        <v>2096</v>
      </c>
      <c r="D24" s="1844">
        <v>26937</v>
      </c>
      <c r="E24" s="1540">
        <f t="shared" si="2"/>
        <v>25000</v>
      </c>
      <c r="F24" s="1933">
        <f t="shared" si="1"/>
        <v>25000</v>
      </c>
      <c r="G24" s="1793">
        <f t="shared" si="3"/>
        <v>1937</v>
      </c>
    </row>
    <row r="25" spans="1:8" x14ac:dyDescent="0.25">
      <c r="A25" s="1653" t="s">
        <v>2084</v>
      </c>
      <c r="B25" s="1935" t="s">
        <v>1824</v>
      </c>
      <c r="C25" s="1656" t="s">
        <v>2098</v>
      </c>
      <c r="D25" s="1844">
        <v>40521</v>
      </c>
      <c r="E25" s="1540">
        <f t="shared" si="2"/>
        <v>25000</v>
      </c>
      <c r="F25" s="1933">
        <f t="shared" si="1"/>
        <v>25000</v>
      </c>
      <c r="G25" s="1793">
        <f t="shared" si="3"/>
        <v>15521</v>
      </c>
    </row>
    <row r="26" spans="1:8" ht="30" x14ac:dyDescent="0.25">
      <c r="A26" s="1653" t="s">
        <v>2085</v>
      </c>
      <c r="B26" s="1935" t="s">
        <v>2120</v>
      </c>
      <c r="C26" s="1654" t="s">
        <v>2097</v>
      </c>
      <c r="D26" s="1844">
        <v>47741</v>
      </c>
      <c r="E26" s="1540">
        <f t="shared" si="2"/>
        <v>25000</v>
      </c>
      <c r="F26" s="1933">
        <f t="shared" si="1"/>
        <v>25000</v>
      </c>
      <c r="G26" s="1793">
        <f t="shared" si="3"/>
        <v>22741</v>
      </c>
    </row>
    <row r="27" spans="1:8" x14ac:dyDescent="0.25">
      <c r="A27" s="1653" t="s">
        <v>2083</v>
      </c>
      <c r="B27" s="1935" t="s">
        <v>2088</v>
      </c>
      <c r="C27" s="1654" t="s">
        <v>2099</v>
      </c>
      <c r="D27" s="1844">
        <v>327313</v>
      </c>
      <c r="E27" s="1540">
        <f t="shared" si="2"/>
        <v>25000</v>
      </c>
      <c r="F27" s="1933">
        <f t="shared" si="1"/>
        <v>25000</v>
      </c>
      <c r="G27" s="1793">
        <f t="shared" si="3"/>
        <v>302313</v>
      </c>
    </row>
    <row r="28" spans="1:8" ht="30" x14ac:dyDescent="0.25">
      <c r="A28" s="1653" t="s">
        <v>2086</v>
      </c>
      <c r="B28" s="1935" t="s">
        <v>2120</v>
      </c>
      <c r="C28" s="1654" t="s">
        <v>2100</v>
      </c>
      <c r="D28" s="1844">
        <v>33410</v>
      </c>
      <c r="E28" s="1540">
        <f t="shared" si="2"/>
        <v>25000</v>
      </c>
      <c r="F28" s="1933">
        <f t="shared" si="1"/>
        <v>25000</v>
      </c>
      <c r="G28" s="1793">
        <f t="shared" si="3"/>
        <v>8410</v>
      </c>
    </row>
    <row r="29" spans="1:8" x14ac:dyDescent="0.25">
      <c r="A29" s="1653" t="s">
        <v>2083</v>
      </c>
      <c r="B29" s="1935" t="s">
        <v>2121</v>
      </c>
      <c r="C29" s="1654" t="s">
        <v>2101</v>
      </c>
      <c r="D29" s="1844">
        <v>58241</v>
      </c>
      <c r="E29" s="1540">
        <f t="shared" si="2"/>
        <v>25000</v>
      </c>
      <c r="F29" s="1933">
        <f t="shared" si="1"/>
        <v>25000</v>
      </c>
      <c r="G29" s="1793">
        <f t="shared" si="3"/>
        <v>33241</v>
      </c>
    </row>
    <row r="30" spans="1:8" x14ac:dyDescent="0.25">
      <c r="A30" s="1653" t="s">
        <v>2083</v>
      </c>
      <c r="B30" s="1935" t="s">
        <v>2088</v>
      </c>
      <c r="C30" s="1654" t="s">
        <v>2102</v>
      </c>
      <c r="D30" s="1844">
        <v>28515</v>
      </c>
      <c r="E30" s="1540">
        <f t="shared" si="2"/>
        <v>25000</v>
      </c>
      <c r="F30" s="1933">
        <f t="shared" si="1"/>
        <v>25000</v>
      </c>
      <c r="G30" s="1793">
        <f t="shared" si="3"/>
        <v>3515</v>
      </c>
    </row>
    <row r="31" spans="1:8" x14ac:dyDescent="0.25">
      <c r="A31" s="1653" t="s">
        <v>2084</v>
      </c>
      <c r="B31" s="1935" t="s">
        <v>1824</v>
      </c>
      <c r="C31" s="1654" t="s">
        <v>2103</v>
      </c>
      <c r="D31" s="1844">
        <v>40010</v>
      </c>
      <c r="E31" s="1540">
        <f t="shared" si="2"/>
        <v>25000</v>
      </c>
      <c r="F31" s="1933">
        <f t="shared" si="1"/>
        <v>25000</v>
      </c>
      <c r="G31" s="1793">
        <f t="shared" si="3"/>
        <v>15010</v>
      </c>
    </row>
    <row r="32" spans="1:8" x14ac:dyDescent="0.25">
      <c r="A32" s="1653" t="s">
        <v>2080</v>
      </c>
      <c r="B32" s="1935" t="s">
        <v>2116</v>
      </c>
      <c r="C32" s="1654" t="s">
        <v>2104</v>
      </c>
      <c r="D32" s="1844">
        <v>34005</v>
      </c>
      <c r="E32" s="1540">
        <f t="shared" si="2"/>
        <v>25000</v>
      </c>
      <c r="F32" s="1933">
        <f t="shared" si="1"/>
        <v>0</v>
      </c>
      <c r="G32" s="1793">
        <f t="shared" si="3"/>
        <v>0</v>
      </c>
    </row>
    <row r="33" spans="1:7" x14ac:dyDescent="0.25">
      <c r="A33" s="1653" t="s">
        <v>2082</v>
      </c>
      <c r="B33" s="1935" t="s">
        <v>2118</v>
      </c>
      <c r="C33" s="1654" t="s">
        <v>2105</v>
      </c>
      <c r="D33" s="1844">
        <v>56615</v>
      </c>
      <c r="E33" s="1540">
        <f t="shared" si="2"/>
        <v>25000</v>
      </c>
      <c r="F33" s="1933">
        <f t="shared" si="1"/>
        <v>0</v>
      </c>
      <c r="G33" s="1793">
        <f t="shared" si="3"/>
        <v>0</v>
      </c>
    </row>
    <row r="34" spans="1:7" x14ac:dyDescent="0.25">
      <c r="A34" s="1653" t="s">
        <v>2080</v>
      </c>
      <c r="B34" s="1935" t="s">
        <v>2116</v>
      </c>
      <c r="C34" s="1654" t="s">
        <v>2106</v>
      </c>
      <c r="D34" s="1844">
        <v>30669</v>
      </c>
      <c r="E34" s="1540">
        <f t="shared" si="2"/>
        <v>25000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1545938</v>
      </c>
      <c r="E141" s="1541">
        <f t="shared" si="0"/>
        <v>25000</v>
      </c>
      <c r="F141" s="1934">
        <f>SUM(F17:F140)</f>
        <v>300000</v>
      </c>
      <c r="G141" s="1795">
        <f>SUM(G17:G140)</f>
        <v>955667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31" colorId="8" zoomScale="110" zoomScaleNormal="110" workbookViewId="0">
      <selection activeCell="K54" sqref="K5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103621</v>
      </c>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7946162</v>
      </c>
      <c r="F19" s="1799"/>
      <c r="G19" s="1801">
        <f>'Expenditures 15-22'!K33-SUM('Expenditures 15-22'!G33,'Expenditures 15-22'!I33)+'Expenditures 15-22'!D229</f>
        <v>7946162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592165</v>
      </c>
      <c r="F21" s="1802"/>
      <c r="G21" s="1805">
        <f>'Expenditures 15-22'!K42-SUM('Expenditures 15-22'!G42,'Expenditures 15-22'!I42)+'Expenditures 15-22'!K120-SUM('Expenditures 15-22'!G120,'Expenditures 15-22'!I120)+'Expenditures 15-22'!K180-SUM('Expenditures 15-22'!G180,'Expenditures 15-22'!I180)+'Expenditures 15-22'!D238</f>
        <v>592165</v>
      </c>
      <c r="H21" s="987"/>
      <c r="I21" s="162"/>
    </row>
    <row r="22" spans="1:9" s="668" customFormat="1" ht="12" customHeight="1" x14ac:dyDescent="0.2">
      <c r="A22" s="994" t="s">
        <v>564</v>
      </c>
      <c r="B22" s="995"/>
      <c r="C22" s="993">
        <v>2200</v>
      </c>
      <c r="D22" s="1802"/>
      <c r="E22" s="1804">
        <f>'Expenditures 15-22'!K47-SUM('Expenditures 15-22'!G47,'Expenditures 15-22'!I47)+'Expenditures 15-22'!D243</f>
        <v>597110</v>
      </c>
      <c r="F22" s="1802"/>
      <c r="G22" s="1805">
        <f>'Expenditures 15-22'!K47-SUM('Expenditures 15-22'!G47,'Expenditures 15-22'!I47)+'Expenditures 15-22'!D243</f>
        <v>597110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640302</v>
      </c>
      <c r="F23" s="1802"/>
      <c r="G23" s="1804">
        <f>'Expenditures 15-22'!K53-SUM('Expenditures 15-22'!G53,'Expenditures 15-22'!I53)+'Expenditures 15-22'!D257+'Expenditures 15-22'!K330-SUM('Expenditures 15-22'!G330,'Expenditures 15-22'!I330)</f>
        <v>640302</v>
      </c>
      <c r="H23" s="987"/>
      <c r="I23" s="162"/>
    </row>
    <row r="24" spans="1:9" s="668" customFormat="1" ht="12" customHeight="1" x14ac:dyDescent="0.2">
      <c r="A24" s="994" t="s">
        <v>566</v>
      </c>
      <c r="B24" s="995"/>
      <c r="C24" s="993">
        <v>2400</v>
      </c>
      <c r="D24" s="1802"/>
      <c r="E24" s="1804">
        <f>'Expenditures 15-22'!K57-SUM('Expenditures 15-22'!G57,'Expenditures 15-22'!I57)+'Expenditures 15-22'!D261</f>
        <v>527270</v>
      </c>
      <c r="F24" s="1802"/>
      <c r="G24" s="1805">
        <f>'Expenditures 15-22'!K57-SUM('Expenditures 15-22'!G57,'Expenditures 15-22'!I57)+'Expenditures 15-22'!D261</f>
        <v>527270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204707</v>
      </c>
      <c r="E27" s="1804">
        <f>E8</f>
        <v>0</v>
      </c>
      <c r="F27" s="1804">
        <f>'Expenditures 15-22'!K60-SUM('Expenditures 15-22'!G60,'Expenditures 15-22'!I60)+'Expenditures 15-22'!D264-E8</f>
        <v>204707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1147463</v>
      </c>
      <c r="F28" s="1806">
        <f>'Expenditures 15-22'!K61-SUM('Expenditures 15-22'!G61,'Expenditures 15-22'!I61)+'Expenditures 15-22'!K124-SUM('Expenditures 15-22'!G124,'Expenditures 15-22'!I124)+'Expenditures 15-22'!D266-E9</f>
        <v>1147463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105104</v>
      </c>
      <c r="F29" s="1802"/>
      <c r="G29" s="1805">
        <f>'Expenditures 15-22'!K62-SUM('Expenditures 15-22'!G62,'Expenditures 15-22'!I62)+'Expenditures 15-22'!K125-SUM('Expenditures 15-22'!G125,'Expenditures 15-22'!I125)+'Expenditures 15-22'!K182-SUM('Expenditures 15-22'!G182,'Expenditures 15-22'!I182)+'Expenditures 15-22'!D267</f>
        <v>105104</v>
      </c>
      <c r="H29" s="985"/>
    </row>
    <row r="30" spans="1:9" ht="12" customHeight="1" x14ac:dyDescent="0.2">
      <c r="A30" s="994" t="s">
        <v>100</v>
      </c>
      <c r="B30" s="997"/>
      <c r="C30" s="993">
        <v>2560</v>
      </c>
      <c r="D30" s="1802"/>
      <c r="E30" s="1804">
        <f>'Expenditures 15-22'!K63-SUM('Expenditures 15-22'!G63,'Expenditures 15-22'!I63)+'Expenditures 15-22'!D268-E10</f>
        <v>4057</v>
      </c>
      <c r="F30" s="1802"/>
      <c r="G30" s="1804">
        <f>'Expenditures 15-22'!K63-SUM('Expenditures 15-22'!G63,'Expenditures 15-22'!I63)+'Expenditures 15-22'!D268-E10</f>
        <v>4057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3563</v>
      </c>
      <c r="E36" s="1804">
        <f>E13</f>
        <v>0</v>
      </c>
      <c r="F36" s="1804">
        <f>'Expenditures 15-22'!K70-SUM('Expenditures 15-22'!G70,'Expenditures 15-22'!I70)+'Expenditures 15-22'!D275-E13</f>
        <v>3563</v>
      </c>
      <c r="G36" s="1804">
        <f>E13</f>
        <v>0</v>
      </c>
    </row>
    <row r="37" spans="1:7" ht="12" customHeight="1" x14ac:dyDescent="0.2">
      <c r="A37" s="994" t="s">
        <v>404</v>
      </c>
      <c r="B37" s="997"/>
      <c r="C37" s="993">
        <v>2660</v>
      </c>
      <c r="D37" s="1804">
        <f>'Expenditures 15-22'!K71-SUM('Expenditures 15-22'!G71,'Expenditures 15-22'!I71)+'Expenditures 15-22'!D276-E14</f>
        <v>195770</v>
      </c>
      <c r="E37" s="1804">
        <f>E14</f>
        <v>0</v>
      </c>
      <c r="F37" s="1804">
        <f>'Expenditures 15-22'!K71-SUM('Expenditures 15-22'!G71,'Expenditures 15-22'!I71)+'Expenditures 15-22'!D276-E14</f>
        <v>195770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110272</v>
      </c>
      <c r="F39" s="1802"/>
      <c r="G39" s="1804">
        <f>'Expenditures 15-22'!K75-SUM('Expenditures 15-22'!G75,'Expenditures 15-22'!I75)+'Expenditures 15-22'!K130-SUM('Expenditures 15-22'!G130,'Expenditures 15-22'!I130)+'Expenditures 15-22'!K185-SUM('Expenditures 15-22'!G185,'Expenditures 15-22'!I185)+'Expenditures 15-22'!D280</f>
        <v>110272</v>
      </c>
    </row>
    <row r="40" spans="1:7" ht="12" customHeight="1" x14ac:dyDescent="0.2">
      <c r="A40" s="990" t="s">
        <v>1823</v>
      </c>
      <c r="B40" s="991"/>
      <c r="C40" s="993"/>
      <c r="D40" s="1802"/>
      <c r="E40" s="1806">
        <f>-'Contracts Paid in CY 29'!G141</f>
        <v>-955667</v>
      </c>
      <c r="F40" s="1802"/>
      <c r="G40" s="1806">
        <f>-'Contracts Paid in CY 29'!G141</f>
        <v>-955667</v>
      </c>
    </row>
    <row r="41" spans="1:7" ht="12" customHeight="1" x14ac:dyDescent="0.2">
      <c r="A41" s="998" t="s">
        <v>156</v>
      </c>
      <c r="B41" s="999"/>
      <c r="C41" s="1000"/>
      <c r="D41" s="1806">
        <f>SUM(D19:D39)</f>
        <v>404040</v>
      </c>
      <c r="E41" s="1806">
        <f>SUM(E19:E40)</f>
        <v>10714238</v>
      </c>
      <c r="F41" s="1806">
        <f>SUM(F19:F39)</f>
        <v>1551503</v>
      </c>
      <c r="G41" s="1806">
        <f>SUM(G19:G40)</f>
        <v>9566775</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404040</v>
      </c>
      <c r="F43" s="1807" t="s">
        <v>473</v>
      </c>
      <c r="G43" s="1808">
        <f>F41</f>
        <v>1551503</v>
      </c>
    </row>
    <row r="44" spans="1:7" ht="12" customHeight="1" x14ac:dyDescent="0.2">
      <c r="A44" s="987"/>
      <c r="B44" s="162"/>
      <c r="C44" s="1001"/>
      <c r="D44" s="1807" t="s">
        <v>474</v>
      </c>
      <c r="E44" s="1808">
        <f>E41</f>
        <v>10714238</v>
      </c>
      <c r="F44" s="1807" t="s">
        <v>474</v>
      </c>
      <c r="G44" s="1808">
        <f>G41</f>
        <v>9566775</v>
      </c>
    </row>
    <row r="45" spans="1:7" ht="12" customHeight="1" x14ac:dyDescent="0.2">
      <c r="A45" s="987"/>
      <c r="B45" s="162"/>
      <c r="C45" s="162"/>
      <c r="D45" s="1809" t="s">
        <v>1006</v>
      </c>
      <c r="E45" s="1810">
        <f>(E43/E44)</f>
        <v>3.7710567937729214E-2</v>
      </c>
      <c r="F45" s="1809" t="s">
        <v>1006</v>
      </c>
      <c r="G45" s="1810">
        <f>(G43/G44)</f>
        <v>0.16217617744746793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17" activePane="bottomLeft" state="frozen"/>
      <selection activeCell="A47" sqref="A47"/>
      <selection pane="bottomLeft" activeCell="F22" sqref="F2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LaGrange Highlands SD 106</v>
      </c>
      <c r="D6" s="2305"/>
      <c r="E6" s="2305"/>
      <c r="F6" s="1852"/>
    </row>
    <row r="7" spans="1:10" ht="11.25" customHeight="1" thickBot="1" x14ac:dyDescent="0.3">
      <c r="A7" s="1850"/>
      <c r="B7" s="1851"/>
      <c r="C7" s="2306">
        <f>COVER!A13</f>
        <v>6016106002</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2064</v>
      </c>
      <c r="D12" s="1865" t="s">
        <v>2064</v>
      </c>
      <c r="E12" s="1868" t="s">
        <v>2107</v>
      </c>
      <c r="F12" s="1867" t="s">
        <v>2108</v>
      </c>
      <c r="H12" s="1878">
        <f t="shared" ref="H12:H33" si="0">IF(C12="X",5,0)</f>
        <v>5</v>
      </c>
      <c r="I12" s="1878">
        <f t="shared" ref="I12:I33" si="1">IF(D12="X",5,0)</f>
        <v>5</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2107</v>
      </c>
      <c r="F14" s="1867" t="s">
        <v>2109</v>
      </c>
      <c r="H14" s="1878">
        <f t="shared" si="0"/>
        <v>5</v>
      </c>
      <c r="I14" s="1878">
        <f t="shared" si="1"/>
        <v>5</v>
      </c>
      <c r="J14" s="1878">
        <f t="shared" si="2"/>
        <v>0</v>
      </c>
    </row>
    <row r="15" spans="1:10" ht="12" customHeight="1" x14ac:dyDescent="0.2">
      <c r="A15" s="1863" t="s">
        <v>1387</v>
      </c>
      <c r="B15" s="1864"/>
      <c r="C15" s="1865" t="s">
        <v>2064</v>
      </c>
      <c r="D15" s="1865" t="s">
        <v>2064</v>
      </c>
      <c r="E15" s="1868" t="s">
        <v>2107</v>
      </c>
      <c r="F15" s="1867" t="s">
        <v>2110</v>
      </c>
      <c r="H15" s="1878">
        <f t="shared" si="0"/>
        <v>5</v>
      </c>
      <c r="I15" s="1878">
        <f t="shared" si="1"/>
        <v>5</v>
      </c>
      <c r="J15" s="1878">
        <f t="shared" si="2"/>
        <v>0</v>
      </c>
    </row>
    <row r="16" spans="1:10" ht="12" customHeight="1" x14ac:dyDescent="0.2">
      <c r="A16" s="1863" t="s">
        <v>1388</v>
      </c>
      <c r="B16" s="1864"/>
      <c r="C16" s="1865" t="s">
        <v>2064</v>
      </c>
      <c r="D16" s="1865" t="s">
        <v>2064</v>
      </c>
      <c r="E16" s="1868" t="s">
        <v>2107</v>
      </c>
      <c r="F16" s="1867" t="s">
        <v>2111</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2064</v>
      </c>
      <c r="D18" s="1865" t="s">
        <v>2064</v>
      </c>
      <c r="E18" s="1868" t="s">
        <v>2107</v>
      </c>
      <c r="F18" s="1867" t="s">
        <v>2112</v>
      </c>
      <c r="H18" s="1878">
        <f t="shared" si="0"/>
        <v>5</v>
      </c>
      <c r="I18" s="1878">
        <f t="shared" si="1"/>
        <v>5</v>
      </c>
      <c r="J18" s="1878">
        <f t="shared" si="2"/>
        <v>0</v>
      </c>
    </row>
    <row r="19" spans="1:12" ht="12" customHeight="1" x14ac:dyDescent="0.2">
      <c r="A19" s="1863" t="s">
        <v>1527</v>
      </c>
      <c r="B19" s="1864"/>
      <c r="C19" s="1865" t="s">
        <v>2064</v>
      </c>
      <c r="D19" s="1865" t="s">
        <v>2064</v>
      </c>
      <c r="E19" s="1868" t="s">
        <v>2107</v>
      </c>
      <c r="F19" s="1867" t="s">
        <v>2113</v>
      </c>
      <c r="H19" s="1878">
        <f t="shared" si="0"/>
        <v>5</v>
      </c>
      <c r="I19" s="1878">
        <f t="shared" si="1"/>
        <v>5</v>
      </c>
      <c r="J19" s="1878">
        <f t="shared" si="2"/>
        <v>0</v>
      </c>
    </row>
    <row r="20" spans="1:12" ht="12" customHeight="1" x14ac:dyDescent="0.2">
      <c r="A20" s="1863" t="s">
        <v>1528</v>
      </c>
      <c r="B20" s="1864"/>
      <c r="C20" s="1865" t="s">
        <v>2064</v>
      </c>
      <c r="D20" s="1865" t="s">
        <v>2064</v>
      </c>
      <c r="E20" s="1868" t="s">
        <v>2107</v>
      </c>
      <c r="F20" s="1867" t="s">
        <v>2101</v>
      </c>
      <c r="H20" s="1878">
        <f t="shared" si="0"/>
        <v>5</v>
      </c>
      <c r="I20" s="1878">
        <f t="shared" si="1"/>
        <v>5</v>
      </c>
      <c r="J20" s="1878">
        <f t="shared" si="2"/>
        <v>0</v>
      </c>
    </row>
    <row r="21" spans="1:12" ht="12" customHeight="1" x14ac:dyDescent="0.2">
      <c r="A21" s="1863" t="s">
        <v>1529</v>
      </c>
      <c r="B21" s="1864"/>
      <c r="C21" s="1865" t="s">
        <v>2064</v>
      </c>
      <c r="D21" s="1865" t="s">
        <v>2064</v>
      </c>
      <c r="E21" s="1868" t="s">
        <v>2107</v>
      </c>
      <c r="F21" s="1867" t="s">
        <v>2114</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2" colorId="8" zoomScale="110" zoomScaleNormal="110" workbookViewId="0">
      <selection activeCell="B40" sqref="B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LaGrange Highlands SD 106</v>
      </c>
      <c r="J6" s="2315"/>
      <c r="Q6" s="1664"/>
    </row>
    <row r="7" spans="1:17" x14ac:dyDescent="0.2">
      <c r="A7" s="2316" t="s">
        <v>869</v>
      </c>
      <c r="B7" s="2317"/>
      <c r="C7" s="2317"/>
      <c r="D7" s="2317"/>
      <c r="E7" s="2318"/>
      <c r="F7" s="1017"/>
      <c r="G7" s="1009"/>
      <c r="H7" s="1016" t="s">
        <v>372</v>
      </c>
      <c r="I7" s="2319">
        <f>COVER!A13</f>
        <v>6016106002</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295632</v>
      </c>
      <c r="F12" s="1039"/>
      <c r="G12" s="1811">
        <f t="shared" ref="G12:G18" si="0">SUM(E12:F12)</f>
        <v>295632</v>
      </c>
      <c r="H12" s="1040">
        <v>318680</v>
      </c>
      <c r="I12" s="1039"/>
      <c r="J12" s="1811">
        <f t="shared" ref="J12:J18" si="1">SUM(H12:I12)</f>
        <v>318680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295632</v>
      </c>
      <c r="F19" s="1813">
        <f t="shared" si="2"/>
        <v>0</v>
      </c>
      <c r="G19" s="1813">
        <f t="shared" si="2"/>
        <v>295632</v>
      </c>
      <c r="H19" s="1813">
        <f t="shared" si="2"/>
        <v>318680</v>
      </c>
      <c r="I19" s="1813">
        <f t="shared" si="2"/>
        <v>0</v>
      </c>
      <c r="J19" s="1813">
        <f t="shared" si="2"/>
        <v>318680</v>
      </c>
    </row>
    <row r="20" spans="1:10" ht="13.5" thickTop="1" x14ac:dyDescent="0.2">
      <c r="A20" s="1035">
        <v>9</v>
      </c>
      <c r="B20" s="2326" t="s">
        <v>1981</v>
      </c>
      <c r="C20" s="2326"/>
      <c r="D20" s="2327"/>
      <c r="E20" s="1046"/>
      <c r="F20" s="1046"/>
      <c r="G20" s="1046"/>
      <c r="H20" s="1046"/>
      <c r="I20" s="1046"/>
      <c r="J20" s="1814">
        <f>IF(AND(G19&gt;0,J19&gt;0),(((J19-G19)/G19)),"Enter Budget Data")</f>
        <v>7.7961790333928666E-2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t="s">
        <v>2064</v>
      </c>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2115</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LaGrange Highlands SD 106</v>
      </c>
    </row>
    <row r="65" spans="2:2" x14ac:dyDescent="0.2">
      <c r="B65" s="1070">
        <f>COVER!A13</f>
        <v>6016106002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35" sqref="K3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180975</xdr:colOff>
                <xdr:row>2</xdr:row>
                <xdr:rowOff>66675</xdr:rowOff>
              </from>
              <to>
                <xdr:col>1</xdr:col>
                <xdr:colOff>1095375</xdr:colOff>
                <xdr:row>7</xdr:row>
                <xdr:rowOff>28575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1952625</xdr:colOff>
                <xdr:row>2</xdr:row>
                <xdr:rowOff>123825</xdr:rowOff>
              </from>
              <to>
                <xdr:col>1</xdr:col>
                <xdr:colOff>2867025</xdr:colOff>
                <xdr:row>7</xdr:row>
                <xdr:rowOff>85725</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10591831</v>
      </c>
      <c r="C8" s="1815">
        <f>'Acct Summary 7-8'!D8</f>
        <v>2089188</v>
      </c>
      <c r="D8" s="1815">
        <f>'Acct Summary 7-8'!F8</f>
        <v>217840</v>
      </c>
      <c r="E8" s="1815">
        <f>'Acct Summary 7-8'!I8</f>
        <v>26701</v>
      </c>
      <c r="F8" s="1815">
        <f>SUM(B8:E8)</f>
        <v>12925560</v>
      </c>
    </row>
    <row r="9" spans="1:8" s="1079" customFormat="1" ht="14.25" customHeight="1" thickBot="1" x14ac:dyDescent="0.25">
      <c r="A9" s="1078" t="s">
        <v>1369</v>
      </c>
      <c r="B9" s="1816">
        <f>'Acct Summary 7-8'!C17</f>
        <v>10944321</v>
      </c>
      <c r="C9" s="1816">
        <f>'Acct Summary 7-8'!D17</f>
        <v>1394699</v>
      </c>
      <c r="D9" s="1816">
        <f>'Acct Summary 7-8'!F17</f>
        <v>155920</v>
      </c>
      <c r="E9" s="1815"/>
      <c r="F9" s="1815">
        <f>SUM(B9:E9)</f>
        <v>12494940</v>
      </c>
    </row>
    <row r="10" spans="1:8" s="1079" customFormat="1" ht="14.25" thickTop="1" thickBot="1" x14ac:dyDescent="0.25">
      <c r="A10" s="1080" t="s">
        <v>1370</v>
      </c>
      <c r="B10" s="1817">
        <f>(B8-B9)</f>
        <v>-352490</v>
      </c>
      <c r="C10" s="1817">
        <f>(C8-C9)</f>
        <v>694489</v>
      </c>
      <c r="D10" s="1817">
        <f>(D8-D9)</f>
        <v>61920</v>
      </c>
      <c r="E10" s="1816">
        <f>(E8-E9)</f>
        <v>26701</v>
      </c>
      <c r="F10" s="1818">
        <f>SUM(F8-F9)</f>
        <v>430620</v>
      </c>
    </row>
    <row r="11" spans="1:8" s="1079" customFormat="1" ht="14.25" thickTop="1" thickBot="1" x14ac:dyDescent="0.25">
      <c r="A11" s="1081" t="s">
        <v>1985</v>
      </c>
      <c r="B11" s="1819">
        <f>'Acct Summary 7-8'!C81</f>
        <v>8525344</v>
      </c>
      <c r="C11" s="1819">
        <f>'Acct Summary 7-8'!D81</f>
        <v>1206117</v>
      </c>
      <c r="D11" s="1819">
        <f>'Acct Summary 7-8'!F81</f>
        <v>665861</v>
      </c>
      <c r="E11" s="1819">
        <f>'Acct Summary 7-8'!I81</f>
        <v>1127370</v>
      </c>
      <c r="F11" s="1820">
        <f>SUM(B11:E11)</f>
        <v>11524692</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8" colorId="8" zoomScale="110" zoomScaleNormal="110" workbookViewId="0">
      <selection activeCell="D44" sqref="D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6016106002</v>
      </c>
    </row>
    <row r="3" spans="1:2" x14ac:dyDescent="0.2">
      <c r="A3" t="s">
        <v>956</v>
      </c>
      <c r="B3" s="138" t="str">
        <f>COVER!A15</f>
        <v>Cook</v>
      </c>
    </row>
    <row r="4" spans="1:2" x14ac:dyDescent="0.2">
      <c r="A4" t="s">
        <v>1007</v>
      </c>
      <c r="B4" s="138" t="str">
        <f>COVER!A17</f>
        <v>LaGrange Highlands SD 106</v>
      </c>
    </row>
    <row r="5" spans="1:2" x14ac:dyDescent="0.2">
      <c r="A5" t="s">
        <v>704</v>
      </c>
      <c r="B5" s="138" t="str">
        <f>COVER!A38</f>
        <v>Patricia Viniard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4368300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13319997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4368300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4794653</v>
      </c>
      <c r="C91" s="2" t="s">
        <v>573</v>
      </c>
      <c r="D91" s="2" t="str">
        <f t="shared" si="0"/>
        <v>Error?</v>
      </c>
    </row>
    <row r="92" spans="1:4" x14ac:dyDescent="0.2">
      <c r="A92" s="5">
        <v>31</v>
      </c>
      <c r="B92" s="138">
        <f>'Assets-Liab 5-6'!C39</f>
        <v>8525344</v>
      </c>
      <c r="D92" s="2" t="str">
        <f t="shared" si="0"/>
        <v>Error?</v>
      </c>
    </row>
    <row r="93" spans="1:4" x14ac:dyDescent="0.2">
      <c r="A93" s="5">
        <v>32</v>
      </c>
      <c r="B93" s="138">
        <f>'Assets-Liab 5-6'!C41</f>
        <v>13319997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1134994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2423896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1134994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1217779</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2423896</v>
      </c>
      <c r="C124" s="2" t="s">
        <v>573</v>
      </c>
      <c r="D124" s="2" t="str">
        <f t="shared" si="0"/>
        <v>Error?</v>
      </c>
    </row>
    <row r="125" spans="1:4" x14ac:dyDescent="0.2">
      <c r="A125" s="10">
        <v>64</v>
      </c>
      <c r="D125" s="2" t="str">
        <f t="shared" si="0"/>
        <v>OK</v>
      </c>
    </row>
    <row r="126" spans="1:4" x14ac:dyDescent="0.2">
      <c r="A126" s="5">
        <v>65</v>
      </c>
      <c r="B126" s="138">
        <f>'Assets-Liab 5-6'!E6</f>
        <v>319280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603658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319280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319280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603658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75973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752779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75973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86918</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752779</v>
      </c>
      <c r="C171" s="2" t="s">
        <v>573</v>
      </c>
      <c r="D171" s="2" t="str">
        <f t="shared" si="1"/>
        <v>Error?</v>
      </c>
    </row>
    <row r="172" spans="1:4" x14ac:dyDescent="0.2">
      <c r="A172" s="10">
        <v>111</v>
      </c>
      <c r="D172" s="2" t="str">
        <f t="shared" si="1"/>
        <v>OK</v>
      </c>
    </row>
    <row r="173" spans="1:4" x14ac:dyDescent="0.2">
      <c r="A173" s="5">
        <v>112</v>
      </c>
      <c r="B173" s="138">
        <f>'Assets-Liab 5-6'!G6</f>
        <v>186812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591302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186812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181314</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591302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684156</v>
      </c>
      <c r="D273" s="2" t="str">
        <f t="shared" si="3"/>
        <v>Error?</v>
      </c>
    </row>
    <row r="274" spans="1:4" x14ac:dyDescent="0.2">
      <c r="A274" s="5">
        <v>213</v>
      </c>
      <c r="B274" s="138">
        <f>'Assets-Liab 5-6'!M17</f>
        <v>10745802</v>
      </c>
      <c r="D274" s="2" t="str">
        <f t="shared" si="3"/>
        <v>Error?</v>
      </c>
    </row>
    <row r="275" spans="1:4" x14ac:dyDescent="0.2">
      <c r="A275" s="5">
        <v>214</v>
      </c>
      <c r="B275" s="138">
        <f>'Assets-Liab 5-6'!M18</f>
        <v>486219</v>
      </c>
      <c r="D275" s="2" t="str">
        <f t="shared" si="3"/>
        <v>Error?</v>
      </c>
    </row>
    <row r="276" spans="1:4" x14ac:dyDescent="0.2">
      <c r="A276" s="5">
        <v>215</v>
      </c>
      <c r="B276" s="138">
        <f>'Assets-Liab 5-6'!M19</f>
        <v>46458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11962635</v>
      </c>
      <c r="C279" s="2" t="s">
        <v>573</v>
      </c>
      <c r="D279" s="2" t="str">
        <f t="shared" si="3"/>
        <v>Error?</v>
      </c>
    </row>
    <row r="280" spans="1:4" x14ac:dyDescent="0.2">
      <c r="A280" s="5">
        <v>219</v>
      </c>
      <c r="B280" s="138">
        <f>'Assets-Liab 5-6'!M40</f>
        <v>11962635</v>
      </c>
      <c r="D280" s="2" t="str">
        <f t="shared" si="3"/>
        <v>Error?</v>
      </c>
    </row>
    <row r="281" spans="1:4" x14ac:dyDescent="0.2">
      <c r="A281" s="5">
        <v>220</v>
      </c>
      <c r="B281" s="138">
        <f>'Assets-Liab 5-6'!M41</f>
        <v>11962635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650000</v>
      </c>
      <c r="D283" s="2" t="str">
        <f t="shared" si="3"/>
        <v>Error?</v>
      </c>
    </row>
    <row r="284" spans="1:4" x14ac:dyDescent="0.2">
      <c r="A284" s="5">
        <v>223</v>
      </c>
      <c r="B284" s="138">
        <f>'Assets-Liab 5-6'!N23</f>
        <v>650000</v>
      </c>
      <c r="C284" s="2" t="s">
        <v>573</v>
      </c>
      <c r="D284" s="2" t="str">
        <f t="shared" si="3"/>
        <v>Error?</v>
      </c>
    </row>
    <row r="285" spans="1:4" x14ac:dyDescent="0.2">
      <c r="A285" s="5">
        <v>224</v>
      </c>
      <c r="B285" s="138">
        <f>'Assets-Liab 5-6'!N36</f>
        <v>650000</v>
      </c>
      <c r="D285" s="2" t="str">
        <f t="shared" si="3"/>
        <v>Error?</v>
      </c>
    </row>
    <row r="286" spans="1:4" x14ac:dyDescent="0.2">
      <c r="A286" s="10">
        <v>225</v>
      </c>
      <c r="D286" s="2" t="str">
        <f t="shared" si="3"/>
        <v>OK</v>
      </c>
    </row>
    <row r="287" spans="1:4" x14ac:dyDescent="0.2">
      <c r="A287" s="5">
        <v>226</v>
      </c>
      <c r="B287" s="138">
        <f>'Assets-Liab 5-6'!N37</f>
        <v>650000</v>
      </c>
      <c r="C287" s="2" t="s">
        <v>573</v>
      </c>
      <c r="D287" s="2" t="str">
        <f t="shared" si="3"/>
        <v>Error?</v>
      </c>
    </row>
    <row r="288" spans="1:4" x14ac:dyDescent="0.2">
      <c r="A288" s="5">
        <v>227</v>
      </c>
      <c r="B288" s="138">
        <f>'Assets-Liab 5-6'!N41</f>
        <v>650000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200000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4223730</v>
      </c>
      <c r="D705" s="2" t="str">
        <f t="shared" si="10"/>
        <v>Error?</v>
      </c>
    </row>
    <row r="706" spans="1:4" x14ac:dyDescent="0.2">
      <c r="A706" s="5">
        <v>645</v>
      </c>
      <c r="B706" s="138">
        <f>'Expenditures 15-22'!C16</f>
        <v>174429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214533</v>
      </c>
      <c r="D718" s="2" t="str">
        <f t="shared" si="10"/>
        <v>Error?</v>
      </c>
    </row>
    <row r="719" spans="1:4" x14ac:dyDescent="0.2">
      <c r="A719" s="5">
        <v>658</v>
      </c>
      <c r="B719" s="138">
        <f>'Expenditures 15-22'!C15</f>
        <v>89554</v>
      </c>
      <c r="D719" s="2" t="str">
        <f t="shared" si="10"/>
        <v>Error?</v>
      </c>
    </row>
    <row r="720" spans="1:4" x14ac:dyDescent="0.2">
      <c r="A720" s="5">
        <v>659</v>
      </c>
      <c r="B720" s="138">
        <f>'Expenditures 15-22'!C33</f>
        <v>6138356</v>
      </c>
      <c r="C720" s="2" t="s">
        <v>573</v>
      </c>
      <c r="D720" s="2" t="str">
        <f t="shared" si="10"/>
        <v>Error?</v>
      </c>
    </row>
    <row r="721" spans="1:4" x14ac:dyDescent="0.2">
      <c r="A721" s="5">
        <v>660</v>
      </c>
      <c r="B721" s="138">
        <f>'Expenditures 15-22'!C36</f>
        <v>180510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87401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228782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496693</v>
      </c>
      <c r="C727" s="2" t="s">
        <v>573</v>
      </c>
      <c r="D727" s="2" t="str">
        <f t="shared" si="10"/>
        <v>Error?</v>
      </c>
    </row>
    <row r="728" spans="1:4" x14ac:dyDescent="0.2">
      <c r="A728" s="5">
        <v>667</v>
      </c>
      <c r="B728" s="138">
        <f>'Expenditures 15-22'!C44</f>
        <v>217559</v>
      </c>
      <c r="D728" s="2" t="str">
        <f t="shared" si="10"/>
        <v>Error?</v>
      </c>
    </row>
    <row r="729" spans="1:4" x14ac:dyDescent="0.2">
      <c r="A729" s="5">
        <v>668</v>
      </c>
      <c r="B729" s="138">
        <f>'Expenditures 15-22'!C45</f>
        <v>101516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319075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228599</v>
      </c>
      <c r="D733" s="2" t="str">
        <f t="shared" si="10"/>
        <v>Error?</v>
      </c>
    </row>
    <row r="734" spans="1:4" x14ac:dyDescent="0.2">
      <c r="A734" s="5">
        <v>673</v>
      </c>
      <c r="B734" s="138">
        <f>'Expenditures 15-22'!C53</f>
        <v>228599</v>
      </c>
      <c r="C734" s="2" t="s">
        <v>573</v>
      </c>
      <c r="D734" s="2" t="str">
        <f t="shared" si="10"/>
        <v>Error?</v>
      </c>
    </row>
    <row r="735" spans="1:4" x14ac:dyDescent="0.2">
      <c r="A735" s="5">
        <v>674</v>
      </c>
      <c r="B735" s="138">
        <f>'Expenditures 15-22'!C55</f>
        <v>396258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396258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114096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74989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189085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169</v>
      </c>
      <c r="D749" s="2" t="str">
        <f t="shared" si="10"/>
        <v>Error?</v>
      </c>
    </row>
    <row r="750" spans="1:4" x14ac:dyDescent="0.2">
      <c r="A750" s="10">
        <v>689</v>
      </c>
      <c r="D750" s="2" t="str">
        <f t="shared" si="10"/>
        <v>OK</v>
      </c>
    </row>
    <row r="751" spans="1:4" x14ac:dyDescent="0.2">
      <c r="A751" s="5">
        <v>690</v>
      </c>
      <c r="B751" s="138">
        <f>'Expenditures 15-22'!C71</f>
        <v>114777</v>
      </c>
      <c r="D751" s="2" t="str">
        <f t="shared" si="10"/>
        <v>Error?</v>
      </c>
    </row>
    <row r="752" spans="1:4" x14ac:dyDescent="0.2">
      <c r="A752" s="10">
        <v>691</v>
      </c>
      <c r="D752" s="2" t="str">
        <f t="shared" si="10"/>
        <v>OK</v>
      </c>
    </row>
    <row r="753" spans="1:4" x14ac:dyDescent="0.2">
      <c r="A753" s="5">
        <v>692</v>
      </c>
      <c r="B753" s="138">
        <f>'Expenditures 15-22'!C72</f>
        <v>114946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1744656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7883012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668404</v>
      </c>
      <c r="D763" s="2" t="str">
        <f t="shared" si="10"/>
        <v>Error?</v>
      </c>
    </row>
    <row r="764" spans="1:4" x14ac:dyDescent="0.2">
      <c r="A764" s="5">
        <v>703</v>
      </c>
      <c r="B764" s="138">
        <f>'Expenditures 15-22'!D16</f>
        <v>19285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20699</v>
      </c>
      <c r="D776" s="2" t="str">
        <f t="shared" si="11"/>
        <v>Error?</v>
      </c>
    </row>
    <row r="777" spans="1:4" x14ac:dyDescent="0.2">
      <c r="A777" s="5">
        <v>716</v>
      </c>
      <c r="B777" s="138">
        <f>'Expenditures 15-22'!D15</f>
        <v>1167</v>
      </c>
      <c r="D777" s="2" t="str">
        <f t="shared" si="11"/>
        <v>Error?</v>
      </c>
    </row>
    <row r="778" spans="1:4" x14ac:dyDescent="0.2">
      <c r="A778" s="5">
        <v>717</v>
      </c>
      <c r="B778" s="138">
        <f>'Expenditures 15-22'!D33</f>
        <v>877367</v>
      </c>
      <c r="C778" s="2" t="s">
        <v>573</v>
      </c>
      <c r="D778" s="2" t="str">
        <f t="shared" si="11"/>
        <v>Error?</v>
      </c>
    </row>
    <row r="779" spans="1:4" x14ac:dyDescent="0.2">
      <c r="A779" s="5">
        <v>718</v>
      </c>
      <c r="B779" s="138">
        <f>'Expenditures 15-22'!D36</f>
        <v>39890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18509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21851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80250</v>
      </c>
      <c r="C785" s="2" t="s">
        <v>573</v>
      </c>
      <c r="D785" s="2" t="str">
        <f t="shared" si="11"/>
        <v>Error?</v>
      </c>
    </row>
    <row r="786" spans="1:4" x14ac:dyDescent="0.2">
      <c r="A786" s="5">
        <v>725</v>
      </c>
      <c r="B786" s="138">
        <f>'Expenditures 15-22'!D44</f>
        <v>44320</v>
      </c>
      <c r="D786" s="2" t="str">
        <f t="shared" si="11"/>
        <v>Error?</v>
      </c>
    </row>
    <row r="787" spans="1:4" x14ac:dyDescent="0.2">
      <c r="A787" s="5">
        <v>726</v>
      </c>
      <c r="B787" s="138">
        <f>'Expenditures 15-22'!D45</f>
        <v>1966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46286</v>
      </c>
      <c r="C789" s="2" t="s">
        <v>573</v>
      </c>
      <c r="D789" s="2" t="str">
        <f t="shared" si="11"/>
        <v>Error?</v>
      </c>
    </row>
    <row r="790" spans="1:4" x14ac:dyDescent="0.2">
      <c r="A790" s="5">
        <v>729</v>
      </c>
      <c r="B790" s="138">
        <f>'Expenditures 15-22'!D49</f>
        <v>11341</v>
      </c>
      <c r="D790" s="2" t="str">
        <f t="shared" si="11"/>
        <v>Error?</v>
      </c>
    </row>
    <row r="791" spans="1:4" x14ac:dyDescent="0.2">
      <c r="A791" s="5">
        <v>730</v>
      </c>
      <c r="B791" s="138">
        <f>'Expenditures 15-22'!D50</f>
        <v>56659</v>
      </c>
      <c r="D791" s="2" t="str">
        <f t="shared" si="11"/>
        <v>Error?</v>
      </c>
    </row>
    <row r="792" spans="1:4" x14ac:dyDescent="0.2">
      <c r="A792" s="5">
        <v>731</v>
      </c>
      <c r="B792" s="138">
        <f>'Expenditures 15-22'!D53</f>
        <v>68000</v>
      </c>
      <c r="C792" s="2" t="s">
        <v>573</v>
      </c>
      <c r="D792" s="2" t="str">
        <f t="shared" si="11"/>
        <v>Error?</v>
      </c>
    </row>
    <row r="793" spans="1:4" x14ac:dyDescent="0.2">
      <c r="A793" s="5">
        <v>732</v>
      </c>
      <c r="B793" s="138">
        <f>'Expenditures 15-22'!D55</f>
        <v>105174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105174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29434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29836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v>
      </c>
      <c r="D807" s="2" t="str">
        <f t="shared" si="11"/>
        <v>Error?</v>
      </c>
    </row>
    <row r="808" spans="1:4" x14ac:dyDescent="0.2">
      <c r="A808" s="10">
        <v>747</v>
      </c>
      <c r="D808" s="2" t="str">
        <f t="shared" si="11"/>
        <v>OK</v>
      </c>
    </row>
    <row r="809" spans="1:4" x14ac:dyDescent="0.2">
      <c r="A809" s="5">
        <v>748</v>
      </c>
      <c r="B809" s="138">
        <f>'Expenditures 15-22'!D71</f>
        <v>21022</v>
      </c>
      <c r="D809" s="2" t="str">
        <f t="shared" si="11"/>
        <v>Error?</v>
      </c>
    </row>
    <row r="810" spans="1:4" x14ac:dyDescent="0.2">
      <c r="A810" s="10">
        <v>749</v>
      </c>
      <c r="D810" s="2" t="str">
        <f t="shared" si="11"/>
        <v>OK</v>
      </c>
    </row>
    <row r="811" spans="1:4" x14ac:dyDescent="0.2">
      <c r="A811" s="5">
        <v>750</v>
      </c>
      <c r="B811" s="138">
        <f>'Expenditures 15-22'!D72</f>
        <v>21024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350570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1227937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71554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7739</v>
      </c>
      <c r="D834" s="2" t="str">
        <f t="shared" si="12"/>
        <v>Error?</v>
      </c>
    </row>
    <row r="835" spans="1:4" x14ac:dyDescent="0.2">
      <c r="A835" s="5">
        <v>774</v>
      </c>
      <c r="B835" s="138">
        <f>'Expenditures 15-22'!E15</f>
        <v>1250</v>
      </c>
      <c r="D835" s="2" t="str">
        <f t="shared" si="12"/>
        <v>Error?</v>
      </c>
    </row>
    <row r="836" spans="1:4" x14ac:dyDescent="0.2">
      <c r="A836" s="5">
        <v>775</v>
      </c>
      <c r="B836" s="138">
        <f>'Expenditures 15-22'!E33</f>
        <v>504424</v>
      </c>
      <c r="C836" s="2" t="s">
        <v>573</v>
      </c>
      <c r="D836" s="2" t="str">
        <f t="shared" si="12"/>
        <v>Error?</v>
      </c>
    </row>
    <row r="837" spans="1:4" x14ac:dyDescent="0.2">
      <c r="A837" s="5">
        <v>776</v>
      </c>
      <c r="B837" s="138">
        <f>'Expenditures 15-22'!E36</f>
        <v>320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555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1440</v>
      </c>
      <c r="C843" s="2" t="s">
        <v>573</v>
      </c>
      <c r="D843" s="2" t="str">
        <f t="shared" si="12"/>
        <v>Error?</v>
      </c>
    </row>
    <row r="844" spans="1:4" x14ac:dyDescent="0.2">
      <c r="A844" s="5">
        <v>783</v>
      </c>
      <c r="B844" s="138">
        <f>'Expenditures 15-22'!E44</f>
        <v>92125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92125</v>
      </c>
      <c r="C847" s="2" t="s">
        <v>573</v>
      </c>
      <c r="D847" s="2" t="str">
        <f t="shared" si="12"/>
        <v>Error?</v>
      </c>
    </row>
    <row r="848" spans="1:4" x14ac:dyDescent="0.2">
      <c r="A848" s="5">
        <v>787</v>
      </c>
      <c r="B848" s="138">
        <f>'Expenditures 15-22'!E49</f>
        <v>83850</v>
      </c>
      <c r="D848" s="2" t="str">
        <f t="shared" si="12"/>
        <v>Error?</v>
      </c>
    </row>
    <row r="849" spans="1:4" x14ac:dyDescent="0.2">
      <c r="A849" s="5">
        <v>788</v>
      </c>
      <c r="B849" s="138">
        <f>'Expenditures 15-22'!E50</f>
        <v>2743</v>
      </c>
      <c r="D849" s="2" t="str">
        <f t="shared" si="12"/>
        <v>Error?</v>
      </c>
    </row>
    <row r="850" spans="1:4" x14ac:dyDescent="0.2">
      <c r="A850" s="5">
        <v>789</v>
      </c>
      <c r="B850" s="138">
        <f>'Expenditures 15-22'!E53</f>
        <v>86593</v>
      </c>
      <c r="C850" s="2" t="s">
        <v>573</v>
      </c>
      <c r="D850" s="2" t="str">
        <f t="shared" si="12"/>
        <v>Error?</v>
      </c>
    </row>
    <row r="851" spans="1:4" x14ac:dyDescent="0.2">
      <c r="A851" s="5">
        <v>790</v>
      </c>
      <c r="B851" s="138">
        <f>'Expenditures 15-22'!E55</f>
        <v>375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51627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51627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1980</v>
      </c>
      <c r="D865" s="2" t="str">
        <f t="shared" si="12"/>
        <v>Error?</v>
      </c>
    </row>
    <row r="866" spans="1:4" x14ac:dyDescent="0.2">
      <c r="A866" s="10">
        <v>805</v>
      </c>
      <c r="D866" s="2" t="str">
        <f t="shared" si="12"/>
        <v>OK</v>
      </c>
    </row>
    <row r="867" spans="1:4" x14ac:dyDescent="0.2">
      <c r="A867" s="5">
        <v>806</v>
      </c>
      <c r="B867" s="138">
        <f>'Expenditures 15-22'!E71</f>
        <v>42957</v>
      </c>
      <c r="D867" s="2" t="str">
        <f t="shared" si="12"/>
        <v>Error?</v>
      </c>
    </row>
    <row r="868" spans="1:4" x14ac:dyDescent="0.2">
      <c r="A868" s="10">
        <v>807</v>
      </c>
      <c r="D868" s="2" t="str">
        <f t="shared" si="12"/>
        <v>OK</v>
      </c>
    </row>
    <row r="869" spans="1:4" x14ac:dyDescent="0.2">
      <c r="A869" s="5">
        <v>808</v>
      </c>
      <c r="B869" s="138">
        <f>'Expenditures 15-22'!E72</f>
        <v>44937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277097</v>
      </c>
      <c r="C871" s="2" t="s">
        <v>573</v>
      </c>
      <c r="D871" s="2" t="str">
        <f t="shared" si="12"/>
        <v>Error?</v>
      </c>
    </row>
    <row r="872" spans="1:4" x14ac:dyDescent="0.2">
      <c r="A872" s="5">
        <v>811</v>
      </c>
      <c r="B872" s="138">
        <f>'Expenditures 15-22'!E75</f>
        <v>8836</v>
      </c>
      <c r="D872" s="2" t="str">
        <f t="shared" si="12"/>
        <v>Error?</v>
      </c>
    </row>
    <row r="873" spans="1:4" x14ac:dyDescent="0.2">
      <c r="A873" s="5">
        <v>812</v>
      </c>
      <c r="B873" s="138">
        <f>'Expenditures 15-22'!E114</f>
        <v>790357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149231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11563</v>
      </c>
      <c r="D892" s="2" t="str">
        <f t="shared" si="12"/>
        <v>Error?</v>
      </c>
    </row>
    <row r="893" spans="1:4" x14ac:dyDescent="0.2">
      <c r="A893" s="5">
        <v>832</v>
      </c>
      <c r="B893" s="138">
        <f>'Expenditures 15-22'!F15</f>
        <v>2771</v>
      </c>
      <c r="D893" s="2" t="str">
        <f t="shared" si="12"/>
        <v>Error?</v>
      </c>
    </row>
    <row r="894" spans="1:4" x14ac:dyDescent="0.2">
      <c r="A894" s="5">
        <v>833</v>
      </c>
      <c r="B894" s="138">
        <f>'Expenditures 15-22'!F33</f>
        <v>170689</v>
      </c>
      <c r="C894" s="2" t="s">
        <v>573</v>
      </c>
      <c r="D894" s="2" t="str">
        <f t="shared" si="12"/>
        <v>Error?</v>
      </c>
    </row>
    <row r="895" spans="1:4" x14ac:dyDescent="0.2">
      <c r="A895" s="5">
        <v>834</v>
      </c>
      <c r="B895" s="138">
        <f>'Expenditures 15-22'!F36</f>
        <v>550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364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2288</v>
      </c>
      <c r="C901" s="2" t="s">
        <v>573</v>
      </c>
      <c r="D901" s="2" t="str">
        <f t="shared" si="13"/>
        <v>Error?</v>
      </c>
    </row>
    <row r="902" spans="1:4" x14ac:dyDescent="0.2">
      <c r="A902" s="5">
        <v>841</v>
      </c>
      <c r="B902" s="138">
        <f>'Expenditures 15-22'!F44</f>
        <v>102282</v>
      </c>
      <c r="D902" s="2" t="str">
        <f t="shared" si="13"/>
        <v>Error?</v>
      </c>
    </row>
    <row r="903" spans="1:4" x14ac:dyDescent="0.2">
      <c r="A903" s="5">
        <v>842</v>
      </c>
      <c r="B903" s="138">
        <f>'Expenditures 15-22'!F45</f>
        <v>20343</v>
      </c>
      <c r="D903" s="2" t="str">
        <f t="shared" si="13"/>
        <v>Error?</v>
      </c>
    </row>
    <row r="904" spans="1:4" x14ac:dyDescent="0.2">
      <c r="A904" s="5">
        <v>843</v>
      </c>
      <c r="B904" s="138">
        <f>'Expenditures 15-22'!F46</f>
        <v>8763</v>
      </c>
      <c r="D904" s="2" t="str">
        <f t="shared" si="13"/>
        <v>Error?</v>
      </c>
    </row>
    <row r="905" spans="1:4" x14ac:dyDescent="0.2">
      <c r="A905" s="5">
        <v>844</v>
      </c>
      <c r="B905" s="138">
        <f>'Expenditures 15-22'!F47</f>
        <v>131388</v>
      </c>
      <c r="C905" s="2" t="s">
        <v>573</v>
      </c>
      <c r="D905" s="2" t="str">
        <f t="shared" si="13"/>
        <v>Error?</v>
      </c>
    </row>
    <row r="906" spans="1:4" x14ac:dyDescent="0.2">
      <c r="A906" s="5">
        <v>845</v>
      </c>
      <c r="B906" s="138">
        <f>'Expenditures 15-22'!F49</f>
        <v>4247</v>
      </c>
      <c r="D906" s="2" t="str">
        <f t="shared" si="13"/>
        <v>Error?</v>
      </c>
    </row>
    <row r="907" spans="1:4" x14ac:dyDescent="0.2">
      <c r="A907" s="5">
        <v>846</v>
      </c>
      <c r="B907" s="138">
        <f>'Expenditures 15-22'!F50</f>
        <v>2656</v>
      </c>
      <c r="D907" s="2" t="str">
        <f t="shared" si="13"/>
        <v>Error?</v>
      </c>
    </row>
    <row r="908" spans="1:4" x14ac:dyDescent="0.2">
      <c r="A908" s="5">
        <v>847</v>
      </c>
      <c r="B908" s="138">
        <f>'Expenditures 15-22'!F53</f>
        <v>6903</v>
      </c>
      <c r="C908" s="2" t="s">
        <v>573</v>
      </c>
      <c r="D908" s="2" t="str">
        <f t="shared" si="13"/>
        <v>Error?</v>
      </c>
    </row>
    <row r="909" spans="1:4" x14ac:dyDescent="0.2">
      <c r="A909" s="5">
        <v>848</v>
      </c>
      <c r="B909" s="138">
        <f>'Expenditures 15-22'!F55</f>
        <v>5333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5333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28230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31101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1410</v>
      </c>
      <c r="D923" s="2" t="str">
        <f t="shared" si="13"/>
        <v>Error?</v>
      </c>
    </row>
    <row r="924" spans="1:4" x14ac:dyDescent="0.2">
      <c r="A924" s="10">
        <v>863</v>
      </c>
      <c r="D924" s="2" t="str">
        <f t="shared" si="13"/>
        <v>OK</v>
      </c>
    </row>
    <row r="925" spans="1:4" x14ac:dyDescent="0.2">
      <c r="A925" s="5">
        <v>864</v>
      </c>
      <c r="B925" s="138">
        <f>'Expenditures 15-22'!F71</f>
        <v>7982</v>
      </c>
      <c r="D925" s="2" t="str">
        <f t="shared" si="13"/>
        <v>Error?</v>
      </c>
    </row>
    <row r="926" spans="1:4" x14ac:dyDescent="0.2">
      <c r="A926" s="10">
        <v>865</v>
      </c>
      <c r="D926" s="2" t="str">
        <f t="shared" si="13"/>
        <v>OK</v>
      </c>
    </row>
    <row r="927" spans="1:4" x14ac:dyDescent="0.2">
      <c r="A927" s="5">
        <v>866</v>
      </c>
      <c r="B927" s="138">
        <f>'Expenditures 15-22'!F72</f>
        <v>9392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186405</v>
      </c>
      <c r="C929" s="2" t="s">
        <v>573</v>
      </c>
      <c r="D929" s="2" t="str">
        <f t="shared" si="13"/>
        <v>Error?</v>
      </c>
    </row>
    <row r="930" spans="1:4" x14ac:dyDescent="0.2">
      <c r="A930" s="5">
        <v>869</v>
      </c>
      <c r="B930" s="138">
        <f>'Expenditures 15-22'!F75</f>
        <v>101436</v>
      </c>
      <c r="D930" s="2" t="str">
        <f t="shared" si="13"/>
        <v>Error?</v>
      </c>
    </row>
    <row r="931" spans="1:4" x14ac:dyDescent="0.2">
      <c r="A931" s="5">
        <v>870</v>
      </c>
      <c r="B931" s="138">
        <f>'Expenditures 15-22'!F114</f>
        <v>458530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1283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1283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74174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138</v>
      </c>
      <c r="C1021" s="2" t="s">
        <v>573</v>
      </c>
      <c r="D1021" s="2" t="str">
        <f t="shared" si="14"/>
        <v>Error?</v>
      </c>
    </row>
    <row r="1022" spans="1:4" x14ac:dyDescent="0.2">
      <c r="A1022" s="5">
        <v>961</v>
      </c>
      <c r="B1022" s="138">
        <f>'Expenditures 15-22'!H49</f>
        <v>9652</v>
      </c>
      <c r="D1022" s="2" t="str">
        <f t="shared" si="14"/>
        <v>Error?</v>
      </c>
    </row>
    <row r="1023" spans="1:4" x14ac:dyDescent="0.2">
      <c r="A1023" s="5">
        <v>962</v>
      </c>
      <c r="B1023" s="138">
        <f>'Expenditures 15-22'!H50</f>
        <v>4975</v>
      </c>
      <c r="D1023" s="2" t="str">
        <f t="shared" ref="D1023:D1086" si="15">IF(ISBLANK(B1023),"OK",IF(A1023-B1023=0,"OK","Error?"))</f>
        <v>Error?</v>
      </c>
    </row>
    <row r="1024" spans="1:4" x14ac:dyDescent="0.2">
      <c r="A1024" s="5">
        <v>963</v>
      </c>
      <c r="B1024" s="138">
        <f>'Expenditures 15-22'!H53</f>
        <v>14627</v>
      </c>
      <c r="C1024" s="2" t="s">
        <v>573</v>
      </c>
      <c r="D1024" s="2" t="str">
        <f t="shared" si="15"/>
        <v>Error?</v>
      </c>
    </row>
    <row r="1025" spans="1:4" x14ac:dyDescent="0.2">
      <c r="A1025" s="5">
        <v>964</v>
      </c>
      <c r="B1025" s="138">
        <f>'Expenditures 15-22'!H55</f>
        <v>561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772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772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16098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74509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164781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5261813</v>
      </c>
      <c r="C1093" s="2" t="s">
        <v>573</v>
      </c>
      <c r="D1093" s="2" t="str">
        <f t="shared" si="16"/>
        <v>Error?</v>
      </c>
    </row>
    <row r="1094" spans="1:4" x14ac:dyDescent="0.2">
      <c r="A1094" s="5">
        <v>1033</v>
      </c>
      <c r="B1094" s="138">
        <f>'Expenditures 15-22'!K16</f>
        <v>193714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257257</v>
      </c>
      <c r="C1106" s="2" t="s">
        <v>573</v>
      </c>
      <c r="D1106" s="2" t="str">
        <f t="shared" si="16"/>
        <v>Error?</v>
      </c>
    </row>
    <row r="1107" spans="1:4" x14ac:dyDescent="0.2">
      <c r="A1107" s="5">
        <v>1046</v>
      </c>
      <c r="B1107" s="138">
        <f>'Expenditures 15-22'!K15</f>
        <v>94742</v>
      </c>
      <c r="C1107" s="2" t="s">
        <v>573</v>
      </c>
      <c r="D1107" s="2" t="str">
        <f t="shared" si="16"/>
        <v>Error?</v>
      </c>
    </row>
    <row r="1108" spans="1:4" x14ac:dyDescent="0.2">
      <c r="A1108" s="5">
        <v>1047</v>
      </c>
      <c r="B1108" s="138">
        <f>'Expenditures 15-22'!K33</f>
        <v>7921388</v>
      </c>
      <c r="C1108" s="2" t="s">
        <v>573</v>
      </c>
      <c r="D1108" s="2" t="str">
        <f t="shared" si="16"/>
        <v>Error?</v>
      </c>
    </row>
    <row r="1109" spans="1:4" x14ac:dyDescent="0.2">
      <c r="A1109" s="5">
        <v>1048</v>
      </c>
      <c r="B1109" s="138">
        <f>'Expenditures 15-22'!K36</f>
        <v>221270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108260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251552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581082</v>
      </c>
      <c r="C1115" s="2" t="s">
        <v>573</v>
      </c>
      <c r="D1115" s="2" t="str">
        <f t="shared" si="16"/>
        <v>Error?</v>
      </c>
    </row>
    <row r="1116" spans="1:4" x14ac:dyDescent="0.2">
      <c r="A1116" s="5">
        <v>1055</v>
      </c>
      <c r="B1116" s="138">
        <f>'Expenditures 15-22'!K44</f>
        <v>456424</v>
      </c>
      <c r="C1116" s="2" t="s">
        <v>573</v>
      </c>
      <c r="D1116" s="2" t="str">
        <f t="shared" si="16"/>
        <v>Error?</v>
      </c>
    </row>
    <row r="1117" spans="1:4" x14ac:dyDescent="0.2">
      <c r="A1117" s="5">
        <v>1056</v>
      </c>
      <c r="B1117" s="138">
        <f>'Expenditures 15-22'!K45</f>
        <v>123825</v>
      </c>
      <c r="C1117" s="2" t="s">
        <v>573</v>
      </c>
      <c r="D1117" s="2" t="str">
        <f t="shared" si="16"/>
        <v>Error?</v>
      </c>
    </row>
    <row r="1118" spans="1:4" x14ac:dyDescent="0.2">
      <c r="A1118" s="5">
        <v>1057</v>
      </c>
      <c r="B1118" s="138">
        <f>'Expenditures 15-22'!K46</f>
        <v>8763</v>
      </c>
      <c r="C1118" s="2" t="s">
        <v>573</v>
      </c>
      <c r="D1118" s="2" t="str">
        <f t="shared" si="16"/>
        <v>Error?</v>
      </c>
    </row>
    <row r="1119" spans="1:4" x14ac:dyDescent="0.2">
      <c r="A1119" s="5">
        <v>1058</v>
      </c>
      <c r="B1119" s="138">
        <f>'Expenditures 15-22'!K47</f>
        <v>589012</v>
      </c>
      <c r="C1119" s="2" t="s">
        <v>573</v>
      </c>
      <c r="D1119" s="2" t="str">
        <f t="shared" si="16"/>
        <v>Error?</v>
      </c>
    </row>
    <row r="1120" spans="1:4" x14ac:dyDescent="0.2">
      <c r="A1120" s="5">
        <v>1059</v>
      </c>
      <c r="B1120" s="138">
        <f>'Expenditures 15-22'!K49</f>
        <v>109090</v>
      </c>
      <c r="C1120" s="2" t="s">
        <v>573</v>
      </c>
      <c r="D1120" s="2" t="str">
        <f t="shared" si="16"/>
        <v>Error?</v>
      </c>
    </row>
    <row r="1121" spans="1:4" x14ac:dyDescent="0.2">
      <c r="A1121" s="5">
        <v>1060</v>
      </c>
      <c r="B1121" s="138">
        <f>'Expenditures 15-22'!K50</f>
        <v>295632</v>
      </c>
      <c r="C1121" s="2" t="s">
        <v>573</v>
      </c>
      <c r="D1121" s="2" t="str">
        <f t="shared" si="16"/>
        <v>Error?</v>
      </c>
    </row>
    <row r="1122" spans="1:4" x14ac:dyDescent="0.2">
      <c r="A1122" s="5">
        <v>1061</v>
      </c>
      <c r="B1122" s="138">
        <f>'Expenditures 15-22'!K53</f>
        <v>404722</v>
      </c>
      <c r="C1122" s="2" t="s">
        <v>573</v>
      </c>
      <c r="D1122" s="2" t="str">
        <f t="shared" si="16"/>
        <v>Error?</v>
      </c>
    </row>
    <row r="1123" spans="1:4" x14ac:dyDescent="0.2">
      <c r="A1123" s="5">
        <v>1062</v>
      </c>
      <c r="B1123" s="138">
        <f>'Expenditures 15-22'!K55</f>
        <v>507701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507701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198800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103621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302421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3561</v>
      </c>
      <c r="C1137" s="2" t="s">
        <v>573</v>
      </c>
      <c r="D1137" s="2" t="str">
        <f t="shared" si="16"/>
        <v>Error?</v>
      </c>
    </row>
    <row r="1138" spans="1:4" x14ac:dyDescent="0.2">
      <c r="A1138" s="10">
        <v>1077</v>
      </c>
      <c r="D1138" s="2" t="str">
        <f t="shared" si="16"/>
        <v>OK</v>
      </c>
    </row>
    <row r="1139" spans="1:4" x14ac:dyDescent="0.2">
      <c r="A1139" s="5">
        <v>1078</v>
      </c>
      <c r="B1139" s="138">
        <f>'Expenditures 15-22'!K71</f>
        <v>449653</v>
      </c>
      <c r="C1139" s="2" t="s">
        <v>573</v>
      </c>
      <c r="D1139" s="2" t="str">
        <f t="shared" si="16"/>
        <v>Error?</v>
      </c>
    </row>
    <row r="1140" spans="1:4" x14ac:dyDescent="0.2">
      <c r="A1140" s="10">
        <v>1079</v>
      </c>
      <c r="D1140" s="2" t="str">
        <f t="shared" si="16"/>
        <v>OK</v>
      </c>
    </row>
    <row r="1141" spans="1:4" x14ac:dyDescent="0.2">
      <c r="A1141" s="5">
        <v>1080</v>
      </c>
      <c r="B1141" s="138">
        <f>'Expenditures 15-22'!K72</f>
        <v>453214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2838152</v>
      </c>
      <c r="C1143" s="2" t="s">
        <v>573</v>
      </c>
      <c r="D1143" s="2" t="str">
        <f t="shared" si="16"/>
        <v>Error?</v>
      </c>
    </row>
    <row r="1144" spans="1:4" x14ac:dyDescent="0.2">
      <c r="A1144" s="5">
        <v>1083</v>
      </c>
      <c r="B1144" s="138">
        <f>'Expenditures 15-22'!K75</f>
        <v>110272</v>
      </c>
      <c r="C1144" s="2" t="s">
        <v>573</v>
      </c>
      <c r="D1144" s="2" t="str">
        <f t="shared" si="16"/>
        <v>Error?</v>
      </c>
    </row>
    <row r="1145" spans="1:4" x14ac:dyDescent="0.2">
      <c r="A1145" s="5">
        <v>1084</v>
      </c>
      <c r="B1145" s="138">
        <f>'Expenditures 15-22'!K102</f>
        <v>74509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10944321</v>
      </c>
      <c r="C1152" s="2" t="s">
        <v>573</v>
      </c>
      <c r="D1152" s="2" t="str">
        <f t="shared" si="17"/>
        <v>Error?</v>
      </c>
    </row>
    <row r="1153" spans="1:4" x14ac:dyDescent="0.2">
      <c r="A1153" s="5">
        <v>1092</v>
      </c>
      <c r="B1153" s="138">
        <f>'Expenditures 15-22'!K115</f>
        <v>-352490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513080</v>
      </c>
      <c r="D1221" s="2" t="str">
        <f t="shared" si="18"/>
        <v>Error?</v>
      </c>
    </row>
    <row r="1222" spans="1:4" x14ac:dyDescent="0.2">
      <c r="A1222" s="10">
        <v>1161</v>
      </c>
      <c r="D1222" s="2" t="str">
        <f t="shared" si="18"/>
        <v>OK</v>
      </c>
    </row>
    <row r="1223" spans="1:4" x14ac:dyDescent="0.2">
      <c r="A1223" s="5">
        <v>1162</v>
      </c>
      <c r="B1223" s="138">
        <f>'Expenditures 15-22'!C127</f>
        <v>513080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513080</v>
      </c>
      <c r="C1225" s="2" t="s">
        <v>573</v>
      </c>
      <c r="D1225" s="2" t="str">
        <f t="shared" si="18"/>
        <v>Error?</v>
      </c>
    </row>
    <row r="1226" spans="1:4" x14ac:dyDescent="0.2">
      <c r="A1226" s="5">
        <v>1165</v>
      </c>
      <c r="B1226" s="138">
        <f>'Expenditures 15-22'!C151</f>
        <v>513080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92820</v>
      </c>
      <c r="D1229" s="2" t="str">
        <f t="shared" si="18"/>
        <v>Error?</v>
      </c>
    </row>
    <row r="1230" spans="1:4" x14ac:dyDescent="0.2">
      <c r="A1230" s="10">
        <v>1169</v>
      </c>
      <c r="D1230" s="2" t="str">
        <f t="shared" si="18"/>
        <v>OK</v>
      </c>
    </row>
    <row r="1231" spans="1:4" x14ac:dyDescent="0.2">
      <c r="A1231" s="5">
        <v>1170</v>
      </c>
      <c r="B1231" s="138">
        <f>'Expenditures 15-22'!D127</f>
        <v>92820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92820</v>
      </c>
      <c r="C1233" s="2" t="s">
        <v>573</v>
      </c>
      <c r="D1233" s="2" t="str">
        <f t="shared" si="18"/>
        <v>Error?</v>
      </c>
    </row>
    <row r="1234" spans="1:4" x14ac:dyDescent="0.2">
      <c r="A1234" s="5">
        <v>1173</v>
      </c>
      <c r="B1234" s="138">
        <f>'Expenditures 15-22'!D151</f>
        <v>92820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222261</v>
      </c>
      <c r="D1237" s="2" t="str">
        <f t="shared" si="18"/>
        <v>Error?</v>
      </c>
    </row>
    <row r="1238" spans="1:4" x14ac:dyDescent="0.2">
      <c r="A1238" s="10">
        <v>1177</v>
      </c>
      <c r="D1238" s="2" t="str">
        <f t="shared" si="18"/>
        <v>OK</v>
      </c>
    </row>
    <row r="1239" spans="1:4" x14ac:dyDescent="0.2">
      <c r="A1239" s="5">
        <v>1178</v>
      </c>
      <c r="B1239" s="138">
        <f>'Expenditures 15-22'!E127</f>
        <v>222261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222261</v>
      </c>
      <c r="C1241" s="2" t="s">
        <v>573</v>
      </c>
      <c r="D1241" s="2" t="str">
        <f t="shared" si="18"/>
        <v>Error?</v>
      </c>
    </row>
    <row r="1242" spans="1:4" x14ac:dyDescent="0.2">
      <c r="A1242" s="5">
        <v>1181</v>
      </c>
      <c r="B1242" s="138">
        <f>'Expenditures 15-22'!E151</f>
        <v>222261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255555</v>
      </c>
      <c r="D1245" s="2" t="str">
        <f t="shared" si="18"/>
        <v>Error?</v>
      </c>
    </row>
    <row r="1246" spans="1:4" x14ac:dyDescent="0.2">
      <c r="A1246" s="10">
        <v>1185</v>
      </c>
      <c r="D1246" s="2" t="str">
        <f t="shared" si="18"/>
        <v>OK</v>
      </c>
    </row>
    <row r="1247" spans="1:4" x14ac:dyDescent="0.2">
      <c r="A1247" s="5">
        <v>1186</v>
      </c>
      <c r="B1247" s="138">
        <f>'Expenditures 15-22'!F127</f>
        <v>255555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255555</v>
      </c>
      <c r="C1249" s="2" t="s">
        <v>573</v>
      </c>
      <c r="D1249" s="2" t="str">
        <f t="shared" si="18"/>
        <v>Error?</v>
      </c>
    </row>
    <row r="1250" spans="1:4" x14ac:dyDescent="0.2">
      <c r="A1250" s="5">
        <v>1189</v>
      </c>
      <c r="B1250" s="138">
        <f>'Expenditures 15-22'!F151</f>
        <v>255555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95941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95941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95941</v>
      </c>
      <c r="C1258" s="2" t="s">
        <v>573</v>
      </c>
      <c r="D1258" s="2" t="str">
        <f t="shared" si="18"/>
        <v>Error?</v>
      </c>
    </row>
    <row r="1259" spans="1:4" x14ac:dyDescent="0.2">
      <c r="A1259" s="5">
        <v>1198</v>
      </c>
      <c r="B1259" s="138">
        <f>'Expenditures 15-22'!G151</f>
        <v>95941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1394699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1394699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1394699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1394699</v>
      </c>
      <c r="C1288" s="2" t="s">
        <v>573</v>
      </c>
      <c r="D1288" s="2" t="str">
        <f t="shared" si="19"/>
        <v>Error?</v>
      </c>
    </row>
    <row r="1289" spans="1:4" x14ac:dyDescent="0.2">
      <c r="A1289" s="5">
        <v>1228</v>
      </c>
      <c r="B1289" s="138">
        <f>'Expenditures 15-22'!K152</f>
        <v>694489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44788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625288</v>
      </c>
      <c r="C1317" s="2" t="s">
        <v>573</v>
      </c>
      <c r="D1317" s="2" t="str">
        <f t="shared" si="19"/>
        <v>Error?</v>
      </c>
    </row>
    <row r="1318" spans="1:4" x14ac:dyDescent="0.2">
      <c r="A1318" s="5">
        <v>1257</v>
      </c>
      <c r="B1318" s="138">
        <f>'Expenditures 15-22'!H174</f>
        <v>625288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44788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580000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625288</v>
      </c>
      <c r="C1331" s="2" t="s">
        <v>573</v>
      </c>
      <c r="D1331" s="2" t="str">
        <f t="shared" si="19"/>
        <v>Error?</v>
      </c>
    </row>
    <row r="1332" spans="1:4" x14ac:dyDescent="0.2">
      <c r="A1332" s="5">
        <v>1271</v>
      </c>
      <c r="B1332" s="138">
        <f>'Expenditures 15-22'!K174</f>
        <v>625288</v>
      </c>
      <c r="C1332" s="2" t="s">
        <v>573</v>
      </c>
      <c r="D1332" s="2" t="str">
        <f t="shared" si="19"/>
        <v>Error?</v>
      </c>
    </row>
    <row r="1333" spans="1:4" x14ac:dyDescent="0.2">
      <c r="A1333" s="5">
        <v>1272</v>
      </c>
      <c r="B1333" s="138">
        <f>'Expenditures 15-22'!K175</f>
        <v>20040</v>
      </c>
      <c r="C1333" s="2" t="s">
        <v>573</v>
      </c>
      <c r="D1333" s="2" t="str">
        <f t="shared" si="19"/>
        <v>Error?</v>
      </c>
    </row>
    <row r="1334" spans="1:4" x14ac:dyDescent="0.2">
      <c r="A1334" s="10">
        <v>1273</v>
      </c>
      <c r="D1334" s="2" t="str">
        <f t="shared" si="19"/>
        <v>OK</v>
      </c>
    </row>
    <row r="1335" spans="1:4" x14ac:dyDescent="0.2">
      <c r="A1335" s="5">
        <v>1274</v>
      </c>
      <c r="B1335" s="138">
        <f>'Expenditures 15-22'!C182</f>
        <v>45949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45949</v>
      </c>
      <c r="C1339" s="2" t="s">
        <v>573</v>
      </c>
      <c r="D1339" s="2" t="str">
        <f t="shared" si="19"/>
        <v>Error?</v>
      </c>
    </row>
    <row r="1340" spans="1:4" x14ac:dyDescent="0.2">
      <c r="A1340" s="5">
        <v>1279</v>
      </c>
      <c r="B1340" s="138">
        <f>'Expenditures 15-22'!C210</f>
        <v>45949</v>
      </c>
      <c r="C1340" s="2" t="s">
        <v>573</v>
      </c>
      <c r="D1340" s="2" t="str">
        <f t="shared" si="19"/>
        <v>Error?</v>
      </c>
    </row>
    <row r="1341" spans="1:4" x14ac:dyDescent="0.2">
      <c r="A1341" s="5">
        <v>1280</v>
      </c>
      <c r="B1341" s="138">
        <f>'Expenditures 15-22'!D182</f>
        <v>13647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13647</v>
      </c>
      <c r="C1345" s="2" t="s">
        <v>573</v>
      </c>
      <c r="D1345" s="2" t="str">
        <f t="shared" si="20"/>
        <v>Error?</v>
      </c>
    </row>
    <row r="1346" spans="1:4" x14ac:dyDescent="0.2">
      <c r="A1346" s="5">
        <v>1285</v>
      </c>
      <c r="B1346" s="138">
        <f>'Expenditures 15-22'!D210</f>
        <v>13647</v>
      </c>
      <c r="C1346" s="2" t="s">
        <v>573</v>
      </c>
      <c r="D1346" s="2" t="str">
        <f t="shared" si="20"/>
        <v>Error?</v>
      </c>
    </row>
    <row r="1347" spans="1:4" x14ac:dyDescent="0.2">
      <c r="A1347" s="5">
        <v>1286</v>
      </c>
      <c r="B1347" s="138">
        <f>'Expenditures 15-22'!E182</f>
        <v>43645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43645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43645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52679</v>
      </c>
      <c r="C1376" s="2" t="s">
        <v>573</v>
      </c>
      <c r="D1376" s="2" t="str">
        <f t="shared" si="20"/>
        <v>Error?</v>
      </c>
    </row>
    <row r="1377" spans="1:4" x14ac:dyDescent="0.2">
      <c r="A1377" s="5">
        <v>1316</v>
      </c>
      <c r="B1377" s="138">
        <f>'Expenditures 15-22'!K182</f>
        <v>103241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103241</v>
      </c>
      <c r="C1381" s="2" t="s">
        <v>573</v>
      </c>
      <c r="D1381" s="2" t="str">
        <f t="shared" si="20"/>
        <v>Error?</v>
      </c>
    </row>
    <row r="1382" spans="1:4" x14ac:dyDescent="0.2">
      <c r="A1382" s="5">
        <v>1321</v>
      </c>
      <c r="B1382" s="138">
        <f>'Expenditures 15-22'!K196</f>
        <v>52679</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155920</v>
      </c>
      <c r="C1388" s="2" t="s">
        <v>573</v>
      </c>
      <c r="D1388" s="2" t="str">
        <f t="shared" si="20"/>
        <v>Error?</v>
      </c>
    </row>
    <row r="1389" spans="1:4" x14ac:dyDescent="0.2">
      <c r="A1389" s="5">
        <v>1328</v>
      </c>
      <c r="B1389" s="138">
        <f>'Expenditures 15-22'!K211</f>
        <v>61920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2426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3659</v>
      </c>
      <c r="D1408" s="2" t="str">
        <f t="shared" si="21"/>
        <v>Error?</v>
      </c>
    </row>
    <row r="1409" spans="1:4" x14ac:dyDescent="0.2">
      <c r="A1409" s="5">
        <v>1348</v>
      </c>
      <c r="B1409" s="138">
        <f>'Expenditures 15-22'!D224</f>
        <v>2825</v>
      </c>
      <c r="D1409" s="2" t="str">
        <f t="shared" si="21"/>
        <v>Error?</v>
      </c>
    </row>
    <row r="1410" spans="1:4" x14ac:dyDescent="0.2">
      <c r="A1410" s="5">
        <v>1349</v>
      </c>
      <c r="B1410" s="138">
        <f>'Expenditures 15-22'!D229</f>
        <v>170495</v>
      </c>
      <c r="C1410" s="2" t="s">
        <v>573</v>
      </c>
      <c r="D1410" s="2" t="str">
        <f t="shared" si="21"/>
        <v>Error?</v>
      </c>
    </row>
    <row r="1411" spans="1:4" x14ac:dyDescent="0.2">
      <c r="A1411" s="5">
        <v>1350</v>
      </c>
      <c r="B1411" s="138">
        <f>'Expenditures 15-22'!D232</f>
        <v>2370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6036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3088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11494</v>
      </c>
      <c r="C1417" s="2" t="s">
        <v>573</v>
      </c>
      <c r="D1417" s="2" t="str">
        <f t="shared" si="21"/>
        <v>Error?</v>
      </c>
    </row>
    <row r="1418" spans="1:4" x14ac:dyDescent="0.2">
      <c r="A1418" s="5">
        <v>1357</v>
      </c>
      <c r="B1418" s="138">
        <f>'Expenditures 15-22'!D240</f>
        <v>3172</v>
      </c>
      <c r="D1418" s="2" t="str">
        <f t="shared" si="21"/>
        <v>Error?</v>
      </c>
    </row>
    <row r="1419" spans="1:4" x14ac:dyDescent="0.2">
      <c r="A1419" s="5">
        <v>1358</v>
      </c>
      <c r="B1419" s="138">
        <f>'Expenditures 15-22'!D241</f>
        <v>4926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8098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10019</v>
      </c>
      <c r="D1423" s="2" t="str">
        <f t="shared" si="21"/>
        <v>Error?</v>
      </c>
    </row>
    <row r="1424" spans="1:4" x14ac:dyDescent="0.2">
      <c r="A1424" s="5">
        <v>1363</v>
      </c>
      <c r="B1424" s="138">
        <f>'Expenditures 15-22'!D257</f>
        <v>15861</v>
      </c>
      <c r="C1424" s="2" t="s">
        <v>573</v>
      </c>
      <c r="D1424" s="2" t="str">
        <f t="shared" si="21"/>
        <v>Error?</v>
      </c>
    </row>
    <row r="1425" spans="1:4" x14ac:dyDescent="0.2">
      <c r="A1425" s="5">
        <v>1364</v>
      </c>
      <c r="B1425" s="138">
        <f>'Expenditures 15-22'!D259</f>
        <v>19569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19569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63747</v>
      </c>
      <c r="D1431" s="2" t="str">
        <f t="shared" si="21"/>
        <v>Error?</v>
      </c>
    </row>
    <row r="1432" spans="1:4" x14ac:dyDescent="0.2">
      <c r="A1432" s="5">
        <v>1371</v>
      </c>
      <c r="B1432" s="138">
        <f>'Expenditures 15-22'!D267</f>
        <v>1863</v>
      </c>
      <c r="D1432" s="2" t="str">
        <f t="shared" si="21"/>
        <v>Error?</v>
      </c>
    </row>
    <row r="1433" spans="1:4" x14ac:dyDescent="0.2">
      <c r="A1433" s="5">
        <v>1372</v>
      </c>
      <c r="B1433" s="138">
        <f>'Expenditures 15-22'!D268</f>
        <v>4057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75574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v>
      </c>
      <c r="D1440" s="2" t="str">
        <f t="shared" si="21"/>
        <v>Error?</v>
      </c>
    </row>
    <row r="1441" spans="1:4" x14ac:dyDescent="0.2">
      <c r="A1441" s="10">
        <v>1380</v>
      </c>
      <c r="D1441" s="2" t="str">
        <f t="shared" si="21"/>
        <v>OK</v>
      </c>
    </row>
    <row r="1442" spans="1:4" x14ac:dyDescent="0.2">
      <c r="A1442" s="5">
        <v>1381</v>
      </c>
      <c r="B1442" s="138">
        <f>'Expenditures 15-22'!D276</f>
        <v>9032</v>
      </c>
      <c r="D1442" s="2" t="str">
        <f t="shared" si="21"/>
        <v>Error?</v>
      </c>
    </row>
    <row r="1443" spans="1:4" x14ac:dyDescent="0.2">
      <c r="A1443" s="10">
        <v>1382</v>
      </c>
      <c r="D1443" s="2" t="str">
        <f t="shared" si="21"/>
        <v>OK</v>
      </c>
    </row>
    <row r="1444" spans="1:4" x14ac:dyDescent="0.2">
      <c r="A1444" s="5">
        <v>1383</v>
      </c>
      <c r="B1444" s="138">
        <f>'Expenditures 15-22'!D277</f>
        <v>9034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139630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310125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2426</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3659</v>
      </c>
      <c r="C1472" s="2" t="s">
        <v>573</v>
      </c>
      <c r="D1472" s="2" t="str">
        <f t="shared" si="22"/>
        <v>Error?</v>
      </c>
    </row>
    <row r="1473" spans="1:4" x14ac:dyDescent="0.2">
      <c r="A1473" s="5">
        <v>1412</v>
      </c>
      <c r="B1473" s="138">
        <f>'Expenditures 15-22'!K224</f>
        <v>2825</v>
      </c>
      <c r="C1473" s="2" t="s">
        <v>573</v>
      </c>
      <c r="D1473" s="2" t="str">
        <f t="shared" si="22"/>
        <v>Error?</v>
      </c>
    </row>
    <row r="1474" spans="1:4" x14ac:dyDescent="0.2">
      <c r="A1474" s="5">
        <v>1413</v>
      </c>
      <c r="B1474" s="138">
        <f>'Expenditures 15-22'!K229</f>
        <v>170495</v>
      </c>
      <c r="C1474" s="2" t="s">
        <v>573</v>
      </c>
      <c r="D1474" s="2" t="str">
        <f t="shared" si="22"/>
        <v>Error?</v>
      </c>
    </row>
    <row r="1475" spans="1:4" x14ac:dyDescent="0.2">
      <c r="A1475" s="5">
        <v>1414</v>
      </c>
      <c r="B1475" s="138">
        <f>'Expenditures 15-22'!K232</f>
        <v>2370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6036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3088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11494</v>
      </c>
      <c r="C1481" s="2" t="s">
        <v>573</v>
      </c>
      <c r="D1481" s="2" t="str">
        <f t="shared" si="22"/>
        <v>Error?</v>
      </c>
    </row>
    <row r="1482" spans="1:4" x14ac:dyDescent="0.2">
      <c r="A1482" s="5">
        <v>1421</v>
      </c>
      <c r="B1482" s="138">
        <f>'Expenditures 15-22'!K240</f>
        <v>3172</v>
      </c>
      <c r="C1482" s="2" t="s">
        <v>573</v>
      </c>
      <c r="D1482" s="2" t="str">
        <f t="shared" si="22"/>
        <v>Error?</v>
      </c>
    </row>
    <row r="1483" spans="1:4" x14ac:dyDescent="0.2">
      <c r="A1483" s="5">
        <v>1422</v>
      </c>
      <c r="B1483" s="138">
        <f>'Expenditures 15-22'!K241</f>
        <v>4926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8098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10019</v>
      </c>
      <c r="C1487" s="2" t="s">
        <v>573</v>
      </c>
      <c r="D1487" s="2" t="str">
        <f t="shared" si="22"/>
        <v>Error?</v>
      </c>
    </row>
    <row r="1488" spans="1:4" x14ac:dyDescent="0.2">
      <c r="A1488" s="5">
        <v>1427</v>
      </c>
      <c r="B1488" s="138">
        <f>'Expenditures 15-22'!K257</f>
        <v>15861</v>
      </c>
      <c r="C1488" s="2" t="s">
        <v>573</v>
      </c>
      <c r="D1488" s="2" t="str">
        <f t="shared" si="22"/>
        <v>Error?</v>
      </c>
    </row>
    <row r="1489" spans="1:4" x14ac:dyDescent="0.2">
      <c r="A1489" s="5">
        <v>1428</v>
      </c>
      <c r="B1489" s="138">
        <f>'Expenditures 15-22'!K259</f>
        <v>19569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19569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5907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63747</v>
      </c>
      <c r="C1495" s="2" t="s">
        <v>573</v>
      </c>
      <c r="D1495" s="2" t="str">
        <f t="shared" si="22"/>
        <v>Error?</v>
      </c>
    </row>
    <row r="1496" spans="1:4" x14ac:dyDescent="0.2">
      <c r="A1496" s="5">
        <v>1435</v>
      </c>
      <c r="B1496" s="138">
        <f>'Expenditures 15-22'!K267</f>
        <v>1863</v>
      </c>
      <c r="C1496" s="2" t="s">
        <v>573</v>
      </c>
      <c r="D1496" s="2" t="str">
        <f t="shared" si="22"/>
        <v>Error?</v>
      </c>
    </row>
    <row r="1497" spans="1:4" x14ac:dyDescent="0.2">
      <c r="A1497" s="5">
        <v>1436</v>
      </c>
      <c r="B1497" s="138">
        <f>'Expenditures 15-22'!K268</f>
        <v>4057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75574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v>
      </c>
      <c r="C1504" s="2" t="s">
        <v>573</v>
      </c>
      <c r="D1504" s="2" t="str">
        <f t="shared" si="22"/>
        <v>Error?</v>
      </c>
    </row>
    <row r="1505" spans="1:4" x14ac:dyDescent="0.2">
      <c r="A1505" s="10">
        <v>1444</v>
      </c>
      <c r="D1505" s="2" t="str">
        <f t="shared" si="22"/>
        <v>OK</v>
      </c>
    </row>
    <row r="1506" spans="1:4" x14ac:dyDescent="0.2">
      <c r="A1506" s="5">
        <v>1445</v>
      </c>
      <c r="B1506" s="138">
        <f>'Expenditures 15-22'!K276</f>
        <v>9032</v>
      </c>
      <c r="C1506" s="2" t="s">
        <v>573</v>
      </c>
      <c r="D1506" s="2" t="str">
        <f t="shared" si="22"/>
        <v>Error?</v>
      </c>
    </row>
    <row r="1507" spans="1:4" x14ac:dyDescent="0.2">
      <c r="A1507" s="10">
        <v>1446</v>
      </c>
      <c r="D1507" s="2" t="str">
        <f t="shared" si="22"/>
        <v>OK</v>
      </c>
    </row>
    <row r="1508" spans="1:4" x14ac:dyDescent="0.2">
      <c r="A1508" s="5">
        <v>1447</v>
      </c>
      <c r="B1508" s="138">
        <f>'Expenditures 15-22'!K277</f>
        <v>9034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139630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310125</v>
      </c>
      <c r="C1517" s="2" t="s">
        <v>573</v>
      </c>
      <c r="D1517" s="2" t="str">
        <f t="shared" si="22"/>
        <v>Error?</v>
      </c>
    </row>
    <row r="1518" spans="1:4" x14ac:dyDescent="0.2">
      <c r="A1518" s="5">
        <v>1457</v>
      </c>
      <c r="B1518" s="138">
        <f>'Expenditures 15-22'!K296</f>
        <v>29388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8677834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8525344</v>
      </c>
      <c r="C1630" s="2" t="s">
        <v>573</v>
      </c>
      <c r="D1630" s="2" t="str">
        <f t="shared" si="24"/>
        <v>Error?</v>
      </c>
    </row>
    <row r="1631" spans="1:4" x14ac:dyDescent="0.2">
      <c r="A1631" s="5">
        <v>1570</v>
      </c>
      <c r="B1631" s="138">
        <f>'Acct Summary 7-8'!D79</f>
        <v>511628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1206117</v>
      </c>
      <c r="C1644" s="2" t="s">
        <v>573</v>
      </c>
      <c r="D1644" s="2" t="str">
        <f t="shared" si="24"/>
        <v>Error?</v>
      </c>
    </row>
    <row r="1645" spans="1:4" x14ac:dyDescent="0.2">
      <c r="A1645" s="5">
        <v>1584</v>
      </c>
      <c r="B1645" s="138">
        <f>'Acct Summary 7-8'!E79</f>
        <v>264338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284378</v>
      </c>
      <c r="C1658" s="2" t="s">
        <v>573</v>
      </c>
      <c r="D1658" s="2" t="str">
        <f t="shared" si="24"/>
        <v>Error?</v>
      </c>
    </row>
    <row r="1659" spans="1:4" x14ac:dyDescent="0.2">
      <c r="A1659" s="5">
        <v>1598</v>
      </c>
      <c r="B1659" s="138">
        <f>'Acct Summary 7-8'!F79</f>
        <v>603941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665861</v>
      </c>
      <c r="C1672" s="2" t="s">
        <v>573</v>
      </c>
      <c r="D1672" s="2" t="str">
        <f t="shared" si="25"/>
        <v>Error?</v>
      </c>
    </row>
    <row r="1673" spans="1:4" x14ac:dyDescent="0.2">
      <c r="A1673" s="5">
        <v>1612</v>
      </c>
      <c r="B1673" s="138">
        <f>'Acct Summary 7-8'!G79</f>
        <v>380600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409988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8809182</v>
      </c>
      <c r="C1744" s="2" t="s">
        <v>573</v>
      </c>
      <c r="D1744" s="2" t="str">
        <f t="shared" si="26"/>
        <v>Error?</v>
      </c>
    </row>
    <row r="1745" spans="1:5" x14ac:dyDescent="0.2">
      <c r="A1745" s="5">
        <v>1684</v>
      </c>
      <c r="B1745" s="138">
        <f>'Tax Sched 23'!B5</f>
        <v>2067200</v>
      </c>
      <c r="C1745" s="2" t="s">
        <v>573</v>
      </c>
      <c r="D1745" s="2" t="str">
        <f t="shared" si="26"/>
        <v>Error?</v>
      </c>
    </row>
    <row r="1746" spans="1:5" x14ac:dyDescent="0.2">
      <c r="A1746" s="5">
        <v>1685</v>
      </c>
      <c r="B1746" s="138">
        <f>'Tax Sched 23'!B6</f>
        <v>637301</v>
      </c>
      <c r="C1746" s="2" t="s">
        <v>573</v>
      </c>
      <c r="D1746" s="2" t="str">
        <f t="shared" si="26"/>
        <v>Error?</v>
      </c>
    </row>
    <row r="1747" spans="1:5" x14ac:dyDescent="0.2">
      <c r="A1747" s="5">
        <v>1686</v>
      </c>
      <c r="B1747" s="138">
        <f>'Tax Sched 23'!B7</f>
        <v>136450</v>
      </c>
      <c r="C1747" s="2" t="s">
        <v>573</v>
      </c>
      <c r="D1747" s="2" t="str">
        <f t="shared" si="26"/>
        <v>Error?</v>
      </c>
    </row>
    <row r="1748" spans="1:5" x14ac:dyDescent="0.2">
      <c r="A1748" s="5">
        <v>1687</v>
      </c>
      <c r="B1748" s="138">
        <f>'Tax Sched 23'!B8</f>
        <v>95318</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301357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399160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12680006</v>
      </c>
      <c r="C1759" s="2" t="s">
        <v>573</v>
      </c>
      <c r="D1759" s="2" t="str">
        <f t="shared" si="26"/>
        <v>Error?</v>
      </c>
    </row>
    <row r="1760" spans="1:5" x14ac:dyDescent="0.2">
      <c r="A1760" s="5">
        <v>1699</v>
      </c>
      <c r="B1760" s="138">
        <f>'Tax Sched 23'!D4</f>
        <v>4230745</v>
      </c>
      <c r="C1760" s="2" t="s">
        <v>573</v>
      </c>
      <c r="D1760" s="2" t="str">
        <f t="shared" si="26"/>
        <v>Error?</v>
      </c>
    </row>
    <row r="1761" spans="1:5" x14ac:dyDescent="0.2">
      <c r="A1761" s="5">
        <v>1700</v>
      </c>
      <c r="B1761" s="138">
        <f>'Tax Sched 23'!D5</f>
        <v>879537</v>
      </c>
      <c r="C1761" s="2" t="s">
        <v>573</v>
      </c>
      <c r="D1761" s="2" t="str">
        <f t="shared" si="26"/>
        <v>Error?</v>
      </c>
    </row>
    <row r="1762" spans="1:5" s="8" customFormat="1" x14ac:dyDescent="0.2">
      <c r="A1762" s="5">
        <v>1701</v>
      </c>
      <c r="B1762" s="138">
        <f>'Tax Sched 23'!D6</f>
        <v>296004</v>
      </c>
      <c r="C1762" s="2" t="s">
        <v>573</v>
      </c>
      <c r="D1762" s="2" t="str">
        <f t="shared" si="26"/>
        <v>Error?</v>
      </c>
      <c r="E1762" s="9"/>
    </row>
    <row r="1763" spans="1:5" x14ac:dyDescent="0.2">
      <c r="A1763" s="5">
        <v>1702</v>
      </c>
      <c r="B1763" s="138">
        <f>'Tax Sched 23'!D7</f>
        <v>51826</v>
      </c>
      <c r="C1763" s="2" t="s">
        <v>573</v>
      </c>
      <c r="D1763" s="2" t="str">
        <f t="shared" si="26"/>
        <v>Error?</v>
      </c>
    </row>
    <row r="1764" spans="1:5" x14ac:dyDescent="0.2">
      <c r="A1764" s="5">
        <v>1703</v>
      </c>
      <c r="B1764" s="138">
        <f>'Tax Sched 23'!D8</f>
        <v>36946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87728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144336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5825896</v>
      </c>
      <c r="C1775" s="2" t="s">
        <v>573</v>
      </c>
      <c r="D1775" s="2" t="str">
        <f t="shared" si="26"/>
        <v>Error?</v>
      </c>
    </row>
    <row r="1776" spans="1:5" x14ac:dyDescent="0.2">
      <c r="A1776" s="5">
        <v>1715</v>
      </c>
      <c r="B1776" s="138">
        <f>'Tax Sched 23'!C4</f>
        <v>4578437</v>
      </c>
      <c r="D1776" s="2" t="str">
        <f t="shared" si="26"/>
        <v>Error?</v>
      </c>
    </row>
    <row r="1777" spans="1:4" x14ac:dyDescent="0.2">
      <c r="A1777" s="5">
        <v>1716</v>
      </c>
      <c r="B1777" s="138">
        <f>'Tax Sched 23'!C5</f>
        <v>1187663</v>
      </c>
      <c r="D1777" s="2" t="str">
        <f t="shared" si="26"/>
        <v>Error?</v>
      </c>
    </row>
    <row r="1778" spans="1:4" x14ac:dyDescent="0.2">
      <c r="A1778" s="5">
        <v>1717</v>
      </c>
      <c r="B1778" s="138">
        <f>'Tax Sched 23'!C6</f>
        <v>341297</v>
      </c>
      <c r="D1778" s="2" t="str">
        <f t="shared" si="26"/>
        <v>Error?</v>
      </c>
    </row>
    <row r="1779" spans="1:4" x14ac:dyDescent="0.2">
      <c r="A1779" s="5">
        <v>1718</v>
      </c>
      <c r="B1779" s="138">
        <f>'Tax Sched 23'!C7</f>
        <v>84624</v>
      </c>
      <c r="D1779" s="2" t="str">
        <f t="shared" si="26"/>
        <v>Error?</v>
      </c>
    </row>
    <row r="1780" spans="1:4" x14ac:dyDescent="0.2">
      <c r="A1780" s="5">
        <v>1719</v>
      </c>
      <c r="B1780" s="138">
        <f>'Tax Sched 23'!C8</f>
        <v>58372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213629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254824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6854110</v>
      </c>
      <c r="C1791" s="2" t="s">
        <v>573</v>
      </c>
      <c r="D1791" s="2" t="str">
        <f t="shared" ref="D1791:D1854" si="27">IF(ISBLANK(B1791),"OK",IF(A1791-B1791=0,"OK","Error?"))</f>
        <v>Error?</v>
      </c>
    </row>
    <row r="1792" spans="1:4" x14ac:dyDescent="0.2">
      <c r="A1792" s="5">
        <v>1731</v>
      </c>
      <c r="B1792" s="138">
        <f>'Tax Sched 23'!F4</f>
        <v>4288259</v>
      </c>
      <c r="C1792" s="2" t="s">
        <v>573</v>
      </c>
      <c r="D1792" s="2" t="str">
        <f t="shared" si="27"/>
        <v>Error?</v>
      </c>
    </row>
    <row r="1793" spans="1:4" x14ac:dyDescent="0.2">
      <c r="A1793" s="5">
        <v>1732</v>
      </c>
      <c r="B1793" s="138">
        <f>'Tax Sched 23'!F5</f>
        <v>1112389</v>
      </c>
      <c r="C1793" s="2" t="s">
        <v>573</v>
      </c>
      <c r="D1793" s="2" t="str">
        <f t="shared" si="27"/>
        <v>Error?</v>
      </c>
    </row>
    <row r="1794" spans="1:4" x14ac:dyDescent="0.2">
      <c r="A1794" s="5">
        <v>1733</v>
      </c>
      <c r="B1794" s="138">
        <f>'Tax Sched 23'!F6</f>
        <v>319665</v>
      </c>
      <c r="C1794" s="2" t="s">
        <v>573</v>
      </c>
      <c r="D1794" s="2" t="str">
        <f t="shared" si="27"/>
        <v>Error?</v>
      </c>
    </row>
    <row r="1795" spans="1:4" x14ac:dyDescent="0.2">
      <c r="A1795" s="5">
        <v>1734</v>
      </c>
      <c r="B1795" s="138">
        <f>'Tax Sched 23'!F7</f>
        <v>79261</v>
      </c>
      <c r="C1795" s="2" t="s">
        <v>573</v>
      </c>
      <c r="D1795" s="2" t="str">
        <f t="shared" si="27"/>
        <v>Error?</v>
      </c>
    </row>
    <row r="1796" spans="1:4" x14ac:dyDescent="0.2">
      <c r="A1796" s="5">
        <v>1735</v>
      </c>
      <c r="B1796" s="138">
        <f>'Tax Sched 23'!F8</f>
        <v>54672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200090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238674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6419701</v>
      </c>
      <c r="C1807" s="2" t="s">
        <v>573</v>
      </c>
      <c r="D1807" s="2" t="str">
        <f t="shared" si="27"/>
        <v>Error?</v>
      </c>
    </row>
    <row r="1808" spans="1:4" x14ac:dyDescent="0.2">
      <c r="A1808" s="5">
        <v>1747</v>
      </c>
      <c r="B1808" s="138">
        <f>'Tax Sched 23'!E4</f>
        <v>8866696</v>
      </c>
      <c r="D1808" s="2" t="str">
        <f t="shared" si="27"/>
        <v>Error?</v>
      </c>
    </row>
    <row r="1809" spans="1:4" x14ac:dyDescent="0.2">
      <c r="A1809" s="5">
        <v>1748</v>
      </c>
      <c r="B1809" s="138">
        <f>'Tax Sched 23'!E5</f>
        <v>2300052</v>
      </c>
      <c r="D1809" s="2" t="str">
        <f t="shared" si="27"/>
        <v>Error?</v>
      </c>
    </row>
    <row r="1810" spans="1:4" x14ac:dyDescent="0.2">
      <c r="A1810" s="5">
        <v>1749</v>
      </c>
      <c r="B1810" s="138">
        <f>'Tax Sched 23'!E6</f>
        <v>660962</v>
      </c>
      <c r="D1810" s="2" t="str">
        <f t="shared" si="27"/>
        <v>Error?</v>
      </c>
    </row>
    <row r="1811" spans="1:4" x14ac:dyDescent="0.2">
      <c r="A1811" s="5">
        <v>1750</v>
      </c>
      <c r="B1811" s="138">
        <f>'Tax Sched 23'!E7</f>
        <v>163885</v>
      </c>
      <c r="D1811" s="2" t="str">
        <f t="shared" si="27"/>
        <v>Error?</v>
      </c>
    </row>
    <row r="1812" spans="1:4" x14ac:dyDescent="0.2">
      <c r="A1812" s="5">
        <v>1751</v>
      </c>
      <c r="B1812" s="138">
        <f>'Tax Sched 23'!E8</f>
        <v>113044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413719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493498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13273811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399159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399159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399159</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684156</v>
      </c>
      <c r="D2008" s="2" t="str">
        <f t="shared" si="30"/>
        <v>Error?</v>
      </c>
    </row>
    <row r="2009" spans="1:4" x14ac:dyDescent="0.2">
      <c r="A2009" s="5">
        <v>1948</v>
      </c>
      <c r="B2009" s="138">
        <f>'Cap Outlay Deprec 26'!C8</f>
        <v>21637057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3776891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27672192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134374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7778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208890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684156</v>
      </c>
      <c r="C2026" s="2" t="s">
        <v>573</v>
      </c>
      <c r="D2026" s="2" t="str">
        <f t="shared" si="30"/>
        <v>Error?</v>
      </c>
    </row>
    <row r="2027" spans="1:4" x14ac:dyDescent="0.2">
      <c r="A2027" s="5">
        <v>1966</v>
      </c>
      <c r="B2027" s="138">
        <f>'Cap Outlay Deprec 26'!F8</f>
        <v>21771431</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3784669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27881082</v>
      </c>
      <c r="C2031" s="2" t="s">
        <v>573</v>
      </c>
      <c r="D2031" s="2" t="str">
        <f t="shared" si="30"/>
        <v>Error?</v>
      </c>
    </row>
    <row r="2032" spans="1:4" x14ac:dyDescent="0.2">
      <c r="A2032" s="10">
        <v>1971</v>
      </c>
      <c r="D2032" s="2" t="str">
        <f t="shared" si="30"/>
        <v>OK</v>
      </c>
    </row>
    <row r="2033" spans="1:4" x14ac:dyDescent="0.2">
      <c r="A2033" s="5">
        <v>1972</v>
      </c>
      <c r="B2033" s="138">
        <f>'Cap Outlay Deprec 26'!H8</f>
        <v>10501578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3153921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14744960</v>
      </c>
      <c r="C2037" s="2" t="s">
        <v>573</v>
      </c>
      <c r="D2037" s="2" t="str">
        <f t="shared" si="30"/>
        <v>Error?</v>
      </c>
    </row>
    <row r="2038" spans="1:4" x14ac:dyDescent="0.2">
      <c r="A2038" s="10">
        <v>1977</v>
      </c>
      <c r="D2038" s="2" t="str">
        <f t="shared" si="30"/>
        <v>OK</v>
      </c>
    </row>
    <row r="2039" spans="1:4" x14ac:dyDescent="0.2">
      <c r="A2039" s="5">
        <v>1978</v>
      </c>
      <c r="B2039" s="138">
        <f>'Cap Outlay Deprec 26'!I8</f>
        <v>524051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584290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1173487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11025629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3738211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15918447</v>
      </c>
      <c r="C2055" s="2" t="s">
        <v>573</v>
      </c>
      <c r="D2055" s="2" t="str">
        <f t="shared" si="31"/>
        <v>Error?</v>
      </c>
    </row>
    <row r="2056" spans="1:4" x14ac:dyDescent="0.2">
      <c r="A2056" s="5">
        <v>1995</v>
      </c>
      <c r="B2056" s="138">
        <f>'Cap Outlay Deprec 26'!L5</f>
        <v>684156</v>
      </c>
      <c r="C2056" s="2" t="s">
        <v>573</v>
      </c>
      <c r="D2056" s="2" t="str">
        <f t="shared" si="31"/>
        <v>Error?</v>
      </c>
    </row>
    <row r="2057" spans="1:4" x14ac:dyDescent="0.2">
      <c r="A2057" s="5">
        <v>1996</v>
      </c>
      <c r="B2057" s="138">
        <f>'Cap Outlay Deprec 26'!L8</f>
        <v>10745802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46458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11962635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74509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1206117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665861</v>
      </c>
      <c r="D2475" s="2" t="str">
        <f t="shared" si="37"/>
        <v>Error?</v>
      </c>
    </row>
    <row r="2476" spans="1:4" x14ac:dyDescent="0.2">
      <c r="A2476" s="10">
        <v>2415</v>
      </c>
      <c r="D2476" s="2" t="str">
        <f t="shared" si="37"/>
        <v>OK</v>
      </c>
    </row>
    <row r="2477" spans="1:4" x14ac:dyDescent="0.2">
      <c r="A2477" s="5">
        <v>2416</v>
      </c>
      <c r="B2477" s="138">
        <f>'Assets-Liab 5-6'!G38</f>
        <v>409988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284378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9871667</v>
      </c>
      <c r="C2551" s="2" t="s">
        <v>573</v>
      </c>
      <c r="D2551" s="2" t="str">
        <f t="shared" si="38"/>
        <v>Error?</v>
      </c>
    </row>
    <row r="2552" spans="1:4" x14ac:dyDescent="0.2">
      <c r="A2552" s="10">
        <v>2491</v>
      </c>
      <c r="D2552" s="2" t="str">
        <f t="shared" si="38"/>
        <v>OK</v>
      </c>
    </row>
    <row r="2553" spans="1:4" x14ac:dyDescent="0.2">
      <c r="A2553" s="5">
        <v>2492</v>
      </c>
      <c r="B2553" s="138">
        <f>'Acct Summary 7-8'!C6</f>
        <v>586520</v>
      </c>
      <c r="C2553" s="2" t="s">
        <v>573</v>
      </c>
      <c r="D2553" s="2" t="str">
        <f t="shared" si="38"/>
        <v>Error?</v>
      </c>
    </row>
    <row r="2554" spans="1:4" x14ac:dyDescent="0.2">
      <c r="A2554" s="5">
        <v>2493</v>
      </c>
      <c r="B2554" s="138">
        <f>'Acct Summary 7-8'!C7</f>
        <v>133644</v>
      </c>
      <c r="C2554" s="2" t="s">
        <v>573</v>
      </c>
      <c r="D2554" s="2" t="str">
        <f t="shared" si="38"/>
        <v>Error?</v>
      </c>
    </row>
    <row r="2555" spans="1:4" x14ac:dyDescent="0.2">
      <c r="A2555" s="5">
        <v>2494</v>
      </c>
      <c r="B2555" s="138">
        <f>'Acct Summary 7-8'!C8</f>
        <v>10591831</v>
      </c>
      <c r="C2555" s="2" t="s">
        <v>573</v>
      </c>
      <c r="D2555" s="2" t="str">
        <f t="shared" si="38"/>
        <v>Error?</v>
      </c>
    </row>
    <row r="2556" spans="1:4" x14ac:dyDescent="0.2">
      <c r="A2556" s="5">
        <v>2495</v>
      </c>
      <c r="B2556" s="138">
        <f>'Acct Summary 7-8'!C12</f>
        <v>7921388</v>
      </c>
      <c r="C2556" s="2" t="s">
        <v>573</v>
      </c>
      <c r="D2556" s="2" t="str">
        <f t="shared" si="38"/>
        <v>Error?</v>
      </c>
    </row>
    <row r="2557" spans="1:4" x14ac:dyDescent="0.2">
      <c r="A2557" s="5">
        <v>2496</v>
      </c>
      <c r="B2557" s="138">
        <f>'Acct Summary 7-8'!C13</f>
        <v>2838152</v>
      </c>
      <c r="C2557" s="2" t="s">
        <v>573</v>
      </c>
      <c r="D2557" s="2" t="str">
        <f t="shared" si="38"/>
        <v>Error?</v>
      </c>
    </row>
    <row r="2558" spans="1:4" x14ac:dyDescent="0.2">
      <c r="A2558" s="5">
        <v>2497</v>
      </c>
      <c r="B2558" s="138">
        <f>'Acct Summary 7-8'!C14</f>
        <v>110272</v>
      </c>
      <c r="C2558" s="2" t="s">
        <v>573</v>
      </c>
      <c r="D2558" s="2" t="str">
        <f t="shared" si="38"/>
        <v>Error?</v>
      </c>
    </row>
    <row r="2559" spans="1:4" x14ac:dyDescent="0.2">
      <c r="A2559" s="5">
        <v>2498</v>
      </c>
      <c r="B2559" s="138">
        <f>'Acct Summary 7-8'!C15</f>
        <v>74509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10944321</v>
      </c>
      <c r="C2561" s="2" t="s">
        <v>573</v>
      </c>
      <c r="D2561" s="2" t="str">
        <f t="shared" si="39"/>
        <v>Error?</v>
      </c>
    </row>
    <row r="2562" spans="1:4" x14ac:dyDescent="0.2">
      <c r="A2562" s="5">
        <v>2501</v>
      </c>
      <c r="B2562" s="138">
        <f>'Acct Summary 7-8'!C20</f>
        <v>-352490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2089188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2089188</v>
      </c>
      <c r="C2568" s="2" t="s">
        <v>573</v>
      </c>
      <c r="D2568" s="2" t="str">
        <f t="shared" si="39"/>
        <v>Error?</v>
      </c>
    </row>
    <row r="2569" spans="1:4" x14ac:dyDescent="0.2">
      <c r="A2569" s="5">
        <v>2508</v>
      </c>
      <c r="B2569" s="138">
        <f>'Acct Summary 7-8'!D13</f>
        <v>1394699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1394699</v>
      </c>
      <c r="C2573" s="2" t="s">
        <v>573</v>
      </c>
      <c r="D2573" s="2" t="str">
        <f t="shared" si="39"/>
        <v>Error?</v>
      </c>
    </row>
    <row r="2574" spans="1:4" x14ac:dyDescent="0.2">
      <c r="A2574" s="5">
        <v>2513</v>
      </c>
      <c r="B2574" s="138">
        <f>'Acct Summary 7-8'!D20</f>
        <v>694489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149478</v>
      </c>
      <c r="C2591" s="2" t="s">
        <v>573</v>
      </c>
      <c r="D2591" s="2" t="str">
        <f t="shared" si="39"/>
        <v>Error?</v>
      </c>
    </row>
    <row r="2592" spans="1:4" x14ac:dyDescent="0.2">
      <c r="A2592" s="10">
        <v>2531</v>
      </c>
      <c r="D2592" s="2" t="str">
        <f t="shared" si="39"/>
        <v>OK</v>
      </c>
    </row>
    <row r="2593" spans="1:4" x14ac:dyDescent="0.2">
      <c r="A2593" s="5">
        <v>2532</v>
      </c>
      <c r="B2593" s="138">
        <f>'Acct Summary 7-8'!F6</f>
        <v>68362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217840</v>
      </c>
      <c r="C2595" s="2" t="s">
        <v>573</v>
      </c>
      <c r="D2595" s="2" t="str">
        <f t="shared" si="39"/>
        <v>Error?</v>
      </c>
    </row>
    <row r="2596" spans="1:4" x14ac:dyDescent="0.2">
      <c r="A2596" s="5">
        <v>2535</v>
      </c>
      <c r="B2596" s="138">
        <f>'Acct Summary 7-8'!F13</f>
        <v>103241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52679</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155920</v>
      </c>
      <c r="C2600" s="2" t="s">
        <v>573</v>
      </c>
      <c r="D2600" s="2" t="str">
        <f t="shared" si="39"/>
        <v>Error?</v>
      </c>
    </row>
    <row r="2601" spans="1:4" x14ac:dyDescent="0.2">
      <c r="A2601" s="5">
        <v>2540</v>
      </c>
      <c r="B2601" s="138">
        <f>'Acct Summary 7-8'!F20</f>
        <v>61920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339513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339513</v>
      </c>
      <c r="C2606" s="2" t="s">
        <v>573</v>
      </c>
      <c r="D2606" s="2" t="str">
        <f t="shared" si="39"/>
        <v>Error?</v>
      </c>
    </row>
    <row r="2607" spans="1:4" x14ac:dyDescent="0.2">
      <c r="A2607" s="5">
        <v>2546</v>
      </c>
      <c r="B2607" s="138">
        <f>'Acct Summary 7-8'!G12</f>
        <v>170495</v>
      </c>
      <c r="C2607" s="2" t="s">
        <v>573</v>
      </c>
      <c r="D2607" s="2" t="str">
        <f t="shared" si="39"/>
        <v>Error?</v>
      </c>
    </row>
    <row r="2608" spans="1:4" x14ac:dyDescent="0.2">
      <c r="A2608" s="5">
        <v>2547</v>
      </c>
      <c r="B2608" s="138">
        <f>'Acct Summary 7-8'!G13</f>
        <v>139630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310125</v>
      </c>
      <c r="C2612" s="2" t="s">
        <v>573</v>
      </c>
      <c r="D2612" s="2" t="str">
        <f t="shared" si="39"/>
        <v>Error?</v>
      </c>
    </row>
    <row r="2613" spans="1:4" x14ac:dyDescent="0.2">
      <c r="A2613" s="5">
        <v>2552</v>
      </c>
      <c r="B2613" s="138">
        <f>'Acct Summary 7-8'!G20</f>
        <v>29388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645328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645328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625288</v>
      </c>
      <c r="C2634" s="2" t="s">
        <v>573</v>
      </c>
      <c r="D2634" s="2" t="str">
        <f t="shared" si="40"/>
        <v>Error?</v>
      </c>
    </row>
    <row r="2635" spans="1:4" x14ac:dyDescent="0.2">
      <c r="A2635" s="5">
        <v>2574</v>
      </c>
      <c r="B2635" s="138">
        <f>'Acct Summary 7-8'!E17</f>
        <v>625288</v>
      </c>
      <c r="C2635" s="2" t="s">
        <v>573</v>
      </c>
      <c r="D2635" s="2" t="str">
        <f t="shared" si="40"/>
        <v>Error?</v>
      </c>
    </row>
    <row r="2636" spans="1:4" x14ac:dyDescent="0.2">
      <c r="A2636" s="5">
        <v>2575</v>
      </c>
      <c r="B2636" s="138">
        <f>'Acct Summary 7-8'!E20</f>
        <v>20040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52679</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52679</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52679</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1127370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43102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1127370</v>
      </c>
      <c r="D2912" s="2" t="str">
        <f t="shared" si="44"/>
        <v>Error?</v>
      </c>
    </row>
    <row r="2913" spans="1:4" x14ac:dyDescent="0.2">
      <c r="A2913" s="5">
        <v>2852</v>
      </c>
      <c r="B2913" s="138">
        <f>'Assets-Liab 5-6'!I41</f>
        <v>1127370</v>
      </c>
      <c r="C2913" s="2" t="s">
        <v>573</v>
      </c>
      <c r="D2913" s="2" t="str">
        <f t="shared" si="44"/>
        <v>Error?</v>
      </c>
    </row>
    <row r="2914" spans="1:4" x14ac:dyDescent="0.2">
      <c r="A2914" s="5">
        <v>2853</v>
      </c>
      <c r="B2914" s="138">
        <f>'Assets-Liab 5-6'!L33</f>
        <v>43102</v>
      </c>
      <c r="D2914" s="2" t="str">
        <f t="shared" si="44"/>
        <v>Error?</v>
      </c>
    </row>
    <row r="2915" spans="1:4" x14ac:dyDescent="0.2">
      <c r="A2915" s="10">
        <v>2854</v>
      </c>
      <c r="D2915" s="2" t="str">
        <f t="shared" si="44"/>
        <v>OK</v>
      </c>
    </row>
    <row r="2916" spans="1:4" x14ac:dyDescent="0.2">
      <c r="A2916" s="5">
        <v>2855</v>
      </c>
      <c r="B2916" s="138">
        <f>'Assets-Liab 5-6'!L34</f>
        <v>43102</v>
      </c>
      <c r="C2916" s="2" t="s">
        <v>573</v>
      </c>
      <c r="D2916" s="2" t="str">
        <f t="shared" si="44"/>
        <v>Error?</v>
      </c>
    </row>
    <row r="2917" spans="1:4" x14ac:dyDescent="0.2">
      <c r="A2917" s="5">
        <v>2856</v>
      </c>
      <c r="B2917" s="138">
        <f>'Assets-Liab 5-6'!L41</f>
        <v>43102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52679</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52679</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165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165</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26701</v>
      </c>
      <c r="C3225" s="2" t="s">
        <v>573</v>
      </c>
      <c r="D3225" s="2" t="str">
        <f t="shared" si="49"/>
        <v>Error?</v>
      </c>
    </row>
    <row r="3226" spans="1:4" x14ac:dyDescent="0.2">
      <c r="A3226" s="5">
        <v>3165</v>
      </c>
      <c r="B3226" s="138">
        <f>'Acct Summary 7-8'!I8</f>
        <v>26701</v>
      </c>
      <c r="C3226" s="2" t="s">
        <v>573</v>
      </c>
      <c r="D3226" s="2" t="str">
        <f t="shared" si="49"/>
        <v>Error?</v>
      </c>
    </row>
    <row r="3227" spans="1:4" x14ac:dyDescent="0.2">
      <c r="A3227" s="5">
        <v>3166</v>
      </c>
      <c r="B3227" s="138">
        <f>'Acct Summary 7-8'!I20</f>
        <v>26701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200000</v>
      </c>
      <c r="C3232" s="2" t="s">
        <v>573</v>
      </c>
      <c r="D3232" s="2" t="str">
        <f t="shared" si="49"/>
        <v>Error?</v>
      </c>
    </row>
    <row r="3233" spans="1:4" x14ac:dyDescent="0.2">
      <c r="A3233" s="5">
        <v>3172</v>
      </c>
      <c r="B3233" s="138">
        <f>'Acct Summary 7-8'!C78</f>
        <v>-152490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694489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61920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29388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20040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200000</v>
      </c>
      <c r="C3318" s="2" t="s">
        <v>573</v>
      </c>
      <c r="D3318" s="2" t="str">
        <f t="shared" si="50"/>
        <v>Error?</v>
      </c>
    </row>
    <row r="3319" spans="1:4" x14ac:dyDescent="0.2">
      <c r="A3319" s="5">
        <v>3258</v>
      </c>
      <c r="B3319" s="138">
        <f>'Acct Summary 7-8'!I77</f>
        <v>-200000</v>
      </c>
      <c r="C3319" s="2" t="s">
        <v>573</v>
      </c>
      <c r="D3319" s="2" t="str">
        <f t="shared" si="50"/>
        <v>Error?</v>
      </c>
    </row>
    <row r="3320" spans="1:4" x14ac:dyDescent="0.2">
      <c r="A3320" s="5">
        <v>3259</v>
      </c>
      <c r="B3320" s="138">
        <f>'Acct Summary 7-8'!I78</f>
        <v>-173299</v>
      </c>
      <c r="C3320" s="2" t="s">
        <v>573</v>
      </c>
      <c r="D3320" s="2" t="str">
        <f t="shared" si="50"/>
        <v>Error?</v>
      </c>
    </row>
    <row r="3321" spans="1:4" x14ac:dyDescent="0.2">
      <c r="A3321" s="5">
        <v>3260</v>
      </c>
      <c r="B3321" s="138">
        <f>'Acct Summary 7-8'!I79</f>
        <v>1300669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1127370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1261425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148029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408035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1828598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79176</v>
      </c>
      <c r="D3387" s="2" t="str">
        <f t="shared" si="51"/>
        <v>Error?</v>
      </c>
    </row>
    <row r="3388" spans="1:4" x14ac:dyDescent="0.2">
      <c r="A3388" s="5">
        <v>3327</v>
      </c>
      <c r="B3388" s="138">
        <f>'Expenditures 15-22'!D217</f>
        <v>72404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79176</v>
      </c>
      <c r="C3390" s="2" t="s">
        <v>573</v>
      </c>
      <c r="D3390" s="2" t="str">
        <f t="shared" si="51"/>
        <v>Error?</v>
      </c>
    </row>
    <row r="3391" spans="1:4" x14ac:dyDescent="0.2">
      <c r="A3391" s="5">
        <v>3330</v>
      </c>
      <c r="B3391" s="138">
        <f>'Expenditures 15-22'!K217</f>
        <v>72404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8925721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1288902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284378</v>
      </c>
      <c r="D3417" s="2" t="str">
        <f t="shared" si="52"/>
        <v>Error?</v>
      </c>
    </row>
    <row r="3418" spans="1:4" x14ac:dyDescent="0.2">
      <c r="A3418" s="10">
        <v>3357</v>
      </c>
      <c r="D3418" s="2" t="str">
        <f t="shared" si="52"/>
        <v>OK</v>
      </c>
    </row>
    <row r="3419" spans="1:4" x14ac:dyDescent="0.2">
      <c r="A3419" s="5">
        <v>3358</v>
      </c>
      <c r="B3419" s="138">
        <f>'Assets-Liab 5-6'!F4</f>
        <v>659891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404490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1127370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43102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234038</v>
      </c>
      <c r="C3446" s="2" t="s">
        <v>573</v>
      </c>
      <c r="D3446" s="2" t="str">
        <f t="shared" si="52"/>
        <v>Error?</v>
      </c>
    </row>
    <row r="3447" spans="1:4" x14ac:dyDescent="0.2">
      <c r="A3447" s="5">
        <v>3386</v>
      </c>
      <c r="B3447" s="138">
        <f>'Tax Sched 23'!D16</f>
        <v>98774</v>
      </c>
      <c r="C3447" s="2" t="s">
        <v>573</v>
      </c>
      <c r="D3447" s="2" t="str">
        <f t="shared" si="52"/>
        <v>Error?</v>
      </c>
    </row>
    <row r="3448" spans="1:4" x14ac:dyDescent="0.2">
      <c r="A3448" s="5">
        <v>3387</v>
      </c>
      <c r="B3448" s="138">
        <f>'Tax Sched 23'!C16</f>
        <v>135264</v>
      </c>
      <c r="D3448" s="2" t="str">
        <f t="shared" si="52"/>
        <v>Error?</v>
      </c>
    </row>
    <row r="3449" spans="1:4" x14ac:dyDescent="0.2">
      <c r="A3449" s="5">
        <v>3388</v>
      </c>
      <c r="B3449" s="138">
        <f>'Tax Sched 23'!F16</f>
        <v>126691</v>
      </c>
      <c r="C3449" s="2" t="s">
        <v>573</v>
      </c>
      <c r="D3449" s="2" t="str">
        <f t="shared" si="52"/>
        <v>Error?</v>
      </c>
    </row>
    <row r="3450" spans="1:4" x14ac:dyDescent="0.2">
      <c r="A3450" s="5">
        <v>3389</v>
      </c>
      <c r="B3450" s="138">
        <f>'Tax Sched 23'!E16</f>
        <v>261955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66521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66521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66521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66521</v>
      </c>
      <c r="C3568" s="2" t="s">
        <v>573</v>
      </c>
      <c r="D3568" s="2" t="str">
        <f t="shared" si="54"/>
        <v>Error?</v>
      </c>
    </row>
    <row r="3569" spans="1:4" x14ac:dyDescent="0.2">
      <c r="A3569" s="5">
        <v>3508</v>
      </c>
      <c r="B3569" s="138">
        <f>'Acct Summary 7-8'!K4</f>
        <v>1338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1338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1338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1338</v>
      </c>
      <c r="C3588" s="2" t="s">
        <v>573</v>
      </c>
      <c r="D3588" s="2" t="str">
        <f t="shared" si="55"/>
        <v>Error?</v>
      </c>
    </row>
    <row r="3589" spans="1:4" x14ac:dyDescent="0.2">
      <c r="A3589" s="5">
        <v>3528</v>
      </c>
      <c r="B3589" s="138">
        <f>'Acct Summary 7-8'!K79</f>
        <v>65183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66521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1338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103621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4895289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15487120</v>
      </c>
      <c r="C4122" s="2" t="s">
        <v>573</v>
      </c>
      <c r="D4122" s="2" t="str">
        <f t="shared" si="63"/>
        <v>Error?</v>
      </c>
    </row>
    <row r="4123" spans="1:4" x14ac:dyDescent="0.2">
      <c r="A4123" s="5">
        <v>4062</v>
      </c>
      <c r="B4123" s="138">
        <f>'Acct Summary 7-8'!D10</f>
        <v>2089188</v>
      </c>
      <c r="C4123" s="2" t="s">
        <v>573</v>
      </c>
      <c r="D4123" s="2" t="str">
        <f t="shared" si="63"/>
        <v>Error?</v>
      </c>
    </row>
    <row r="4124" spans="1:4" x14ac:dyDescent="0.2">
      <c r="A4124" s="5">
        <v>4063</v>
      </c>
      <c r="B4124" s="138">
        <f>'Acct Summary 7-8'!E10</f>
        <v>645328</v>
      </c>
      <c r="C4124" s="2" t="s">
        <v>573</v>
      </c>
      <c r="D4124" s="2" t="str">
        <f t="shared" si="63"/>
        <v>Error?</v>
      </c>
    </row>
    <row r="4125" spans="1:4" x14ac:dyDescent="0.2">
      <c r="A4125" s="5">
        <v>4064</v>
      </c>
      <c r="B4125" s="138">
        <f>'Acct Summary 7-8'!F10</f>
        <v>217840</v>
      </c>
      <c r="C4125" s="2" t="s">
        <v>573</v>
      </c>
      <c r="D4125" s="2" t="str">
        <f t="shared" si="63"/>
        <v>Error?</v>
      </c>
    </row>
    <row r="4126" spans="1:4" x14ac:dyDescent="0.2">
      <c r="A4126" s="5">
        <v>4065</v>
      </c>
      <c r="B4126" s="138">
        <f>'Acct Summary 7-8'!G10</f>
        <v>339513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26701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1338</v>
      </c>
      <c r="C4130" s="2" t="s">
        <v>573</v>
      </c>
      <c r="D4130" s="2" t="str">
        <f t="shared" si="63"/>
        <v>Error?</v>
      </c>
    </row>
    <row r="4131" spans="1:4" x14ac:dyDescent="0.2">
      <c r="A4131" s="5">
        <v>4070</v>
      </c>
      <c r="B4131" s="138">
        <f>'Acct Summary 7-8'!C18</f>
        <v>4895289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15839610</v>
      </c>
      <c r="C4136" s="2" t="s">
        <v>573</v>
      </c>
      <c r="D4136" s="2" t="str">
        <f t="shared" si="63"/>
        <v>Error?</v>
      </c>
    </row>
    <row r="4137" spans="1:4" x14ac:dyDescent="0.2">
      <c r="A4137" s="5">
        <v>4076</v>
      </c>
      <c r="B4137" s="138">
        <f>'Acct Summary 7-8'!D19</f>
        <v>1394699</v>
      </c>
      <c r="C4137" s="2" t="s">
        <v>573</v>
      </c>
      <c r="D4137" s="2" t="str">
        <f t="shared" si="63"/>
        <v>Error?</v>
      </c>
    </row>
    <row r="4138" spans="1:4" x14ac:dyDescent="0.2">
      <c r="A4138" s="5">
        <v>4077</v>
      </c>
      <c r="B4138" s="138">
        <f>'Acct Summary 7-8'!E19</f>
        <v>625288</v>
      </c>
      <c r="C4138" s="2" t="s">
        <v>573</v>
      </c>
      <c r="D4138" s="2" t="str">
        <f t="shared" si="63"/>
        <v>Error?</v>
      </c>
    </row>
    <row r="4139" spans="1:4" x14ac:dyDescent="0.2">
      <c r="A4139" s="5">
        <v>4078</v>
      </c>
      <c r="B4139" s="138">
        <f>'Acct Summary 7-8'!F19</f>
        <v>155920</v>
      </c>
      <c r="C4139" s="2" t="s">
        <v>573</v>
      </c>
      <c r="D4139" s="2" t="str">
        <f t="shared" si="63"/>
        <v>Error?</v>
      </c>
    </row>
    <row r="4140" spans="1:4" x14ac:dyDescent="0.2">
      <c r="A4140" s="5">
        <v>4079</v>
      </c>
      <c r="B4140" s="138">
        <f>'Acct Summary 7-8'!G19</f>
        <v>310125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650000</v>
      </c>
      <c r="C4171" s="2" t="s">
        <v>573</v>
      </c>
      <c r="D4171" s="2" t="str">
        <f t="shared" si="64"/>
        <v>Error?</v>
      </c>
    </row>
    <row r="4172" spans="1:4" x14ac:dyDescent="0.2">
      <c r="A4172" s="5">
        <v>4111</v>
      </c>
      <c r="B4172" s="138">
        <f>'Short-Term Long-Term Debt 24'!J49</f>
        <v>650000</v>
      </c>
      <c r="C4172" s="2" t="s">
        <v>573</v>
      </c>
      <c r="D4172" s="2" t="str">
        <f t="shared" si="64"/>
        <v>Error?</v>
      </c>
    </row>
    <row r="4173" spans="1:4" x14ac:dyDescent="0.2">
      <c r="A4173" s="5">
        <v>4112</v>
      </c>
      <c r="B4173" s="138">
        <f>'Short-Term Long-Term Debt 24'!H49</f>
        <v>580000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2120.1999999999998</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39.199999999999996</v>
      </c>
      <c r="C4267" s="2" t="s">
        <v>573</v>
      </c>
      <c r="D4267" s="2" t="str">
        <f t="shared" si="65"/>
        <v>Error?</v>
      </c>
      <c r="E4267" s="128"/>
    </row>
    <row r="4268" spans="1:5" x14ac:dyDescent="0.2">
      <c r="A4268" s="12">
        <v>4207</v>
      </c>
      <c r="B4268" s="138">
        <f>('FP Info 3'!J10)*100000</f>
        <v>2709</v>
      </c>
      <c r="C4268" s="2" t="s">
        <v>573</v>
      </c>
      <c r="D4268" s="2" t="str">
        <f t="shared" si="65"/>
        <v>Error?</v>
      </c>
    </row>
    <row r="4269" spans="1:5" x14ac:dyDescent="0.2">
      <c r="A4269" s="12">
        <v>4208</v>
      </c>
      <c r="B4269" s="138">
        <f>'FP Info 3'!J16</f>
        <v>11524692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22990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418191211</v>
      </c>
      <c r="D4995" s="2" t="str">
        <f t="shared" si="77"/>
        <v>Error?</v>
      </c>
    </row>
    <row r="4996" spans="1:4" x14ac:dyDescent="0.2">
      <c r="A4996" s="12">
        <v>4935</v>
      </c>
      <c r="B4996" s="138">
        <f>'FP Info 3'!H31</f>
        <v>28855193.559000004</v>
      </c>
      <c r="D4996" s="2" t="str">
        <f t="shared" si="77"/>
        <v>Error?</v>
      </c>
    </row>
    <row r="4997" spans="1:4" x14ac:dyDescent="0.2">
      <c r="A4997" s="12">
        <v>4936</v>
      </c>
      <c r="B4997" s="138">
        <f>'FP Info 3'!H37</f>
        <v>650000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8809182</v>
      </c>
      <c r="D5061" s="2" t="str">
        <f t="shared" si="78"/>
        <v>Error?</v>
      </c>
    </row>
    <row r="5062" spans="1:4" x14ac:dyDescent="0.2">
      <c r="A5062" s="10">
        <v>5001</v>
      </c>
      <c r="D5062" s="2" t="str">
        <f t="shared" si="78"/>
        <v>OK</v>
      </c>
    </row>
    <row r="5063" spans="1:4" x14ac:dyDescent="0.2">
      <c r="A5063" s="5">
        <v>5002</v>
      </c>
      <c r="B5063" s="138">
        <f>'Revenues 9-14'!C7</f>
        <v>399160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9208342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53852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53852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43305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43305</v>
      </c>
      <c r="C5087" s="2" t="s">
        <v>573</v>
      </c>
      <c r="D5087" s="2" t="str">
        <f t="shared" si="78"/>
        <v>Error?</v>
      </c>
    </row>
    <row r="5088" spans="1:4" x14ac:dyDescent="0.2">
      <c r="A5088" s="5">
        <v>5027</v>
      </c>
      <c r="B5088" s="138">
        <f>'Revenues 9-14'!C65</f>
        <v>215060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215060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7563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1716</v>
      </c>
      <c r="D5101" s="2" t="str">
        <f t="shared" si="78"/>
        <v>Error?</v>
      </c>
    </row>
    <row r="5102" spans="1:4" x14ac:dyDescent="0.2">
      <c r="A5102" s="5">
        <v>5041</v>
      </c>
      <c r="B5102" s="138">
        <f>'Revenues 9-14'!C82</f>
        <v>5496</v>
      </c>
      <c r="C5102" s="2" t="s">
        <v>573</v>
      </c>
      <c r="D5102" s="2" t="str">
        <f t="shared" si="78"/>
        <v>Error?</v>
      </c>
    </row>
    <row r="5103" spans="1:4" x14ac:dyDescent="0.2">
      <c r="A5103" s="5">
        <v>5042</v>
      </c>
      <c r="B5103" s="138">
        <f>'Revenues 9-14'!C84</f>
        <v>138706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138706</v>
      </c>
      <c r="C5112" s="2" t="s">
        <v>573</v>
      </c>
      <c r="D5112" s="2" t="str">
        <f t="shared" si="78"/>
        <v>Error?</v>
      </c>
    </row>
    <row r="5113" spans="1:4" x14ac:dyDescent="0.2">
      <c r="A5113" s="5">
        <v>5052</v>
      </c>
      <c r="B5113" s="138">
        <f>'Revenues 9-14'!C95</f>
        <v>59992</v>
      </c>
      <c r="D5113" s="2" t="str">
        <f t="shared" si="78"/>
        <v>Error?</v>
      </c>
    </row>
    <row r="5114" spans="1:4" x14ac:dyDescent="0.2">
      <c r="A5114" s="5">
        <v>5053</v>
      </c>
      <c r="B5114" s="138">
        <f>'Revenues 9-14'!C96</f>
        <v>89057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624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49670</v>
      </c>
      <c r="D5119" s="2" t="str">
        <f t="shared" ref="D5119:D5182" si="79">IF(ISBLANK(B5119),"OK",IF(A5119-B5119=0,"OK","Error?"))</f>
        <v>Error?</v>
      </c>
    </row>
    <row r="5120" spans="1:4" x14ac:dyDescent="0.2">
      <c r="A5120" s="5">
        <v>5059</v>
      </c>
      <c r="B5120" s="138">
        <f>'Revenues 9-14'!C108</f>
        <v>199343</v>
      </c>
      <c r="C5120" s="2" t="s">
        <v>573</v>
      </c>
      <c r="D5120" s="2" t="str">
        <f t="shared" si="79"/>
        <v>Error?</v>
      </c>
    </row>
    <row r="5121" spans="1:4" x14ac:dyDescent="0.2">
      <c r="A5121" s="5">
        <v>5060</v>
      </c>
      <c r="B5121" s="138">
        <f>'Revenues 9-14'!C109</f>
        <v>9871667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570873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570873</v>
      </c>
      <c r="C5132" s="2" t="s">
        <v>573</v>
      </c>
      <c r="D5132" s="2" t="str">
        <f t="shared" si="79"/>
        <v>Error?</v>
      </c>
    </row>
    <row r="5133" spans="1:4" x14ac:dyDescent="0.2">
      <c r="A5133" s="5">
        <v>5072</v>
      </c>
      <c r="B5133" s="138">
        <f>'Revenues 9-14'!C125</f>
        <v>15647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15647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15647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586520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4028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4028</v>
      </c>
      <c r="C5246" s="2" t="s">
        <v>573</v>
      </c>
      <c r="D5246" s="2" t="str">
        <f t="shared" si="80"/>
        <v>Error?</v>
      </c>
    </row>
    <row r="5247" spans="1:4" x14ac:dyDescent="0.2">
      <c r="A5247" s="5">
        <v>5186</v>
      </c>
      <c r="B5247" s="138">
        <f>'Revenues 9-14'!C200</f>
        <v>99908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99908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6718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6718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133644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133644</v>
      </c>
      <c r="C5326" s="2" t="s">
        <v>573</v>
      </c>
      <c r="D5326" s="2" t="str">
        <f t="shared" si="82"/>
        <v>Error?</v>
      </c>
    </row>
    <row r="5327" spans="1:5" x14ac:dyDescent="0.2">
      <c r="A5327" s="5">
        <v>5266</v>
      </c>
      <c r="B5327" s="138">
        <f>'Revenues 9-14'!C268</f>
        <v>10591831</v>
      </c>
      <c r="C5327" s="2" t="s">
        <v>573</v>
      </c>
      <c r="D5327" s="2" t="str">
        <f t="shared" si="82"/>
        <v>Error?</v>
      </c>
    </row>
    <row r="5328" spans="1:5" x14ac:dyDescent="0.2">
      <c r="A5328" s="5">
        <v>5267</v>
      </c>
      <c r="B5328" s="138">
        <f>'Revenues 9-14'!D5</f>
        <v>2067200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2067200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21988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21988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2089188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2089188</v>
      </c>
      <c r="C5508" s="2" t="s">
        <v>573</v>
      </c>
      <c r="D5508" s="2" t="str">
        <f t="shared" si="85"/>
        <v>Error?</v>
      </c>
    </row>
    <row r="5509" spans="1:4" x14ac:dyDescent="0.2">
      <c r="A5509" s="5">
        <v>5448</v>
      </c>
      <c r="B5509" s="138">
        <f>'Revenues 9-14'!E5</f>
        <v>637301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637301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8027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8027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645328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645328</v>
      </c>
      <c r="C5552" s="2" t="s">
        <v>573</v>
      </c>
      <c r="D5552" s="2" t="str">
        <f t="shared" si="85"/>
        <v>Error?</v>
      </c>
    </row>
    <row r="5553" spans="1:4" x14ac:dyDescent="0.2">
      <c r="A5553" s="5">
        <v>5492</v>
      </c>
      <c r="B5553" s="138">
        <f>'Revenues 9-14'!F5</f>
        <v>136450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136450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13028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149478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217</v>
      </c>
      <c r="D5615" s="2" t="str">
        <f t="shared" si="86"/>
        <v>Error?</v>
      </c>
    </row>
    <row r="5616" spans="1:4" x14ac:dyDescent="0.2">
      <c r="A5616" s="10">
        <v>5555</v>
      </c>
      <c r="D5616" s="2" t="str">
        <f t="shared" si="86"/>
        <v>OK</v>
      </c>
    </row>
    <row r="5617" spans="1:5" x14ac:dyDescent="0.2">
      <c r="A5617" s="5">
        <v>5556</v>
      </c>
      <c r="B5617" s="138">
        <f>'Revenues 9-14'!F153</f>
        <v>68145</v>
      </c>
      <c r="D5617" s="2" t="str">
        <f t="shared" si="86"/>
        <v>Error?</v>
      </c>
    </row>
    <row r="5618" spans="1:5" x14ac:dyDescent="0.2">
      <c r="A5618" s="5">
        <v>5557</v>
      </c>
      <c r="B5618" s="138">
        <f>'Revenues 9-14'!F155</f>
        <v>68362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68362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68362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217840</v>
      </c>
      <c r="C5720" s="2" t="s">
        <v>573</v>
      </c>
      <c r="D5720" s="2" t="str">
        <f t="shared" si="88"/>
        <v>Error?</v>
      </c>
    </row>
    <row r="5721" spans="1:4" x14ac:dyDescent="0.2">
      <c r="A5721" s="5">
        <v>5660</v>
      </c>
      <c r="B5721" s="138">
        <f>'Revenues 9-14'!G5</f>
        <v>95318</v>
      </c>
      <c r="D5721" s="2" t="str">
        <f t="shared" si="88"/>
        <v>Error?</v>
      </c>
    </row>
    <row r="5722" spans="1:4" x14ac:dyDescent="0.2">
      <c r="A5722" s="5">
        <v>5661</v>
      </c>
      <c r="B5722" s="138">
        <f>'Revenues 9-14'!G7</f>
        <v>0</v>
      </c>
      <c r="D5722" s="2" t="str">
        <f t="shared" si="88"/>
        <v>Error?</v>
      </c>
    </row>
    <row r="5723" spans="1:4" x14ac:dyDescent="0.2">
      <c r="A5723" s="5">
        <v>5662</v>
      </c>
      <c r="B5723" s="138">
        <f>'Revenues 9-14'!G8</f>
        <v>234038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329356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8657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8657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339513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26701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26701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26701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1338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1338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1338</v>
      </c>
      <c r="C6023" s="2" t="s">
        <v>573</v>
      </c>
      <c r="D6023" s="2" t="str">
        <f t="shared" si="93"/>
        <v>Error?</v>
      </c>
    </row>
    <row r="6024" spans="1:5" x14ac:dyDescent="0.2">
      <c r="A6024" s="5">
        <v>5963</v>
      </c>
      <c r="B6024" s="138">
        <f>'Revenues 9-14'!G109</f>
        <v>339513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26701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1338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7563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877.8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11036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16915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14940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90805</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410057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346807</v>
      </c>
      <c r="D6142" s="2" t="str">
        <f t="shared" si="94"/>
        <v>Error?</v>
      </c>
      <c r="E6142" s="2" t="s">
        <v>190</v>
      </c>
    </row>
    <row r="6143" spans="1:5" x14ac:dyDescent="0.2">
      <c r="A6143">
        <v>6082</v>
      </c>
      <c r="B6143" s="138">
        <f>'Assets-Liab 5-6'!D27</f>
        <v>82785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10945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1733</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79546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-5498</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205949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207682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202375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410057</v>
      </c>
      <c r="D6216" s="2" t="str">
        <f t="shared" si="96"/>
        <v>Error?</v>
      </c>
      <c r="E6216" s="2" t="s">
        <v>190</v>
      </c>
    </row>
    <row r="6217" spans="1:5" x14ac:dyDescent="0.2">
      <c r="A6217">
        <v>6156</v>
      </c>
      <c r="B6217" s="138">
        <f>'Assets-Liab 5-6'!J4</f>
        <v>113303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205949</v>
      </c>
      <c r="D6219" s="2" t="str">
        <f t="shared" si="96"/>
        <v>Error?</v>
      </c>
      <c r="E6219" s="2" t="s">
        <v>190</v>
      </c>
    </row>
    <row r="6220" spans="1:5" x14ac:dyDescent="0.2">
      <c r="A6220">
        <v>6159</v>
      </c>
      <c r="B6220" s="138">
        <f>'Acct Summary 7-8'!J4</f>
        <v>303956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303956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303956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219719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219719</v>
      </c>
      <c r="D6229" s="2" t="str">
        <f t="shared" si="96"/>
        <v>Error?</v>
      </c>
      <c r="E6229" s="2" t="s">
        <v>190</v>
      </c>
    </row>
    <row r="6230" spans="1:5" x14ac:dyDescent="0.2">
      <c r="A6230">
        <v>6169</v>
      </c>
      <c r="B6230" s="138">
        <f>'Acct Summary 7-8'!J20</f>
        <v>84237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84237</v>
      </c>
      <c r="D6263" s="2" t="str">
        <f t="shared" si="96"/>
        <v>Error?</v>
      </c>
      <c r="E6263" s="2" t="s">
        <v>190</v>
      </c>
    </row>
    <row r="6264" spans="1:5" x14ac:dyDescent="0.2">
      <c r="A6264">
        <v>6203</v>
      </c>
      <c r="B6264" s="138">
        <f>'Acct Summary 7-8'!J79</f>
        <v>118138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202375</v>
      </c>
      <c r="D6266" s="2" t="str">
        <f t="shared" si="96"/>
        <v>Error?</v>
      </c>
      <c r="E6266" s="2" t="s">
        <v>190</v>
      </c>
    </row>
    <row r="6267" spans="1:5" x14ac:dyDescent="0.2">
      <c r="A6267">
        <v>6206</v>
      </c>
      <c r="B6267" s="138">
        <f>'Acct Summary 7-8'!C82</f>
        <v>-152490</v>
      </c>
      <c r="D6267" s="2" t="str">
        <f t="shared" si="96"/>
        <v>Error?</v>
      </c>
      <c r="E6267" s="2" t="s">
        <v>190</v>
      </c>
    </row>
    <row r="6268" spans="1:5" x14ac:dyDescent="0.2">
      <c r="A6268">
        <v>6207</v>
      </c>
      <c r="B6268" s="138">
        <f>'Acct Summary 7-8'!D82</f>
        <v>694489</v>
      </c>
      <c r="D6268" s="2" t="str">
        <f t="shared" si="96"/>
        <v>Error?</v>
      </c>
      <c r="E6268" s="2" t="s">
        <v>190</v>
      </c>
    </row>
    <row r="6269" spans="1:5" x14ac:dyDescent="0.2">
      <c r="A6269">
        <v>6208</v>
      </c>
      <c r="B6269" s="138">
        <f>'Acct Summary 7-8'!E82</f>
        <v>20040</v>
      </c>
      <c r="D6269" s="2" t="str">
        <f t="shared" si="96"/>
        <v>Error?</v>
      </c>
      <c r="E6269" s="2" t="s">
        <v>190</v>
      </c>
    </row>
    <row r="6270" spans="1:5" x14ac:dyDescent="0.2">
      <c r="A6270">
        <v>6209</v>
      </c>
      <c r="B6270" s="138">
        <f>'Acct Summary 7-8'!F82</f>
        <v>61920</v>
      </c>
      <c r="D6270" s="2" t="str">
        <f t="shared" si="96"/>
        <v>Error?</v>
      </c>
      <c r="E6270" s="2" t="s">
        <v>190</v>
      </c>
    </row>
    <row r="6271" spans="1:5" x14ac:dyDescent="0.2">
      <c r="A6271">
        <v>6210</v>
      </c>
      <c r="B6271" s="138">
        <f>'Acct Summary 7-8'!G82</f>
        <v>29388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-173299</v>
      </c>
      <c r="D6273" s="2" t="str">
        <f t="shared" si="97"/>
        <v>Error?</v>
      </c>
      <c r="E6273" s="2" t="s">
        <v>190</v>
      </c>
    </row>
    <row r="6274" spans="1:5" x14ac:dyDescent="0.2">
      <c r="A6274">
        <v>6213</v>
      </c>
      <c r="B6274" s="138">
        <f>'Acct Summary 7-8'!J82</f>
        <v>84237</v>
      </c>
      <c r="D6274" s="2" t="str">
        <f t="shared" si="97"/>
        <v>Error?</v>
      </c>
      <c r="E6274" s="2" t="s">
        <v>190</v>
      </c>
    </row>
    <row r="6275" spans="1:5" x14ac:dyDescent="0.2">
      <c r="A6275">
        <v>6214</v>
      </c>
      <c r="B6275" s="138">
        <f>'Acct Summary 7-8'!K82</f>
        <v>1338</v>
      </c>
      <c r="D6275" s="2" t="str">
        <f t="shared" si="97"/>
        <v>Error?</v>
      </c>
      <c r="E6275" s="2" t="s">
        <v>190</v>
      </c>
    </row>
    <row r="6276" spans="1:5" x14ac:dyDescent="0.2">
      <c r="A6276">
        <v>6215</v>
      </c>
      <c r="B6276" s="138">
        <f>'Acct Summary 7-8'!C83</f>
        <v>-1.7886668268166071E-2</v>
      </c>
      <c r="D6276" s="2" t="str">
        <f t="shared" si="97"/>
        <v>Error?</v>
      </c>
      <c r="E6276" s="2" t="s">
        <v>190</v>
      </c>
    </row>
    <row r="6277" spans="1:5" x14ac:dyDescent="0.2">
      <c r="A6277">
        <v>6216</v>
      </c>
      <c r="B6277" s="138">
        <f>'Acct Summary 7-8'!D83</f>
        <v>0.57580566396129063</v>
      </c>
      <c r="D6277" s="2" t="str">
        <f t="shared" si="97"/>
        <v>Error?</v>
      </c>
      <c r="E6277" s="2" t="s">
        <v>190</v>
      </c>
    </row>
    <row r="6278" spans="1:5" x14ac:dyDescent="0.2">
      <c r="A6278">
        <v>6217</v>
      </c>
      <c r="B6278" s="138">
        <f>'Acct Summary 7-8'!E83</f>
        <v>7.0469586254914229E-2</v>
      </c>
      <c r="D6278" s="2" t="str">
        <f t="shared" si="97"/>
        <v>Error?</v>
      </c>
      <c r="E6278" s="2" t="s">
        <v>190</v>
      </c>
    </row>
    <row r="6279" spans="1:5" x14ac:dyDescent="0.2">
      <c r="A6279">
        <v>6218</v>
      </c>
      <c r="B6279" s="138">
        <f>'Acct Summary 7-8'!F83</f>
        <v>9.2992381292792345E-2</v>
      </c>
      <c r="D6279" s="2" t="str">
        <f t="shared" si="97"/>
        <v>Error?</v>
      </c>
      <c r="E6279" s="2" t="s">
        <v>190</v>
      </c>
    </row>
    <row r="6280" spans="1:5" x14ac:dyDescent="0.2">
      <c r="A6280">
        <v>6219</v>
      </c>
      <c r="B6280" s="138">
        <f>'Acct Summary 7-8'!G83</f>
        <v>7.1680146736002023E-2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-0.15371971934679829</v>
      </c>
      <c r="D6282" s="2" t="str">
        <f t="shared" si="97"/>
        <v>Error?</v>
      </c>
      <c r="E6282" s="2" t="s">
        <v>190</v>
      </c>
    </row>
    <row r="6283" spans="1:5" x14ac:dyDescent="0.2">
      <c r="A6283">
        <v>6222</v>
      </c>
      <c r="B6283" s="138">
        <f>'Acct Summary 7-8'!J83</f>
        <v>0.41624212476837552</v>
      </c>
      <c r="D6283" s="2" t="str">
        <f t="shared" si="97"/>
        <v>Error?</v>
      </c>
      <c r="E6283" s="2" t="s">
        <v>190</v>
      </c>
    </row>
    <row r="6284" spans="1:5" x14ac:dyDescent="0.2">
      <c r="A6284">
        <v>6223</v>
      </c>
      <c r="B6284" s="138">
        <f>'Acct Summary 7-8'!K83</f>
        <v>2.0113948978518061E-2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301357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301357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2599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2599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303956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138237</v>
      </c>
      <c r="D6844" s="2" t="str">
        <f t="shared" si="105"/>
        <v>Error?</v>
      </c>
    </row>
    <row r="6845" spans="1:5" x14ac:dyDescent="0.2">
      <c r="A6845">
        <v>6784</v>
      </c>
      <c r="B6845" s="138">
        <f>'Expenditures 15-22'!J5</f>
        <v>10657</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6020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181</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212365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72734</v>
      </c>
      <c r="D6880" s="2" t="str">
        <f t="shared" si="106"/>
        <v>Error?</v>
      </c>
    </row>
    <row r="6881" spans="1:4" x14ac:dyDescent="0.2">
      <c r="A6881">
        <v>6820</v>
      </c>
      <c r="B6881" s="138">
        <f>'Expenditures 15-22'!K22</f>
        <v>72734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144438</v>
      </c>
      <c r="D6902" s="2" t="str">
        <f t="shared" si="106"/>
        <v>Error?</v>
      </c>
    </row>
    <row r="6903" spans="1:4" x14ac:dyDescent="0.2">
      <c r="A6903">
        <v>6842</v>
      </c>
      <c r="B6903" s="138">
        <f>'Expenditures 15-22'!J33</f>
        <v>10657</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411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411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262915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262915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263326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74509</v>
      </c>
      <c r="D6983" s="2" t="str">
        <f t="shared" si="108"/>
        <v>Error?</v>
      </c>
    </row>
    <row r="6984" spans="1:4" x14ac:dyDescent="0.2">
      <c r="A6984">
        <v>6923</v>
      </c>
      <c r="B6984" s="138">
        <f>'Expenditures 15-22'!K86</f>
        <v>74509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74509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407764</v>
      </c>
      <c r="D7020" s="2" t="str">
        <f t="shared" si="108"/>
        <v>Error?</v>
      </c>
    </row>
    <row r="7021" spans="1:4" x14ac:dyDescent="0.2">
      <c r="A7021">
        <v>6960</v>
      </c>
      <c r="B7021" s="138">
        <f>'Expenditures 15-22'!J114</f>
        <v>10657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215042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215042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215042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219719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215042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303956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10005</v>
      </c>
      <c r="D7075" s="2" t="str">
        <f t="shared" si="109"/>
        <v>Error?</v>
      </c>
    </row>
    <row r="7076" spans="1:4" x14ac:dyDescent="0.2">
      <c r="A7076">
        <v>7015</v>
      </c>
      <c r="B7076" s="138">
        <f>'Expenditures 15-22'!K218</f>
        <v>10005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5842</v>
      </c>
      <c r="D7093" s="2" t="str">
        <f t="shared" si="109"/>
        <v>Error?</v>
      </c>
    </row>
    <row r="7094" spans="1:4" x14ac:dyDescent="0.2">
      <c r="A7094">
        <v>7033</v>
      </c>
      <c r="B7094" s="138">
        <f>'Expenditures 15-22'!K254</f>
        <v>5842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102710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102710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776</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776</v>
      </c>
      <c r="D7171" s="2" t="str">
        <f t="shared" si="111"/>
        <v>Error?</v>
      </c>
    </row>
    <row r="7172" spans="1:4" x14ac:dyDescent="0.2">
      <c r="A7172">
        <v>7111</v>
      </c>
      <c r="B7172" s="138">
        <f>'Expenditures 15-22'!C325</f>
        <v>81986</v>
      </c>
      <c r="D7172" s="2" t="str">
        <f t="shared" si="111"/>
        <v>Error?</v>
      </c>
    </row>
    <row r="7173" spans="1:4" x14ac:dyDescent="0.2">
      <c r="A7173">
        <v>7112</v>
      </c>
      <c r="B7173" s="138">
        <f>'Expenditures 15-22'!D325</f>
        <v>8574</v>
      </c>
      <c r="D7173" s="2" t="str">
        <f t="shared" si="111"/>
        <v>Error?</v>
      </c>
    </row>
    <row r="7174" spans="1:4" x14ac:dyDescent="0.2">
      <c r="A7174">
        <v>7113</v>
      </c>
      <c r="B7174" s="138">
        <f>'Expenditures 15-22'!E325</f>
        <v>140</v>
      </c>
      <c r="D7174" s="2" t="str">
        <f t="shared" si="111"/>
        <v>Error?</v>
      </c>
    </row>
    <row r="7175" spans="1:4" x14ac:dyDescent="0.2">
      <c r="A7175">
        <v>7114</v>
      </c>
      <c r="B7175" s="138">
        <f>'Expenditures 15-22'!F325</f>
        <v>3348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94048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22185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22185</v>
      </c>
      <c r="D7198" s="2" t="str">
        <f t="shared" si="111"/>
        <v>Error?</v>
      </c>
    </row>
    <row r="7199" spans="1:4" x14ac:dyDescent="0.2">
      <c r="A7199">
        <v>7138</v>
      </c>
      <c r="B7199" s="138">
        <f>'Expenditures 15-22'!C330</f>
        <v>81986</v>
      </c>
      <c r="D7199" s="2" t="str">
        <f t="shared" si="111"/>
        <v>Error?</v>
      </c>
    </row>
    <row r="7200" spans="1:4" x14ac:dyDescent="0.2">
      <c r="A7200">
        <v>7139</v>
      </c>
      <c r="B7200" s="138">
        <f>'Expenditures 15-22'!D330</f>
        <v>8574</v>
      </c>
      <c r="D7200" s="2" t="str">
        <f t="shared" si="111"/>
        <v>Error?</v>
      </c>
    </row>
    <row r="7201" spans="1:4" x14ac:dyDescent="0.2">
      <c r="A7201">
        <v>7140</v>
      </c>
      <c r="B7201" s="138">
        <f>'Expenditures 15-22'!E330</f>
        <v>125811</v>
      </c>
      <c r="D7201" s="2" t="str">
        <f t="shared" si="111"/>
        <v>Error?</v>
      </c>
    </row>
    <row r="7202" spans="1:4" x14ac:dyDescent="0.2">
      <c r="A7202">
        <v>7141</v>
      </c>
      <c r="B7202" s="138">
        <f>'Expenditures 15-22'!F330</f>
        <v>3348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219719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81986</v>
      </c>
      <c r="D7216" s="2" t="str">
        <f t="shared" si="111"/>
        <v>Error?</v>
      </c>
    </row>
    <row r="7217" spans="1:4" x14ac:dyDescent="0.2">
      <c r="A7217">
        <v>7156</v>
      </c>
      <c r="B7217" s="138">
        <f>'Expenditures 15-22'!D342</f>
        <v>8574</v>
      </c>
      <c r="D7217" s="2" t="str">
        <f t="shared" si="111"/>
        <v>Error?</v>
      </c>
    </row>
    <row r="7218" spans="1:4" x14ac:dyDescent="0.2">
      <c r="A7218">
        <v>7157</v>
      </c>
      <c r="B7218" s="138">
        <f>'Expenditures 15-22'!E342</f>
        <v>125811</v>
      </c>
      <c r="D7218" s="2" t="str">
        <f t="shared" si="111"/>
        <v>Error?</v>
      </c>
    </row>
    <row r="7219" spans="1:4" x14ac:dyDescent="0.2">
      <c r="A7219">
        <v>7158</v>
      </c>
      <c r="B7219" s="138">
        <f>'Expenditures 15-22'!F342</f>
        <v>3348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219719</v>
      </c>
      <c r="D7224" s="2" t="str">
        <f t="shared" si="111"/>
        <v>Error?</v>
      </c>
    </row>
    <row r="7225" spans="1:4" x14ac:dyDescent="0.2">
      <c r="A7225">
        <v>7164</v>
      </c>
      <c r="B7225" s="138">
        <f>'Expenditures 15-22'!K343</f>
        <v>84237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174685</v>
      </c>
      <c r="D7251" s="2" t="str">
        <f t="shared" si="112"/>
        <v>Error?</v>
      </c>
    </row>
    <row r="7252" spans="1:4" x14ac:dyDescent="0.2">
      <c r="A7252">
        <f t="shared" si="113"/>
        <v>7191</v>
      </c>
      <c r="B7252" s="138">
        <f>'Expenditures 15-22'!D9</f>
        <v>19618</v>
      </c>
      <c r="D7252" s="2" t="str">
        <f t="shared" si="112"/>
        <v>Error?</v>
      </c>
    </row>
    <row r="7253" spans="1:4" x14ac:dyDescent="0.2">
      <c r="A7253">
        <f t="shared" si="113"/>
        <v>7192</v>
      </c>
      <c r="B7253" s="138">
        <f>'Expenditures 15-22'!E9</f>
        <v>15846</v>
      </c>
      <c r="D7253" s="2" t="str">
        <f t="shared" si="112"/>
        <v>Error?</v>
      </c>
    </row>
    <row r="7254" spans="1:4" x14ac:dyDescent="0.2">
      <c r="A7254">
        <f t="shared" si="113"/>
        <v>7193</v>
      </c>
      <c r="B7254" s="138">
        <f>'Expenditures 15-22'!F9</f>
        <v>2035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1574088</v>
      </c>
      <c r="D7606" s="2" t="str">
        <f t="shared" si="122"/>
        <v>Error?</v>
      </c>
      <c r="E7606" s="2" t="s">
        <v>19</v>
      </c>
    </row>
    <row r="7607" spans="1:5" x14ac:dyDescent="0.2">
      <c r="A7607">
        <f t="shared" si="123"/>
        <v>7546</v>
      </c>
      <c r="B7607" s="138">
        <f>'Cap Outlay Deprec 26'!D9</f>
        <v>66738</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1640826</v>
      </c>
      <c r="D7609" s="2" t="str">
        <f t="shared" si="122"/>
        <v>Error?</v>
      </c>
      <c r="E7609" s="2" t="s">
        <v>19</v>
      </c>
    </row>
    <row r="7610" spans="1:5" x14ac:dyDescent="0.2">
      <c r="A7610">
        <f t="shared" si="123"/>
        <v>7549</v>
      </c>
      <c r="B7610" s="138">
        <f>'Cap Outlay Deprec 26'!H9</f>
        <v>1089461</v>
      </c>
      <c r="D7610" s="2" t="str">
        <f t="shared" si="122"/>
        <v>Error?</v>
      </c>
      <c r="E7610" s="2" t="s">
        <v>19</v>
      </c>
    </row>
    <row r="7611" spans="1:5" x14ac:dyDescent="0.2">
      <c r="A7611">
        <f t="shared" si="123"/>
        <v>7550</v>
      </c>
      <c r="B7611" s="138">
        <f>'Cap Outlay Deprec 26'!I9</f>
        <v>65146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1154607</v>
      </c>
      <c r="D7613" s="2" t="str">
        <f t="shared" si="122"/>
        <v>Error?</v>
      </c>
      <c r="E7613" s="2" t="s">
        <v>19</v>
      </c>
    </row>
    <row r="7614" spans="1:5" x14ac:dyDescent="0.2">
      <c r="A7614">
        <f t="shared" si="123"/>
        <v>7553</v>
      </c>
      <c r="B7614" s="138">
        <f>'Cap Outlay Deprec 26'!L9</f>
        <v>486219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622806</v>
      </c>
      <c r="D7624" s="2" t="str">
        <f t="shared" si="124"/>
        <v>Error?</v>
      </c>
      <c r="E7624" s="2" t="s">
        <v>19</v>
      </c>
    </row>
    <row r="7625" spans="1:5" x14ac:dyDescent="0.2">
      <c r="A7625">
        <f t="shared" si="123"/>
        <v>7564</v>
      </c>
      <c r="B7625" s="138">
        <f>'Cap Outlay Deprec 26'!I17</f>
        <v>62280.6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1235767.6000000001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399159</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84009</v>
      </c>
      <c r="D7759" s="2" t="str">
        <f t="shared" si="127"/>
        <v>Error?</v>
      </c>
      <c r="E7759" s="4" t="s">
        <v>1333</v>
      </c>
    </row>
    <row r="7760" spans="1:6" x14ac:dyDescent="0.2">
      <c r="A7760">
        <v>7699</v>
      </c>
      <c r="B7760" s="138">
        <f>'Aud Quest 2'!J90</f>
        <v>84009</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1545938</v>
      </c>
      <c r="D7797" s="2" t="str">
        <f t="shared" si="127"/>
        <v>Error?</v>
      </c>
      <c r="E7797" s="4" t="s">
        <v>1904</v>
      </c>
    </row>
    <row r="7798" spans="1:5" x14ac:dyDescent="0.2">
      <c r="A7798">
        <v>7737</v>
      </c>
      <c r="B7798" s="138">
        <f>'Contracts Paid in CY 29'!F141</f>
        <v>300000</v>
      </c>
      <c r="D7798" s="2" t="str">
        <f t="shared" si="127"/>
        <v>Error?</v>
      </c>
      <c r="E7798" s="4" t="s">
        <v>1904</v>
      </c>
    </row>
    <row r="7799" spans="1:5" x14ac:dyDescent="0.2">
      <c r="A7799">
        <v>7738</v>
      </c>
      <c r="B7799" s="138">
        <f>'Contracts Paid in CY 29'!G141</f>
        <v>955667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LaGrange Highlands SD 106</v>
      </c>
      <c r="B7" s="2382"/>
      <c r="C7" s="2382"/>
      <c r="D7" s="2419"/>
      <c r="E7" s="2420">
        <f>COVER!A13</f>
        <v>6016106002</v>
      </c>
      <c r="F7" s="2421"/>
      <c r="G7" s="2388">
        <f>COVER!T23</f>
        <v>65033233</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Lauterbach &amp; Amen, LLP</v>
      </c>
      <c r="H9" s="2395"/>
      <c r="I9" s="2395"/>
      <c r="J9" s="2395"/>
      <c r="K9" s="2395"/>
      <c r="L9" s="2396"/>
    </row>
    <row r="10" spans="1:29" ht="13.5" customHeight="1" x14ac:dyDescent="0.2">
      <c r="A10" s="2378" t="str">
        <f>COVER!A38</f>
        <v>Patricia Viniard</v>
      </c>
      <c r="B10" s="2379"/>
      <c r="C10" s="2379"/>
      <c r="D10" s="2379"/>
      <c r="E10" s="2379"/>
      <c r="F10" s="2380"/>
      <c r="G10" s="2394" t="str">
        <f>COVER!T17</f>
        <v>668 N. River Road</v>
      </c>
      <c r="H10" s="2407"/>
      <c r="I10" s="2407"/>
      <c r="J10" s="2407"/>
      <c r="K10" s="2407"/>
      <c r="L10" s="2408"/>
    </row>
    <row r="11" spans="1:29" ht="13.5" customHeight="1" x14ac:dyDescent="0.2">
      <c r="A11" s="1184" t="s">
        <v>1519</v>
      </c>
      <c r="B11" s="1185"/>
      <c r="C11" s="1186"/>
      <c r="D11" s="1191"/>
      <c r="E11" s="1186"/>
      <c r="F11" s="1190"/>
      <c r="G11" s="2394" t="str">
        <f>COVER!T19</f>
        <v>Naperville</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mberan@lauterbachamen.com</v>
      </c>
      <c r="J13" s="2416"/>
      <c r="K13" s="2416"/>
      <c r="L13" s="2417"/>
    </row>
    <row r="14" spans="1:29" ht="13.5" customHeight="1" x14ac:dyDescent="0.2">
      <c r="A14" s="2394" t="str">
        <f>COVER!A19</f>
        <v>1750 Plainfield Road</v>
      </c>
      <c r="B14" s="2407"/>
      <c r="C14" s="2407"/>
      <c r="D14" s="2407"/>
      <c r="E14" s="2407"/>
      <c r="F14" s="2408"/>
      <c r="G14" s="1195" t="s">
        <v>1185</v>
      </c>
      <c r="H14" s="1193"/>
      <c r="I14" s="1193"/>
      <c r="J14" s="1193"/>
      <c r="K14" s="1193"/>
      <c r="L14" s="1194"/>
    </row>
    <row r="15" spans="1:29" ht="13.5" customHeight="1" x14ac:dyDescent="0.2">
      <c r="A15" s="2394" t="str">
        <f>COVER!A21</f>
        <v>LaGrange Highlands</v>
      </c>
      <c r="B15" s="2407"/>
      <c r="C15" s="2407"/>
      <c r="D15" s="2407"/>
      <c r="E15" s="2407"/>
      <c r="F15" s="2408"/>
      <c r="G15" s="2404" t="str">
        <f>COVER!T15</f>
        <v>Matt Beran</v>
      </c>
      <c r="H15" s="2405"/>
      <c r="I15" s="2405"/>
      <c r="J15" s="2405"/>
      <c r="K15" s="2405"/>
      <c r="L15" s="2406"/>
    </row>
    <row r="16" spans="1:29" ht="12.2" customHeight="1" x14ac:dyDescent="0.2">
      <c r="A16" s="2384">
        <f>COVER!A25</f>
        <v>60525</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f>COVER!T21</f>
        <v>6303931483</v>
      </c>
      <c r="H18" s="2382"/>
      <c r="I18" s="2382"/>
      <c r="J18" s="2382"/>
      <c r="K18" s="2381">
        <f>COVER!X21</f>
        <v>6303932516</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LaGrange Highlands SD 106</v>
      </c>
      <c r="B1" s="2418"/>
      <c r="C1" s="2418"/>
      <c r="D1" s="2418"/>
    </row>
    <row r="2" spans="1:11" s="1212" customFormat="1" ht="12.75" x14ac:dyDescent="0.2">
      <c r="A2" s="2423">
        <f>'Single Audit Cover'!E7</f>
        <v>6016106002</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LaGrange Highlands SD 106</v>
      </c>
      <c r="B1" s="2426"/>
      <c r="C1" s="2426"/>
      <c r="D1" s="2426"/>
      <c r="E1" s="2426"/>
    </row>
    <row r="2" spans="1:5" x14ac:dyDescent="0.2">
      <c r="A2" s="2427">
        <f>'Single Audit Cover'!E7</f>
        <v>6016106002</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133644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133644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133644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133644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LaGrange Highlands SD 106</v>
      </c>
      <c r="C1" s="2430"/>
      <c r="D1" s="2430"/>
      <c r="E1" s="2430"/>
      <c r="F1" s="2430"/>
      <c r="G1" s="2430"/>
      <c r="H1" s="2430"/>
      <c r="I1" s="2430"/>
      <c r="J1" s="2430"/>
      <c r="K1" s="2430"/>
      <c r="L1" s="2430"/>
      <c r="M1" s="2430"/>
    </row>
    <row r="2" spans="2:14" ht="15" x14ac:dyDescent="0.2">
      <c r="B2" s="2431">
        <f>'Single Audit Cover'!E7</f>
        <v>6016106002</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LaGrange Highlands SD 106</v>
      </c>
      <c r="B1" s="2435"/>
      <c r="C1" s="2435"/>
      <c r="D1" s="2435"/>
      <c r="E1" s="2435"/>
      <c r="F1" s="2435"/>
    </row>
    <row r="2" spans="1:7" ht="13.5" customHeight="1" x14ac:dyDescent="0.2">
      <c r="A2" s="2431">
        <f>'Single Audit Cover'!E7</f>
        <v>6016106002</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101"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217</v>
      </c>
      <c r="G88" s="276">
        <v>68145</v>
      </c>
      <c r="H88" s="276">
        <v>15647</v>
      </c>
      <c r="I88" s="276"/>
      <c r="J88" s="277">
        <f>SUM(E88:I88)</f>
        <v>84009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84009</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2065</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LaGrange Highlands SD 106</v>
      </c>
      <c r="C1" s="2451"/>
      <c r="D1" s="2451"/>
      <c r="E1" s="2451"/>
      <c r="F1" s="2451"/>
      <c r="G1" s="2451"/>
      <c r="H1" s="2451"/>
      <c r="I1" s="2451"/>
      <c r="J1" s="1406"/>
    </row>
    <row r="2" spans="2:10" s="317" customFormat="1" ht="12.75" customHeight="1" x14ac:dyDescent="0.2">
      <c r="B2" s="2452">
        <f>'Single Audit Cover'!E7</f>
        <v>6016106002</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LaGrange Highlands SD 106</v>
      </c>
      <c r="C1" s="2450"/>
      <c r="D1" s="2450"/>
      <c r="E1" s="2450"/>
      <c r="F1" s="2450"/>
      <c r="G1" s="2450"/>
      <c r="H1" s="2450"/>
      <c r="I1" s="2450"/>
      <c r="J1" s="2450"/>
      <c r="K1" s="2450"/>
      <c r="L1" s="1371"/>
      <c r="M1" s="1371"/>
    </row>
    <row r="2" spans="1:13" ht="12" customHeight="1" x14ac:dyDescent="0.2">
      <c r="B2" s="2452">
        <f>'Single Audit Cover'!E7</f>
        <v>6016106002</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LaGrange Highlands SD 106</v>
      </c>
      <c r="C1" s="2477"/>
      <c r="D1" s="2477"/>
      <c r="E1" s="2477"/>
      <c r="F1" s="2477"/>
      <c r="G1" s="2477"/>
      <c r="H1" s="2477"/>
      <c r="I1" s="2477"/>
      <c r="J1" s="2477"/>
      <c r="K1" s="2477"/>
      <c r="L1" s="1449"/>
    </row>
    <row r="2" spans="1:12" ht="12.75" customHeight="1" x14ac:dyDescent="0.2">
      <c r="B2" s="2478">
        <f>'Single Audit Cover'!E7</f>
        <v>6016106002</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LaGrange Highlands SD 106</v>
      </c>
      <c r="C1" s="2450"/>
      <c r="D1" s="2450"/>
      <c r="E1" s="1469"/>
    </row>
    <row r="2" spans="2:5" s="1279" customFormat="1" ht="12.75" customHeight="1" x14ac:dyDescent="0.2">
      <c r="B2" s="2452">
        <f>'Single Audit Cover'!E7</f>
        <v>6016106002</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418191211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2.1201999999999999E-2</v>
      </c>
      <c r="E10" s="356" t="s">
        <v>1005</v>
      </c>
      <c r="F10" s="355">
        <v>5.4999999999999997E-3</v>
      </c>
      <c r="G10" s="356" t="s">
        <v>1005</v>
      </c>
      <c r="H10" s="355">
        <v>3.9199999999999999E-4</v>
      </c>
      <c r="I10" s="356" t="s">
        <v>1006</v>
      </c>
      <c r="J10" s="1732">
        <f>ROUND(D10+F10+H10,5)</f>
        <v>2.7089999999999999E-2</v>
      </c>
      <c r="K10" s="222"/>
      <c r="L10" s="355">
        <v>0</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12925560</v>
      </c>
      <c r="E16" s="356"/>
      <c r="F16" s="1733">
        <f>SUM('Acct Summary 7-8'!C17,'Acct Summary 7-8'!D17,'Acct Summary 7-8'!F17)</f>
        <v>12494940</v>
      </c>
      <c r="G16" s="356"/>
      <c r="H16" s="1733">
        <f>SUM(D16-F16)</f>
        <v>430620</v>
      </c>
      <c r="I16" s="222"/>
      <c r="J16" s="1733">
        <f>SUM('Acct Summary 7-8'!C81,'Acct Summary 7-8'!D81,'Acct Summary 7-8'!F81,'Acct Summary 7-8'!I81)</f>
        <v>11524692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28855193.559000004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LaGrange Highlands SD 106</v>
      </c>
      <c r="E7" s="391"/>
      <c r="G7" s="252"/>
      <c r="H7" s="387"/>
      <c r="I7" s="387"/>
      <c r="J7" s="387"/>
      <c r="K7" s="387"/>
      <c r="L7" s="329"/>
      <c r="M7" s="329"/>
      <c r="N7" s="329"/>
      <c r="O7" s="329"/>
      <c r="P7" s="329"/>
    </row>
    <row r="8" spans="1:18" ht="12.75" x14ac:dyDescent="0.2">
      <c r="A8" s="329"/>
      <c r="B8" s="329"/>
      <c r="C8" s="389" t="s">
        <v>1125</v>
      </c>
      <c r="D8" s="392">
        <f>COVER!A13</f>
        <v>6016106002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11524692</v>
      </c>
      <c r="I12" s="404"/>
      <c r="J12" s="404"/>
      <c r="K12" s="405">
        <f>TRUNC((H12/H13*100000),5)/100000</f>
        <v>0.89162032430000004</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12925560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12494940</v>
      </c>
      <c r="I17" s="404"/>
      <c r="J17" s="416"/>
      <c r="K17" s="405">
        <f>TRUNC((H17/H18*100000),5)/100000</f>
        <v>0.96668461550000007</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12925560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12001884</v>
      </c>
      <c r="I24" s="422"/>
      <c r="J24" s="422"/>
      <c r="K24" s="423">
        <f>TRUNC(((H24/H25*100000)/100000),2)</f>
        <v>345.79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34708.166669999999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9629479.9200899992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650000</v>
      </c>
      <c r="I32" s="420"/>
      <c r="J32" s="420"/>
      <c r="K32" s="423">
        <f>TRUNC(100-((((H32/H33*100))*100)/100),2)</f>
        <v>97.74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28855193.559000004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90" zoomScaleNormal="90" workbookViewId="0">
      <pane ySplit="2" topLeftCell="A3" activePane="bottomLeft" state="frozen"/>
      <selection pane="bottomLeft" activeCell="J28" sqref="J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8925721</v>
      </c>
      <c r="D4" s="466">
        <v>1288902</v>
      </c>
      <c r="E4" s="466">
        <v>284378</v>
      </c>
      <c r="F4" s="466">
        <v>659891</v>
      </c>
      <c r="G4" s="466">
        <v>404490</v>
      </c>
      <c r="H4" s="466"/>
      <c r="I4" s="466">
        <v>1127370</v>
      </c>
      <c r="J4" s="467">
        <v>113303</v>
      </c>
      <c r="K4" s="466">
        <v>66521</v>
      </c>
      <c r="L4" s="466">
        <v>43102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4368300</v>
      </c>
      <c r="D6" s="466">
        <v>1134994</v>
      </c>
      <c r="E6" s="466">
        <v>319280</v>
      </c>
      <c r="F6" s="466">
        <v>75973</v>
      </c>
      <c r="G6" s="471">
        <v>186812</v>
      </c>
      <c r="H6" s="471"/>
      <c r="I6" s="466"/>
      <c r="J6" s="474">
        <v>205949</v>
      </c>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11036</v>
      </c>
      <c r="D8" s="467"/>
      <c r="E8" s="467"/>
      <c r="F8" s="467">
        <v>16915</v>
      </c>
      <c r="G8" s="478"/>
      <c r="H8" s="467"/>
      <c r="I8" s="474"/>
      <c r="J8" s="474"/>
      <c r="K8" s="479"/>
      <c r="L8" s="480"/>
      <c r="M8" s="468"/>
      <c r="N8" s="469"/>
    </row>
    <row r="9" spans="1:14" ht="13.5" customHeight="1" x14ac:dyDescent="0.2">
      <c r="A9" s="473" t="s">
        <v>270</v>
      </c>
      <c r="B9" s="470">
        <v>160</v>
      </c>
      <c r="C9" s="476">
        <v>14940</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v>90805</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13319997</v>
      </c>
      <c r="D13" s="1737">
        <f t="shared" ref="D13:L13" si="0">SUM(D4:D12)</f>
        <v>2423896</v>
      </c>
      <c r="E13" s="1737">
        <f t="shared" si="0"/>
        <v>603658</v>
      </c>
      <c r="F13" s="1737">
        <f t="shared" si="0"/>
        <v>752779</v>
      </c>
      <c r="G13" s="1737">
        <f t="shared" si="0"/>
        <v>591302</v>
      </c>
      <c r="H13" s="1737">
        <f t="shared" si="0"/>
        <v>0</v>
      </c>
      <c r="I13" s="1737">
        <f t="shared" si="0"/>
        <v>1127370</v>
      </c>
      <c r="J13" s="1737">
        <f t="shared" si="0"/>
        <v>410057</v>
      </c>
      <c r="K13" s="1737">
        <f t="shared" si="0"/>
        <v>66521</v>
      </c>
      <c r="L13" s="1737">
        <f t="shared" si="0"/>
        <v>43102</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684156</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10745802</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26'!L9</f>
        <v>486219</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46458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650000</v>
      </c>
    </row>
    <row r="23" spans="1:14" ht="13.5" customHeight="1" thickBot="1" x14ac:dyDescent="0.25">
      <c r="A23" s="1736" t="s">
        <v>643</v>
      </c>
      <c r="B23" s="1741"/>
      <c r="C23" s="468"/>
      <c r="D23" s="468"/>
      <c r="E23" s="468"/>
      <c r="F23" s="468"/>
      <c r="G23" s="468"/>
      <c r="H23" s="468"/>
      <c r="I23" s="468"/>
      <c r="J23" s="468"/>
      <c r="K23" s="468"/>
      <c r="L23" s="468"/>
      <c r="M23" s="1688">
        <f>SUM(M15:M22)</f>
        <v>11962635</v>
      </c>
      <c r="N23" s="1688">
        <f>SUM(N21:N22)</f>
        <v>650000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346807</v>
      </c>
      <c r="D27" s="467">
        <v>82785</v>
      </c>
      <c r="E27" s="467"/>
      <c r="F27" s="467">
        <v>10945</v>
      </c>
      <c r="G27" s="467"/>
      <c r="H27" s="467"/>
      <c r="I27" s="467"/>
      <c r="J27" s="467">
        <v>1733</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79546</v>
      </c>
      <c r="D30" s="474"/>
      <c r="E30" s="467"/>
      <c r="F30" s="467"/>
      <c r="G30" s="467">
        <v>-5498</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4368300</v>
      </c>
      <c r="D32" s="492">
        <v>1134994</v>
      </c>
      <c r="E32" s="474">
        <v>319280</v>
      </c>
      <c r="F32" s="474">
        <v>75973</v>
      </c>
      <c r="G32" s="474">
        <v>186812</v>
      </c>
      <c r="H32" s="474"/>
      <c r="I32" s="474"/>
      <c r="J32" s="474">
        <v>205949</v>
      </c>
      <c r="K32" s="479"/>
      <c r="L32" s="468"/>
      <c r="M32" s="468"/>
      <c r="N32" s="468"/>
    </row>
    <row r="33" spans="1:14" ht="13.5" customHeight="1" x14ac:dyDescent="0.2">
      <c r="A33" s="493" t="s">
        <v>303</v>
      </c>
      <c r="B33" s="491">
        <v>493</v>
      </c>
      <c r="C33" s="467"/>
      <c r="D33" s="467"/>
      <c r="E33" s="467"/>
      <c r="F33" s="467"/>
      <c r="G33" s="467"/>
      <c r="H33" s="467"/>
      <c r="I33" s="467"/>
      <c r="J33" s="467"/>
      <c r="K33" s="467"/>
      <c r="L33" s="467">
        <v>43102</v>
      </c>
      <c r="M33" s="468"/>
      <c r="N33" s="469"/>
    </row>
    <row r="34" spans="1:14" ht="13.5" customHeight="1" thickBot="1" x14ac:dyDescent="0.25">
      <c r="A34" s="1738" t="s">
        <v>654</v>
      </c>
      <c r="B34" s="1739"/>
      <c r="C34" s="1740">
        <f>SUM(C25:C33)</f>
        <v>4794653</v>
      </c>
      <c r="D34" s="1740">
        <f t="shared" ref="D34:K34" si="1">SUM(D25:D33)</f>
        <v>1217779</v>
      </c>
      <c r="E34" s="1740">
        <f t="shared" si="1"/>
        <v>319280</v>
      </c>
      <c r="F34" s="1740">
        <f t="shared" si="1"/>
        <v>86918</v>
      </c>
      <c r="G34" s="1740">
        <f t="shared" si="1"/>
        <v>181314</v>
      </c>
      <c r="H34" s="1740">
        <f t="shared" si="1"/>
        <v>0</v>
      </c>
      <c r="I34" s="1740">
        <f t="shared" si="1"/>
        <v>0</v>
      </c>
      <c r="J34" s="1740">
        <f t="shared" si="1"/>
        <v>207682</v>
      </c>
      <c r="K34" s="1740">
        <f t="shared" si="1"/>
        <v>0</v>
      </c>
      <c r="L34" s="1721">
        <f>SUM(L33)</f>
        <v>43102</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650000</v>
      </c>
    </row>
    <row r="37" spans="1:14" ht="13.5" thickBot="1" x14ac:dyDescent="0.25">
      <c r="A37" s="1736" t="s">
        <v>653</v>
      </c>
      <c r="B37" s="1741"/>
      <c r="C37" s="477"/>
      <c r="D37" s="477"/>
      <c r="E37" s="477"/>
      <c r="F37" s="477"/>
      <c r="G37" s="477"/>
      <c r="H37" s="477"/>
      <c r="I37" s="477"/>
      <c r="J37" s="477"/>
      <c r="K37" s="477"/>
      <c r="L37" s="480"/>
      <c r="M37" s="468"/>
      <c r="N37" s="1688">
        <f>SUM(N36:N36)</f>
        <v>650000</v>
      </c>
    </row>
    <row r="38" spans="1:14" s="329" customFormat="1" ht="13.5" customHeight="1" thickTop="1" x14ac:dyDescent="0.2">
      <c r="A38" s="496" t="s">
        <v>420</v>
      </c>
      <c r="B38" s="483">
        <v>714</v>
      </c>
      <c r="C38" s="466"/>
      <c r="D38" s="466">
        <v>1206117</v>
      </c>
      <c r="E38" s="466">
        <v>284378</v>
      </c>
      <c r="F38" s="466">
        <v>665861</v>
      </c>
      <c r="G38" s="466">
        <v>409988</v>
      </c>
      <c r="H38" s="466"/>
      <c r="I38" s="466"/>
      <c r="J38" s="467">
        <v>202375</v>
      </c>
      <c r="K38" s="466">
        <v>66521</v>
      </c>
      <c r="L38" s="481"/>
      <c r="M38" s="497"/>
      <c r="N38" s="497"/>
    </row>
    <row r="39" spans="1:14" s="329" customFormat="1" ht="13.5" customHeight="1" x14ac:dyDescent="0.2">
      <c r="A39" s="496" t="s">
        <v>342</v>
      </c>
      <c r="B39" s="483">
        <v>730</v>
      </c>
      <c r="C39" s="466">
        <v>8525344</v>
      </c>
      <c r="D39" s="466"/>
      <c r="E39" s="466"/>
      <c r="F39" s="466"/>
      <c r="G39" s="466"/>
      <c r="H39" s="466"/>
      <c r="I39" s="466">
        <v>1127370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11962635</v>
      </c>
      <c r="N40" s="497"/>
    </row>
    <row r="41" spans="1:14" ht="13.5" customHeight="1" thickBot="1" x14ac:dyDescent="0.25">
      <c r="A41" s="1736" t="s">
        <v>655</v>
      </c>
      <c r="B41" s="1706"/>
      <c r="C41" s="1688">
        <f>(SUM(C34,C37,C38,C39))</f>
        <v>13319997</v>
      </c>
      <c r="D41" s="1688">
        <f t="shared" ref="D41:L41" si="2">SUM(D34,D37,D38:D39)</f>
        <v>2423896</v>
      </c>
      <c r="E41" s="1688">
        <f t="shared" si="2"/>
        <v>603658</v>
      </c>
      <c r="F41" s="1688">
        <f t="shared" si="2"/>
        <v>752779</v>
      </c>
      <c r="G41" s="1688">
        <f t="shared" si="2"/>
        <v>591302</v>
      </c>
      <c r="H41" s="1688">
        <f t="shared" si="2"/>
        <v>0</v>
      </c>
      <c r="I41" s="1688">
        <f t="shared" si="2"/>
        <v>1127370</v>
      </c>
      <c r="J41" s="1688">
        <f t="shared" si="2"/>
        <v>410057</v>
      </c>
      <c r="K41" s="1688">
        <f t="shared" si="2"/>
        <v>66521</v>
      </c>
      <c r="L41" s="1688">
        <f t="shared" si="2"/>
        <v>43102</v>
      </c>
      <c r="M41" s="1688">
        <f>SUM(M40)</f>
        <v>11962635</v>
      </c>
      <c r="N41" s="1688">
        <f>SUM(N37)</f>
        <v>650000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Normal="100" zoomScaleSheetLayoutView="100" workbookViewId="0">
      <pane ySplit="2" topLeftCell="A51" activePane="bottomLeft" state="frozen"/>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9871667</v>
      </c>
      <c r="D4" s="1742">
        <f>'Revenues 9-14'!D109</f>
        <v>2089188</v>
      </c>
      <c r="E4" s="1742">
        <f>'Revenues 9-14'!E109</f>
        <v>645328</v>
      </c>
      <c r="F4" s="1742">
        <f>'Revenues 9-14'!F109</f>
        <v>149478</v>
      </c>
      <c r="G4" s="1742">
        <f>'Revenues 9-14'!G109</f>
        <v>339513</v>
      </c>
      <c r="H4" s="1742">
        <f>'Revenues 9-14'!H109</f>
        <v>0</v>
      </c>
      <c r="I4" s="1742">
        <f>'Revenues 9-14'!I109</f>
        <v>26701</v>
      </c>
      <c r="J4" s="1742">
        <f>'Revenues 9-14'!J109</f>
        <v>303956</v>
      </c>
      <c r="K4" s="1742">
        <f>'Revenues 9-14'!K109</f>
        <v>1338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586520</v>
      </c>
      <c r="D6" s="1743">
        <f>'Revenues 9-14'!D170</f>
        <v>0</v>
      </c>
      <c r="E6" s="1743">
        <f>'Revenues 9-14'!E170</f>
        <v>0</v>
      </c>
      <c r="F6" s="1743">
        <f>'Revenues 9-14'!F170</f>
        <v>68362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133644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10591831</v>
      </c>
      <c r="D8" s="1688">
        <f t="shared" ref="D8:K8" si="0">SUM(D4:D7)</f>
        <v>2089188</v>
      </c>
      <c r="E8" s="1688">
        <f t="shared" si="0"/>
        <v>645328</v>
      </c>
      <c r="F8" s="1688">
        <f t="shared" si="0"/>
        <v>217840</v>
      </c>
      <c r="G8" s="1688">
        <f t="shared" si="0"/>
        <v>339513</v>
      </c>
      <c r="H8" s="1688">
        <f t="shared" si="0"/>
        <v>0</v>
      </c>
      <c r="I8" s="1688">
        <f t="shared" si="0"/>
        <v>26701</v>
      </c>
      <c r="J8" s="1688">
        <f t="shared" si="0"/>
        <v>303956</v>
      </c>
      <c r="K8" s="1688">
        <f t="shared" si="0"/>
        <v>1338</v>
      </c>
      <c r="L8" s="347"/>
    </row>
    <row r="9" spans="1:13" ht="15.75" thickTop="1" x14ac:dyDescent="0.2">
      <c r="A9" s="514" t="s">
        <v>1653</v>
      </c>
      <c r="B9" s="515">
        <v>3998</v>
      </c>
      <c r="C9" s="481">
        <v>4895289</v>
      </c>
      <c r="D9" s="516"/>
      <c r="E9" s="481"/>
      <c r="F9" s="481"/>
      <c r="G9" s="517"/>
      <c r="H9" s="481"/>
      <c r="I9" s="509" t="s">
        <v>1169</v>
      </c>
      <c r="J9" s="478"/>
      <c r="K9" s="481"/>
      <c r="L9" s="347"/>
    </row>
    <row r="10" spans="1:13" s="519" customFormat="1" ht="13.5" thickBot="1" x14ac:dyDescent="0.25">
      <c r="A10" s="1736" t="s">
        <v>1173</v>
      </c>
      <c r="B10" s="1709"/>
      <c r="C10" s="1688">
        <f>SUM(C8:C9)</f>
        <v>15487120</v>
      </c>
      <c r="D10" s="1688">
        <f t="shared" ref="D10:K10" si="1">SUM(D8:D9)</f>
        <v>2089188</v>
      </c>
      <c r="E10" s="1688">
        <f t="shared" si="1"/>
        <v>645328</v>
      </c>
      <c r="F10" s="1688">
        <f t="shared" si="1"/>
        <v>217840</v>
      </c>
      <c r="G10" s="1688">
        <f t="shared" si="1"/>
        <v>339513</v>
      </c>
      <c r="H10" s="1688">
        <f t="shared" si="1"/>
        <v>0</v>
      </c>
      <c r="I10" s="1688">
        <f t="shared" si="1"/>
        <v>26701</v>
      </c>
      <c r="J10" s="1688">
        <f t="shared" si="1"/>
        <v>303956</v>
      </c>
      <c r="K10" s="1688">
        <f t="shared" si="1"/>
        <v>1338</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7921388</v>
      </c>
      <c r="D12" s="520" t="s">
        <v>1169</v>
      </c>
      <c r="E12" s="468" t="s">
        <v>1169</v>
      </c>
      <c r="F12" s="468" t="s">
        <v>1169</v>
      </c>
      <c r="G12" s="1742">
        <f>'Expenditures 15-22'!K229</f>
        <v>170495</v>
      </c>
      <c r="H12" s="521"/>
      <c r="I12" s="468" t="s">
        <v>1169</v>
      </c>
      <c r="J12" s="468" t="s">
        <v>1169</v>
      </c>
      <c r="K12" s="521" t="s">
        <v>1169</v>
      </c>
      <c r="L12" s="347"/>
    </row>
    <row r="13" spans="1:13" ht="15.75" customHeight="1" x14ac:dyDescent="0.2">
      <c r="A13" s="1576" t="s">
        <v>457</v>
      </c>
      <c r="B13" s="1578">
        <v>2000</v>
      </c>
      <c r="C13" s="1743">
        <f>'Expenditures 15-22'!K74</f>
        <v>2838152</v>
      </c>
      <c r="D13" s="1743">
        <f>'Expenditures 15-22'!K129</f>
        <v>1394699</v>
      </c>
      <c r="E13" s="469" t="s">
        <v>1169</v>
      </c>
      <c r="F13" s="1743">
        <f>'Expenditures 15-22'!K184</f>
        <v>103241</v>
      </c>
      <c r="G13" s="1743">
        <f>'Expenditures 15-22'!K279</f>
        <v>139630</v>
      </c>
      <c r="H13" s="1743">
        <f>'Expenditures 15-22'!K303</f>
        <v>0</v>
      </c>
      <c r="I13" s="468" t="s">
        <v>1169</v>
      </c>
      <c r="J13" s="1743">
        <f>'Expenditures 15-22'!K330</f>
        <v>219719</v>
      </c>
      <c r="K13" s="1747">
        <f>'Expenditures 15-22'!K352</f>
        <v>0</v>
      </c>
      <c r="L13" s="347"/>
    </row>
    <row r="14" spans="1:13" ht="15.75" customHeight="1" x14ac:dyDescent="0.2">
      <c r="A14" s="1576" t="s">
        <v>449</v>
      </c>
      <c r="B14" s="1578">
        <v>3000</v>
      </c>
      <c r="C14" s="1743">
        <f>'Expenditures 15-22'!K75</f>
        <v>110272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74509</v>
      </c>
      <c r="D15" s="1743">
        <f>'Expenditures 15-22'!K139</f>
        <v>0</v>
      </c>
      <c r="E15" s="1743">
        <f>'Expenditures 15-22'!K160</f>
        <v>0</v>
      </c>
      <c r="F15" s="1743">
        <f>'Expenditures 15-22'!K196</f>
        <v>52679</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625288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10944321</v>
      </c>
      <c r="D17" s="1688">
        <f t="shared" si="2"/>
        <v>1394699</v>
      </c>
      <c r="E17" s="1688">
        <f t="shared" si="2"/>
        <v>625288</v>
      </c>
      <c r="F17" s="1688">
        <f t="shared" si="2"/>
        <v>155920</v>
      </c>
      <c r="G17" s="1688">
        <f t="shared" si="2"/>
        <v>310125</v>
      </c>
      <c r="H17" s="1688">
        <f t="shared" si="2"/>
        <v>0</v>
      </c>
      <c r="I17" s="468"/>
      <c r="J17" s="1688">
        <f>SUM(J12:J16)</f>
        <v>219719</v>
      </c>
      <c r="K17" s="1688">
        <f>SUM(K12:K16)</f>
        <v>0</v>
      </c>
      <c r="L17" s="347"/>
    </row>
    <row r="18" spans="1:12" ht="15" customHeight="1" thickTop="1" x14ac:dyDescent="0.2">
      <c r="A18" s="1744" t="s">
        <v>1654</v>
      </c>
      <c r="B18" s="1745">
        <v>4180</v>
      </c>
      <c r="C18" s="1742">
        <f t="shared" ref="C18:H18" si="3">C9</f>
        <v>4895289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15839610</v>
      </c>
      <c r="D19" s="1688">
        <f t="shared" si="4"/>
        <v>1394699</v>
      </c>
      <c r="E19" s="1688">
        <f t="shared" si="4"/>
        <v>625288</v>
      </c>
      <c r="F19" s="1688">
        <f t="shared" si="4"/>
        <v>155920</v>
      </c>
      <c r="G19" s="1688">
        <f t="shared" si="4"/>
        <v>310125</v>
      </c>
      <c r="H19" s="1688">
        <f t="shared" si="4"/>
        <v>0</v>
      </c>
      <c r="I19" s="468"/>
      <c r="J19" s="1688">
        <f>SUM(J17:J18)</f>
        <v>219719</v>
      </c>
      <c r="K19" s="1688">
        <f>SUM(K17:K18)</f>
        <v>0</v>
      </c>
      <c r="L19" s="347"/>
    </row>
    <row r="20" spans="1:12" ht="16.5" thickTop="1" thickBot="1" x14ac:dyDescent="0.25">
      <c r="A20" s="2123" t="s">
        <v>1655</v>
      </c>
      <c r="B20" s="2124"/>
      <c r="C20" s="1746">
        <f>C8-C17</f>
        <v>-352490</v>
      </c>
      <c r="D20" s="1746">
        <f t="shared" ref="D20:K20" si="5">D8-D17</f>
        <v>694489</v>
      </c>
      <c r="E20" s="1746">
        <f t="shared" si="5"/>
        <v>20040</v>
      </c>
      <c r="F20" s="1746">
        <f t="shared" si="5"/>
        <v>61920</v>
      </c>
      <c r="G20" s="1746">
        <f t="shared" si="5"/>
        <v>29388</v>
      </c>
      <c r="H20" s="1746">
        <f t="shared" si="5"/>
        <v>0</v>
      </c>
      <c r="I20" s="1746">
        <f t="shared" si="5"/>
        <v>26701</v>
      </c>
      <c r="J20" s="1746">
        <f t="shared" si="5"/>
        <v>84237</v>
      </c>
      <c r="K20" s="1746">
        <f t="shared" si="5"/>
        <v>1338</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v>200000</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200000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200000</v>
      </c>
      <c r="J76" s="1703">
        <f t="shared" si="7"/>
        <v>0</v>
      </c>
      <c r="K76" s="1703">
        <f t="shared" si="7"/>
        <v>0</v>
      </c>
      <c r="L76" s="524"/>
    </row>
    <row r="77" spans="1:12" ht="14.25" thickTop="1" thickBot="1" x14ac:dyDescent="0.25">
      <c r="A77" s="2115" t="s">
        <v>1177</v>
      </c>
      <c r="B77" s="2116"/>
      <c r="C77" s="1703">
        <f t="shared" ref="C77:K77" si="8">C44-C76</f>
        <v>200000</v>
      </c>
      <c r="D77" s="1703">
        <f t="shared" si="8"/>
        <v>0</v>
      </c>
      <c r="E77" s="1703">
        <f t="shared" si="8"/>
        <v>0</v>
      </c>
      <c r="F77" s="1703">
        <f t="shared" si="8"/>
        <v>0</v>
      </c>
      <c r="G77" s="1703">
        <f t="shared" si="8"/>
        <v>0</v>
      </c>
      <c r="H77" s="1703">
        <f t="shared" si="8"/>
        <v>0</v>
      </c>
      <c r="I77" s="1703">
        <f t="shared" si="8"/>
        <v>-200000</v>
      </c>
      <c r="J77" s="1703">
        <f t="shared" si="8"/>
        <v>0</v>
      </c>
      <c r="K77" s="1703">
        <f t="shared" si="8"/>
        <v>0</v>
      </c>
      <c r="L77" s="347"/>
    </row>
    <row r="78" spans="1:12" ht="21.75" customHeight="1" thickTop="1" thickBot="1" x14ac:dyDescent="0.25">
      <c r="A78" s="2119" t="s">
        <v>597</v>
      </c>
      <c r="B78" s="2120"/>
      <c r="C78" s="1702">
        <f t="shared" ref="C78:K78" si="9">C20+C77</f>
        <v>-152490</v>
      </c>
      <c r="D78" s="1702">
        <f t="shared" si="9"/>
        <v>694489</v>
      </c>
      <c r="E78" s="1702">
        <f t="shared" si="9"/>
        <v>20040</v>
      </c>
      <c r="F78" s="1702">
        <f t="shared" si="9"/>
        <v>61920</v>
      </c>
      <c r="G78" s="1702">
        <f t="shared" si="9"/>
        <v>29388</v>
      </c>
      <c r="H78" s="1702">
        <f t="shared" si="9"/>
        <v>0</v>
      </c>
      <c r="I78" s="1702">
        <f t="shared" si="9"/>
        <v>-173299</v>
      </c>
      <c r="J78" s="1702">
        <f t="shared" si="9"/>
        <v>84237</v>
      </c>
      <c r="K78" s="1702">
        <f t="shared" si="9"/>
        <v>1338</v>
      </c>
      <c r="L78" s="533"/>
    </row>
    <row r="79" spans="1:12" ht="13.5" thickTop="1" x14ac:dyDescent="0.2">
      <c r="A79" s="1494" t="s">
        <v>1949</v>
      </c>
      <c r="B79" s="534"/>
      <c r="C79" s="478">
        <v>8677834</v>
      </c>
      <c r="D79" s="535">
        <v>511628</v>
      </c>
      <c r="E79" s="535">
        <v>264338</v>
      </c>
      <c r="F79" s="535">
        <v>603941</v>
      </c>
      <c r="G79" s="535">
        <v>380600</v>
      </c>
      <c r="H79" s="535"/>
      <c r="I79" s="535">
        <v>1300669</v>
      </c>
      <c r="J79" s="535">
        <v>118138</v>
      </c>
      <c r="K79" s="535">
        <v>65183</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8525344</v>
      </c>
      <c r="D81" s="1688">
        <f>SUM(D78:D80)</f>
        <v>1206117</v>
      </c>
      <c r="E81" s="1688">
        <f t="shared" ref="E81:K81" si="10">SUM(E78:E80)</f>
        <v>284378</v>
      </c>
      <c r="F81" s="1688">
        <f t="shared" si="10"/>
        <v>665861</v>
      </c>
      <c r="G81" s="1688">
        <f t="shared" si="10"/>
        <v>409988</v>
      </c>
      <c r="H81" s="1688">
        <f t="shared" si="10"/>
        <v>0</v>
      </c>
      <c r="I81" s="1688">
        <f t="shared" si="10"/>
        <v>1127370</v>
      </c>
      <c r="J81" s="1688">
        <f t="shared" si="10"/>
        <v>202375</v>
      </c>
      <c r="K81" s="1688">
        <f t="shared" si="10"/>
        <v>66521</v>
      </c>
      <c r="L81" s="347"/>
    </row>
    <row r="82" spans="1:12" ht="0.75" customHeight="1" thickTop="1" thickBot="1" x14ac:dyDescent="0.25">
      <c r="A82" s="536" t="s">
        <v>343</v>
      </c>
      <c r="B82" s="537"/>
      <c r="C82" s="538">
        <f>(C81-C79)</f>
        <v>-152490</v>
      </c>
      <c r="D82" s="538">
        <f t="shared" ref="D82:K82" si="11">(D81-D79)</f>
        <v>694489</v>
      </c>
      <c r="E82" s="538">
        <f t="shared" si="11"/>
        <v>20040</v>
      </c>
      <c r="F82" s="538">
        <f t="shared" si="11"/>
        <v>61920</v>
      </c>
      <c r="G82" s="538">
        <f t="shared" si="11"/>
        <v>29388</v>
      </c>
      <c r="H82" s="538">
        <f t="shared" si="11"/>
        <v>0</v>
      </c>
      <c r="I82" s="538">
        <f t="shared" si="11"/>
        <v>-173299</v>
      </c>
      <c r="J82" s="538">
        <f t="shared" si="11"/>
        <v>84237</v>
      </c>
      <c r="K82" s="538">
        <f t="shared" si="11"/>
        <v>1338</v>
      </c>
    </row>
    <row r="83" spans="1:12" ht="14.25" hidden="1" thickTop="1" thickBot="1" x14ac:dyDescent="0.25">
      <c r="A83" s="539" t="s">
        <v>344</v>
      </c>
      <c r="B83" s="464"/>
      <c r="C83" s="540">
        <f>C82/C81</f>
        <v>-1.7886668268166071E-2</v>
      </c>
      <c r="D83" s="540">
        <f t="shared" ref="D83:K83" si="12">D82/D81</f>
        <v>0.57580566396129063</v>
      </c>
      <c r="E83" s="540">
        <f t="shared" si="12"/>
        <v>7.0469586254914229E-2</v>
      </c>
      <c r="F83" s="540">
        <f t="shared" si="12"/>
        <v>9.2992381292792345E-2</v>
      </c>
      <c r="G83" s="540">
        <f t="shared" si="12"/>
        <v>7.1680146736002023E-2</v>
      </c>
      <c r="H83" s="540" t="e">
        <f t="shared" si="12"/>
        <v>#DIV/0!</v>
      </c>
      <c r="I83" s="540">
        <f t="shared" si="12"/>
        <v>-0.15371971934679829</v>
      </c>
      <c r="J83" s="540">
        <f t="shared" si="12"/>
        <v>0.41624212476837552</v>
      </c>
      <c r="K83" s="540">
        <f t="shared" si="12"/>
        <v>2.0113948978518061E-2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234"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8809182</v>
      </c>
      <c r="D5" s="481">
        <v>2067200</v>
      </c>
      <c r="E5" s="466">
        <v>637301</v>
      </c>
      <c r="F5" s="548">
        <v>136450</v>
      </c>
      <c r="G5" s="466">
        <v>95318</v>
      </c>
      <c r="H5" s="466"/>
      <c r="I5" s="466"/>
      <c r="J5" s="467">
        <v>301357</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399160</v>
      </c>
      <c r="D7" s="466"/>
      <c r="E7" s="468"/>
      <c r="F7" s="467"/>
      <c r="G7" s="467"/>
      <c r="H7" s="467"/>
      <c r="I7" s="468"/>
      <c r="J7" s="468"/>
      <c r="K7" s="468"/>
    </row>
    <row r="8" spans="1:12" x14ac:dyDescent="0.2">
      <c r="A8" s="463" t="s">
        <v>413</v>
      </c>
      <c r="B8" s="470">
        <v>1150</v>
      </c>
      <c r="C8" s="475"/>
      <c r="D8" s="475"/>
      <c r="E8" s="477"/>
      <c r="F8" s="477"/>
      <c r="G8" s="481">
        <v>234038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9208342</v>
      </c>
      <c r="D12" s="1707">
        <f t="shared" si="0"/>
        <v>2067200</v>
      </c>
      <c r="E12" s="1707">
        <f t="shared" si="0"/>
        <v>637301</v>
      </c>
      <c r="F12" s="1707">
        <f t="shared" si="0"/>
        <v>136450</v>
      </c>
      <c r="G12" s="1707">
        <f t="shared" si="0"/>
        <v>329356</v>
      </c>
      <c r="H12" s="1707">
        <f t="shared" si="0"/>
        <v>0</v>
      </c>
      <c r="I12" s="1707">
        <f t="shared" si="0"/>
        <v>0</v>
      </c>
      <c r="J12" s="1707">
        <f t="shared" si="0"/>
        <v>301357</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53852</v>
      </c>
      <c r="D16" s="466"/>
      <c r="E16" s="466"/>
      <c r="F16" s="466"/>
      <c r="G16" s="466">
        <v>1500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53852</v>
      </c>
      <c r="D18" s="1710">
        <f t="shared" ref="D18:K18" si="1">SUM(D14:D17)</f>
        <v>0</v>
      </c>
      <c r="E18" s="1710">
        <f t="shared" si="1"/>
        <v>0</v>
      </c>
      <c r="F18" s="1710">
        <f t="shared" si="1"/>
        <v>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43305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43305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215060</v>
      </c>
      <c r="D65" s="466">
        <v>21988</v>
      </c>
      <c r="E65" s="466">
        <v>8027</v>
      </c>
      <c r="F65" s="467">
        <v>13028</v>
      </c>
      <c r="G65" s="466">
        <v>8657</v>
      </c>
      <c r="H65" s="466"/>
      <c r="I65" s="466">
        <v>26701</v>
      </c>
      <c r="J65" s="467">
        <v>2599</v>
      </c>
      <c r="K65" s="466">
        <v>1338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215060</v>
      </c>
      <c r="D67" s="1688">
        <f t="shared" ref="D67:K67" si="2">SUM(D65:D66)</f>
        <v>21988</v>
      </c>
      <c r="E67" s="1688">
        <f t="shared" si="2"/>
        <v>8027</v>
      </c>
      <c r="F67" s="1688">
        <f t="shared" si="2"/>
        <v>13028</v>
      </c>
      <c r="G67" s="1688">
        <f t="shared" si="2"/>
        <v>8657</v>
      </c>
      <c r="H67" s="1688">
        <f t="shared" si="2"/>
        <v>0</v>
      </c>
      <c r="I67" s="1688">
        <f t="shared" si="2"/>
        <v>26701</v>
      </c>
      <c r="J67" s="1688">
        <f t="shared" si="2"/>
        <v>2599</v>
      </c>
      <c r="K67" s="1688">
        <f t="shared" si="2"/>
        <v>1338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7563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7563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3780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1716</v>
      </c>
      <c r="D81" s="466"/>
      <c r="E81" s="468"/>
      <c r="F81" s="468"/>
      <c r="G81" s="468"/>
      <c r="H81" s="468"/>
      <c r="I81" s="468"/>
      <c r="J81" s="468"/>
      <c r="K81" s="468"/>
    </row>
    <row r="82" spans="1:11" ht="12.75" customHeight="1" thickBot="1" x14ac:dyDescent="0.25">
      <c r="A82" s="1708" t="s">
        <v>241</v>
      </c>
      <c r="B82" s="1709"/>
      <c r="C82" s="1707">
        <f>SUM(C77:C81)</f>
        <v>5496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138706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138706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59992</v>
      </c>
      <c r="D95" s="551"/>
      <c r="E95" s="521"/>
      <c r="F95" s="521"/>
      <c r="G95" s="521"/>
      <c r="H95" s="521"/>
      <c r="I95" s="521"/>
      <c r="J95" s="521"/>
      <c r="K95" s="521"/>
    </row>
    <row r="96" spans="1:11" ht="12.75" customHeight="1" x14ac:dyDescent="0.2">
      <c r="A96" s="463" t="s">
        <v>391</v>
      </c>
      <c r="B96" s="470">
        <v>1920</v>
      </c>
      <c r="C96" s="551">
        <v>89057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624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49670</v>
      </c>
      <c r="D107" s="466"/>
      <c r="E107" s="466"/>
      <c r="F107" s="466"/>
      <c r="G107" s="466"/>
      <c r="H107" s="466"/>
      <c r="I107" s="466"/>
      <c r="J107" s="467"/>
      <c r="K107" s="466"/>
    </row>
    <row r="108" spans="1:12" ht="12.75" customHeight="1" thickBot="1" x14ac:dyDescent="0.25">
      <c r="A108" s="1708" t="s">
        <v>487</v>
      </c>
      <c r="B108" s="1712"/>
      <c r="C108" s="1707">
        <f>SUM(C95:C107)</f>
        <v>199343</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9871667</v>
      </c>
      <c r="D109" s="1715">
        <f t="shared" si="4"/>
        <v>2089188</v>
      </c>
      <c r="E109" s="1715">
        <f t="shared" si="4"/>
        <v>645328</v>
      </c>
      <c r="F109" s="1715">
        <f t="shared" si="4"/>
        <v>149478</v>
      </c>
      <c r="G109" s="1715">
        <f t="shared" si="4"/>
        <v>339513</v>
      </c>
      <c r="H109" s="1715">
        <f t="shared" si="4"/>
        <v>0</v>
      </c>
      <c r="I109" s="1715">
        <f t="shared" si="4"/>
        <v>26701</v>
      </c>
      <c r="J109" s="1715">
        <f t="shared" si="4"/>
        <v>303956</v>
      </c>
      <c r="K109" s="1702">
        <f t="shared" si="4"/>
        <v>1338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570873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570873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15647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15647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217</v>
      </c>
      <c r="G152" s="467"/>
      <c r="H152" s="468"/>
      <c r="I152" s="468"/>
      <c r="J152" s="468"/>
      <c r="K152" s="468"/>
    </row>
    <row r="153" spans="1:11" ht="12.75" customHeight="1" x14ac:dyDescent="0.2">
      <c r="A153" s="463" t="s">
        <v>1057</v>
      </c>
      <c r="B153" s="562">
        <v>3510</v>
      </c>
      <c r="C153" s="551"/>
      <c r="D153" s="466"/>
      <c r="E153" s="561"/>
      <c r="F153" s="466">
        <v>68145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68362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15647</v>
      </c>
      <c r="D169" s="1722">
        <f t="shared" si="6"/>
        <v>0</v>
      </c>
      <c r="E169" s="1722">
        <f t="shared" si="6"/>
        <v>0</v>
      </c>
      <c r="F169" s="1722">
        <f t="shared" si="6"/>
        <v>68362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586520</v>
      </c>
      <c r="D170" s="1715">
        <f t="shared" si="7"/>
        <v>0</v>
      </c>
      <c r="E170" s="1715">
        <f t="shared" si="7"/>
        <v>0</v>
      </c>
      <c r="F170" s="1715">
        <f t="shared" si="7"/>
        <v>68362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4028</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4028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99908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99908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6718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6718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22990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133644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133644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10591831</v>
      </c>
      <c r="D268" s="1715">
        <f t="shared" si="12"/>
        <v>2089188</v>
      </c>
      <c r="E268" s="1715">
        <f t="shared" si="12"/>
        <v>645328</v>
      </c>
      <c r="F268" s="1715">
        <f t="shared" si="12"/>
        <v>217840</v>
      </c>
      <c r="G268" s="1715">
        <f t="shared" si="12"/>
        <v>339513</v>
      </c>
      <c r="H268" s="1715">
        <f t="shared" si="12"/>
        <v>0</v>
      </c>
      <c r="I268" s="1715">
        <f t="shared" si="12"/>
        <v>26701</v>
      </c>
      <c r="J268" s="1715">
        <f t="shared" si="12"/>
        <v>303956</v>
      </c>
      <c r="K268" s="1702">
        <f t="shared" si="12"/>
        <v>1338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0" activePane="bottomLeft" state="frozen"/>
      <selection pane="bottomLeft" activeCell="D61" sqref="D6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4223730</v>
      </c>
      <c r="D5" s="466">
        <v>668404</v>
      </c>
      <c r="E5" s="466">
        <v>71554</v>
      </c>
      <c r="F5" s="466">
        <v>149231</v>
      </c>
      <c r="G5" s="466"/>
      <c r="H5" s="466"/>
      <c r="I5" s="467">
        <v>138237</v>
      </c>
      <c r="J5" s="467">
        <v>10657</v>
      </c>
      <c r="K5" s="1671">
        <f>SUM(C5:J5)</f>
        <v>5261813</v>
      </c>
      <c r="L5" s="466">
        <v>5479165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1261425</v>
      </c>
      <c r="D8" s="466">
        <v>148029</v>
      </c>
      <c r="E8" s="466">
        <v>408035</v>
      </c>
      <c r="F8" s="466">
        <v>5089</v>
      </c>
      <c r="G8" s="466"/>
      <c r="H8" s="466"/>
      <c r="I8" s="467">
        <v>6020</v>
      </c>
      <c r="J8" s="467"/>
      <c r="K8" s="1671">
        <f t="shared" si="0"/>
        <v>1828598</v>
      </c>
      <c r="L8" s="466">
        <v>1860972</v>
      </c>
    </row>
    <row r="9" spans="1:14" x14ac:dyDescent="0.2">
      <c r="A9" s="1504" t="s">
        <v>721</v>
      </c>
      <c r="B9" s="614" t="s">
        <v>968</v>
      </c>
      <c r="C9" s="467">
        <v>174685</v>
      </c>
      <c r="D9" s="467">
        <v>19618</v>
      </c>
      <c r="E9" s="467">
        <v>15846</v>
      </c>
      <c r="F9" s="467">
        <v>2035</v>
      </c>
      <c r="G9" s="467"/>
      <c r="H9" s="467"/>
      <c r="I9" s="467">
        <v>181</v>
      </c>
      <c r="J9" s="467"/>
      <c r="K9" s="1671">
        <f t="shared" si="0"/>
        <v>212365</v>
      </c>
      <c r="L9" s="466">
        <v>227379</v>
      </c>
    </row>
    <row r="10" spans="1:14" x14ac:dyDescent="0.2">
      <c r="A10" s="1504" t="s">
        <v>722</v>
      </c>
      <c r="B10" s="614">
        <v>1250</v>
      </c>
      <c r="C10" s="466"/>
      <c r="D10" s="466">
        <v>165</v>
      </c>
      <c r="E10" s="466"/>
      <c r="F10" s="466"/>
      <c r="G10" s="466"/>
      <c r="H10" s="466"/>
      <c r="I10" s="467"/>
      <c r="J10" s="467"/>
      <c r="K10" s="1671">
        <f t="shared" si="0"/>
        <v>165</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214533</v>
      </c>
      <c r="D14" s="466">
        <v>20699</v>
      </c>
      <c r="E14" s="466">
        <v>7739</v>
      </c>
      <c r="F14" s="466">
        <v>11563</v>
      </c>
      <c r="G14" s="466">
        <v>1283</v>
      </c>
      <c r="H14" s="466">
        <v>1440</v>
      </c>
      <c r="I14" s="467"/>
      <c r="J14" s="467"/>
      <c r="K14" s="1671">
        <f t="shared" si="0"/>
        <v>257257</v>
      </c>
      <c r="L14" s="466">
        <v>245388</v>
      </c>
    </row>
    <row r="15" spans="1:14" x14ac:dyDescent="0.2">
      <c r="A15" s="1504" t="s">
        <v>964</v>
      </c>
      <c r="B15" s="614">
        <v>1600</v>
      </c>
      <c r="C15" s="466">
        <v>89554</v>
      </c>
      <c r="D15" s="466">
        <v>1167</v>
      </c>
      <c r="E15" s="466">
        <v>1250</v>
      </c>
      <c r="F15" s="466">
        <v>2771</v>
      </c>
      <c r="G15" s="466"/>
      <c r="H15" s="466"/>
      <c r="I15" s="467"/>
      <c r="J15" s="467"/>
      <c r="K15" s="1671">
        <f t="shared" si="0"/>
        <v>94742</v>
      </c>
      <c r="L15" s="466">
        <v>4500</v>
      </c>
    </row>
    <row r="16" spans="1:14" x14ac:dyDescent="0.2">
      <c r="A16" s="1504" t="s">
        <v>987</v>
      </c>
      <c r="B16" s="614" t="s">
        <v>424</v>
      </c>
      <c r="C16" s="466">
        <v>174429</v>
      </c>
      <c r="D16" s="466">
        <v>19285</v>
      </c>
      <c r="E16" s="466"/>
      <c r="F16" s="466"/>
      <c r="G16" s="466"/>
      <c r="H16" s="466"/>
      <c r="I16" s="467"/>
      <c r="J16" s="467"/>
      <c r="K16" s="1671">
        <f t="shared" si="0"/>
        <v>193714</v>
      </c>
      <c r="L16" s="466">
        <v>196440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72734</v>
      </c>
      <c r="I22" s="616"/>
      <c r="J22" s="477"/>
      <c r="K22" s="1671">
        <f t="shared" si="0"/>
        <v>72734</v>
      </c>
      <c r="L22" s="471">
        <v>175000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6138356</v>
      </c>
      <c r="D33" s="1670">
        <f t="shared" ref="D33:L33" si="1">SUM(D5:D32)</f>
        <v>877367</v>
      </c>
      <c r="E33" s="1670">
        <f t="shared" si="1"/>
        <v>504424</v>
      </c>
      <c r="F33" s="1670">
        <f t="shared" si="1"/>
        <v>170689</v>
      </c>
      <c r="G33" s="1670">
        <f t="shared" si="1"/>
        <v>1283</v>
      </c>
      <c r="H33" s="1670">
        <f t="shared" si="1"/>
        <v>74174</v>
      </c>
      <c r="I33" s="1670">
        <f t="shared" si="1"/>
        <v>144438</v>
      </c>
      <c r="J33" s="1670">
        <f t="shared" si="1"/>
        <v>10657</v>
      </c>
      <c r="K33" s="1670">
        <f t="shared" si="1"/>
        <v>7921388</v>
      </c>
      <c r="L33" s="1670">
        <f t="shared" si="1"/>
        <v>8188844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180510</v>
      </c>
      <c r="D36" s="481">
        <v>39890</v>
      </c>
      <c r="E36" s="481">
        <v>320</v>
      </c>
      <c r="F36" s="481">
        <v>550</v>
      </c>
      <c r="G36" s="481"/>
      <c r="H36" s="481"/>
      <c r="I36" s="467"/>
      <c r="J36" s="467"/>
      <c r="K36" s="1671">
        <f t="shared" ref="K36:K41" si="2">SUM(C36:J36)</f>
        <v>221270</v>
      </c>
      <c r="L36" s="466">
        <v>281917</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87401</v>
      </c>
      <c r="D38" s="466">
        <v>18509</v>
      </c>
      <c r="E38" s="466">
        <v>565</v>
      </c>
      <c r="F38" s="466">
        <v>1374</v>
      </c>
      <c r="G38" s="466"/>
      <c r="H38" s="466"/>
      <c r="I38" s="467">
        <v>411</v>
      </c>
      <c r="J38" s="467"/>
      <c r="K38" s="1671">
        <f t="shared" si="2"/>
        <v>108260</v>
      </c>
      <c r="L38" s="466">
        <v>111513</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228782</v>
      </c>
      <c r="D40" s="466">
        <v>21851</v>
      </c>
      <c r="E40" s="466">
        <v>555</v>
      </c>
      <c r="F40" s="466">
        <v>364</v>
      </c>
      <c r="G40" s="466"/>
      <c r="H40" s="466"/>
      <c r="I40" s="467"/>
      <c r="J40" s="467"/>
      <c r="K40" s="1671">
        <f t="shared" si="2"/>
        <v>251552</v>
      </c>
      <c r="L40" s="466">
        <v>250141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496693</v>
      </c>
      <c r="D42" s="1670">
        <f t="shared" ref="D42:L42" si="3">SUM(D36:D41)</f>
        <v>80250</v>
      </c>
      <c r="E42" s="1670">
        <f t="shared" si="3"/>
        <v>1440</v>
      </c>
      <c r="F42" s="1670">
        <f t="shared" si="3"/>
        <v>2288</v>
      </c>
      <c r="G42" s="1670">
        <f t="shared" si="3"/>
        <v>0</v>
      </c>
      <c r="H42" s="1670">
        <f t="shared" si="3"/>
        <v>0</v>
      </c>
      <c r="I42" s="1670">
        <f t="shared" si="3"/>
        <v>411</v>
      </c>
      <c r="J42" s="1670">
        <f t="shared" si="3"/>
        <v>0</v>
      </c>
      <c r="K42" s="1670">
        <f t="shared" si="3"/>
        <v>581082</v>
      </c>
      <c r="L42" s="1670">
        <f t="shared" si="3"/>
        <v>643571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217559</v>
      </c>
      <c r="D44" s="481">
        <v>44320</v>
      </c>
      <c r="E44" s="481">
        <v>92125</v>
      </c>
      <c r="F44" s="481">
        <v>102282</v>
      </c>
      <c r="G44" s="481"/>
      <c r="H44" s="481">
        <v>138</v>
      </c>
      <c r="I44" s="467"/>
      <c r="J44" s="467"/>
      <c r="K44" s="1672">
        <f>SUM(C44:J44)</f>
        <v>456424</v>
      </c>
      <c r="L44" s="481">
        <v>595361</v>
      </c>
    </row>
    <row r="45" spans="1:14" x14ac:dyDescent="0.2">
      <c r="A45" s="1504" t="s">
        <v>815</v>
      </c>
      <c r="B45" s="614">
        <v>2220</v>
      </c>
      <c r="C45" s="466">
        <v>101516</v>
      </c>
      <c r="D45" s="466">
        <v>1966</v>
      </c>
      <c r="E45" s="466"/>
      <c r="F45" s="466">
        <v>20343</v>
      </c>
      <c r="G45" s="466"/>
      <c r="H45" s="466"/>
      <c r="I45" s="467"/>
      <c r="J45" s="467"/>
      <c r="K45" s="1672">
        <f>SUM(C45:J45)</f>
        <v>123825</v>
      </c>
      <c r="L45" s="466">
        <v>140372</v>
      </c>
    </row>
    <row r="46" spans="1:14" x14ac:dyDescent="0.2">
      <c r="A46" s="1504" t="s">
        <v>816</v>
      </c>
      <c r="B46" s="614">
        <v>2230</v>
      </c>
      <c r="C46" s="466"/>
      <c r="D46" s="466"/>
      <c r="E46" s="466"/>
      <c r="F46" s="466">
        <v>8763</v>
      </c>
      <c r="G46" s="466"/>
      <c r="H46" s="466"/>
      <c r="I46" s="467"/>
      <c r="J46" s="467"/>
      <c r="K46" s="1672">
        <f>SUM(C46:J46)</f>
        <v>8763</v>
      </c>
      <c r="L46" s="466">
        <v>0</v>
      </c>
    </row>
    <row r="47" spans="1:14" ht="12.75" customHeight="1" thickBot="1" x14ac:dyDescent="0.25">
      <c r="A47" s="1668" t="s">
        <v>561</v>
      </c>
      <c r="B47" s="1669" t="s">
        <v>32</v>
      </c>
      <c r="C47" s="1670">
        <f>SUM(C44:C46)</f>
        <v>319075</v>
      </c>
      <c r="D47" s="1670">
        <f t="shared" ref="D47:K47" si="4">SUM(D44:D46)</f>
        <v>46286</v>
      </c>
      <c r="E47" s="1670">
        <f t="shared" si="4"/>
        <v>92125</v>
      </c>
      <c r="F47" s="1670">
        <f t="shared" si="4"/>
        <v>131388</v>
      </c>
      <c r="G47" s="1670">
        <f t="shared" si="4"/>
        <v>0</v>
      </c>
      <c r="H47" s="1670">
        <f t="shared" si="4"/>
        <v>138</v>
      </c>
      <c r="I47" s="1670">
        <f t="shared" si="4"/>
        <v>0</v>
      </c>
      <c r="J47" s="1670">
        <f t="shared" si="4"/>
        <v>0</v>
      </c>
      <c r="K47" s="1670">
        <f t="shared" si="4"/>
        <v>589012</v>
      </c>
      <c r="L47" s="1670">
        <f>SUM(L44:L46)</f>
        <v>735733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11341</v>
      </c>
      <c r="E49" s="481">
        <v>83850</v>
      </c>
      <c r="F49" s="481">
        <v>4247</v>
      </c>
      <c r="G49" s="481"/>
      <c r="H49" s="481">
        <v>9652</v>
      </c>
      <c r="I49" s="467"/>
      <c r="J49" s="467"/>
      <c r="K49" s="1672">
        <f>SUM(C49:J49)</f>
        <v>109090</v>
      </c>
      <c r="L49" s="481">
        <v>119650</v>
      </c>
    </row>
    <row r="50" spans="1:14" x14ac:dyDescent="0.2">
      <c r="A50" s="1504" t="s">
        <v>818</v>
      </c>
      <c r="B50" s="614">
        <v>2320</v>
      </c>
      <c r="C50" s="466">
        <v>228599</v>
      </c>
      <c r="D50" s="466">
        <v>56659</v>
      </c>
      <c r="E50" s="466">
        <v>2743</v>
      </c>
      <c r="F50" s="466">
        <v>2656</v>
      </c>
      <c r="G50" s="466"/>
      <c r="H50" s="466">
        <v>4975</v>
      </c>
      <c r="I50" s="467"/>
      <c r="J50" s="467"/>
      <c r="K50" s="1672">
        <f>SUM(C50:J50)</f>
        <v>295632</v>
      </c>
      <c r="L50" s="466">
        <v>285250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228599</v>
      </c>
      <c r="D53" s="1670">
        <f t="shared" ref="D53:L53" si="5">SUM(D49:D52)</f>
        <v>68000</v>
      </c>
      <c r="E53" s="1670">
        <f t="shared" si="5"/>
        <v>86593</v>
      </c>
      <c r="F53" s="1670">
        <f t="shared" si="5"/>
        <v>6903</v>
      </c>
      <c r="G53" s="1670">
        <f t="shared" si="5"/>
        <v>0</v>
      </c>
      <c r="H53" s="1670">
        <f t="shared" si="5"/>
        <v>14627</v>
      </c>
      <c r="I53" s="1670">
        <f t="shared" si="5"/>
        <v>0</v>
      </c>
      <c r="J53" s="1670">
        <f t="shared" si="5"/>
        <v>0</v>
      </c>
      <c r="K53" s="1670">
        <f t="shared" si="5"/>
        <v>404722</v>
      </c>
      <c r="L53" s="1670">
        <f t="shared" si="5"/>
        <v>404900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396258</v>
      </c>
      <c r="D55" s="481">
        <v>105174</v>
      </c>
      <c r="E55" s="481">
        <v>375</v>
      </c>
      <c r="F55" s="481">
        <v>5333</v>
      </c>
      <c r="G55" s="481"/>
      <c r="H55" s="481">
        <v>561</v>
      </c>
      <c r="I55" s="467"/>
      <c r="J55" s="467"/>
      <c r="K55" s="1672">
        <f>SUM(C55:J55)</f>
        <v>507701</v>
      </c>
      <c r="L55" s="481">
        <v>519965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396258</v>
      </c>
      <c r="D57" s="1674">
        <f t="shared" ref="D57:K57" si="6">SUM(D55:D56)</f>
        <v>105174</v>
      </c>
      <c r="E57" s="1674">
        <f t="shared" si="6"/>
        <v>375</v>
      </c>
      <c r="F57" s="1674">
        <f t="shared" si="6"/>
        <v>5333</v>
      </c>
      <c r="G57" s="1674">
        <f t="shared" si="6"/>
        <v>0</v>
      </c>
      <c r="H57" s="1674">
        <f t="shared" si="6"/>
        <v>561</v>
      </c>
      <c r="I57" s="1674">
        <f t="shared" si="6"/>
        <v>0</v>
      </c>
      <c r="J57" s="1674">
        <f t="shared" si="6"/>
        <v>0</v>
      </c>
      <c r="K57" s="1674">
        <f t="shared" si="6"/>
        <v>507701</v>
      </c>
      <c r="L57" s="1670">
        <f>SUM(L55:L56)</f>
        <v>519965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114096</v>
      </c>
      <c r="D60" s="466">
        <v>29434</v>
      </c>
      <c r="E60" s="466">
        <v>51627</v>
      </c>
      <c r="F60" s="466">
        <v>2871</v>
      </c>
      <c r="G60" s="466"/>
      <c r="H60" s="466">
        <v>772</v>
      </c>
      <c r="I60" s="467"/>
      <c r="J60" s="467"/>
      <c r="K60" s="1672">
        <f t="shared" si="7"/>
        <v>198800</v>
      </c>
      <c r="L60" s="466">
        <v>183591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74989</v>
      </c>
      <c r="D63" s="466">
        <v>402</v>
      </c>
      <c r="E63" s="466"/>
      <c r="F63" s="466">
        <v>28230</v>
      </c>
      <c r="G63" s="466"/>
      <c r="H63" s="466"/>
      <c r="I63" s="467"/>
      <c r="J63" s="467"/>
      <c r="K63" s="1672">
        <f t="shared" si="7"/>
        <v>103621</v>
      </c>
      <c r="L63" s="466">
        <v>167000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189085</v>
      </c>
      <c r="D65" s="1670">
        <f t="shared" ref="D65:L65" si="8">SUM(D59:D64)</f>
        <v>29836</v>
      </c>
      <c r="E65" s="1670">
        <f t="shared" si="8"/>
        <v>51627</v>
      </c>
      <c r="F65" s="1670">
        <f t="shared" si="8"/>
        <v>31101</v>
      </c>
      <c r="G65" s="1670">
        <f t="shared" si="8"/>
        <v>0</v>
      </c>
      <c r="H65" s="1670">
        <f t="shared" si="8"/>
        <v>772</v>
      </c>
      <c r="I65" s="1670">
        <f t="shared" si="8"/>
        <v>0</v>
      </c>
      <c r="J65" s="1670">
        <f t="shared" si="8"/>
        <v>0</v>
      </c>
      <c r="K65" s="1670">
        <f t="shared" si="8"/>
        <v>302421</v>
      </c>
      <c r="L65" s="1670">
        <f t="shared" si="8"/>
        <v>350591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169</v>
      </c>
      <c r="D70" s="466">
        <v>2</v>
      </c>
      <c r="E70" s="466">
        <v>1980</v>
      </c>
      <c r="F70" s="466">
        <v>1410</v>
      </c>
      <c r="G70" s="466"/>
      <c r="H70" s="466"/>
      <c r="I70" s="467"/>
      <c r="J70" s="467"/>
      <c r="K70" s="1672">
        <f>SUM(C70:J70)</f>
        <v>3561</v>
      </c>
      <c r="L70" s="466">
        <v>0</v>
      </c>
      <c r="M70" s="609"/>
      <c r="N70" s="609"/>
    </row>
    <row r="71" spans="1:14" s="343" customFormat="1" x14ac:dyDescent="0.2">
      <c r="A71" s="1504" t="s">
        <v>404</v>
      </c>
      <c r="B71" s="614">
        <v>2660</v>
      </c>
      <c r="C71" s="466">
        <v>114777</v>
      </c>
      <c r="D71" s="466">
        <v>21022</v>
      </c>
      <c r="E71" s="466">
        <v>42957</v>
      </c>
      <c r="F71" s="466">
        <v>7982</v>
      </c>
      <c r="G71" s="466"/>
      <c r="H71" s="466"/>
      <c r="I71" s="467">
        <v>262915</v>
      </c>
      <c r="J71" s="467"/>
      <c r="K71" s="1672">
        <f>SUM(C71:J71)</f>
        <v>449653</v>
      </c>
      <c r="L71" s="466">
        <v>267262</v>
      </c>
      <c r="M71" s="609"/>
      <c r="N71" s="609"/>
    </row>
    <row r="72" spans="1:14" s="343" customFormat="1" ht="12.75" customHeight="1" thickBot="1" x14ac:dyDescent="0.25">
      <c r="A72" s="1668" t="s">
        <v>37</v>
      </c>
      <c r="B72" s="1675" t="s">
        <v>36</v>
      </c>
      <c r="C72" s="1670">
        <f>SUM(C67:C71)</f>
        <v>114946</v>
      </c>
      <c r="D72" s="1670">
        <f t="shared" ref="D72:K72" si="9">SUM(D67:D71)</f>
        <v>21024</v>
      </c>
      <c r="E72" s="1670">
        <f t="shared" si="9"/>
        <v>44937</v>
      </c>
      <c r="F72" s="1670">
        <f t="shared" si="9"/>
        <v>9392</v>
      </c>
      <c r="G72" s="1670">
        <f t="shared" si="9"/>
        <v>0</v>
      </c>
      <c r="H72" s="1670">
        <f t="shared" si="9"/>
        <v>0</v>
      </c>
      <c r="I72" s="1670">
        <f t="shared" si="9"/>
        <v>262915</v>
      </c>
      <c r="J72" s="1670">
        <f t="shared" si="9"/>
        <v>0</v>
      </c>
      <c r="K72" s="1670">
        <f t="shared" si="9"/>
        <v>453214</v>
      </c>
      <c r="L72" s="1670">
        <f>SUM(L67:L71)</f>
        <v>267262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1744656</v>
      </c>
      <c r="D74" s="1677">
        <f t="shared" ref="D74:K74" si="10">SUM(D42,D47,D53,D57,D65,D72,D73)</f>
        <v>350570</v>
      </c>
      <c r="E74" s="1677">
        <f t="shared" si="10"/>
        <v>277097</v>
      </c>
      <c r="F74" s="1677">
        <f t="shared" si="10"/>
        <v>186405</v>
      </c>
      <c r="G74" s="1677">
        <f t="shared" si="10"/>
        <v>0</v>
      </c>
      <c r="H74" s="1677">
        <f t="shared" si="10"/>
        <v>16098</v>
      </c>
      <c r="I74" s="1677">
        <f t="shared" si="10"/>
        <v>263326</v>
      </c>
      <c r="J74" s="1677">
        <f t="shared" si="10"/>
        <v>0</v>
      </c>
      <c r="K74" s="1677">
        <f t="shared" si="10"/>
        <v>2838152</v>
      </c>
      <c r="L74" s="1677">
        <f>SUM(L42,L47,L53,L57,L65,L72,L73)</f>
        <v>2922022</v>
      </c>
    </row>
    <row r="75" spans="1:14" s="259" customFormat="1" ht="15.75" customHeight="1" thickTop="1" thickBot="1" x14ac:dyDescent="0.25">
      <c r="A75" s="1610" t="s">
        <v>47</v>
      </c>
      <c r="B75" s="1611" t="s">
        <v>575</v>
      </c>
      <c r="C75" s="573"/>
      <c r="D75" s="573"/>
      <c r="E75" s="573">
        <v>8836</v>
      </c>
      <c r="F75" s="573">
        <v>101436</v>
      </c>
      <c r="G75" s="573"/>
      <c r="H75" s="573"/>
      <c r="I75" s="531"/>
      <c r="J75" s="531"/>
      <c r="K75" s="1670">
        <f>SUM(C75:J75)</f>
        <v>110272</v>
      </c>
      <c r="L75" s="576">
        <v>60200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74509</v>
      </c>
      <c r="I86" s="477"/>
      <c r="J86" s="477"/>
      <c r="K86" s="1677">
        <f t="shared" ref="K86:K98" si="12">H86</f>
        <v>74509</v>
      </c>
      <c r="L86" s="530">
        <v>75000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74509</v>
      </c>
      <c r="I92" s="477"/>
      <c r="J92" s="477"/>
      <c r="K92" s="1677">
        <f t="shared" si="12"/>
        <v>74509</v>
      </c>
      <c r="L92" s="1670">
        <f>SUM(L85:L91)</f>
        <v>75000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74509</v>
      </c>
      <c r="I102" s="477"/>
      <c r="J102" s="477"/>
      <c r="K102" s="1677">
        <f>SUM(K84,K92,K100,K101)</f>
        <v>74509</v>
      </c>
      <c r="L102" s="1677">
        <f>SUM(L84,L92,L100,L101)</f>
        <v>75000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7883012</v>
      </c>
      <c r="D114" s="1670">
        <f t="shared" ref="D114:K114" si="13">SUM(D33,D74,D75,D102,D112,D113)</f>
        <v>1227937</v>
      </c>
      <c r="E114" s="1670">
        <f t="shared" si="13"/>
        <v>790357</v>
      </c>
      <c r="F114" s="1670">
        <f t="shared" si="13"/>
        <v>458530</v>
      </c>
      <c r="G114" s="1670">
        <f t="shared" si="13"/>
        <v>1283</v>
      </c>
      <c r="H114" s="1670">
        <f>SUM(H33,H74,H75,H102,H112,H113)</f>
        <v>164781</v>
      </c>
      <c r="I114" s="1670">
        <f t="shared" si="13"/>
        <v>407764</v>
      </c>
      <c r="J114" s="1670">
        <f t="shared" si="13"/>
        <v>10657</v>
      </c>
      <c r="K114" s="1670">
        <f t="shared" si="13"/>
        <v>10944321</v>
      </c>
      <c r="L114" s="1670">
        <f>SUM(L33,L74,L75,L102,L112,L113)</f>
        <v>11246066</v>
      </c>
    </row>
    <row r="115" spans="1:14" ht="13.5" thickTop="1" x14ac:dyDescent="0.2">
      <c r="A115" s="2153" t="s">
        <v>996</v>
      </c>
      <c r="B115" s="2154"/>
      <c r="C115" s="618"/>
      <c r="D115" s="618"/>
      <c r="E115" s="618"/>
      <c r="F115" s="618"/>
      <c r="G115" s="618"/>
      <c r="H115" s="618"/>
      <c r="I115" s="618"/>
      <c r="J115" s="618"/>
      <c r="K115" s="1684">
        <f>'Revenues 9-14'!C268-'Expenditures 15-22'!K114</f>
        <v>-352490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513080</v>
      </c>
      <c r="D124" s="466">
        <v>92820</v>
      </c>
      <c r="E124" s="466">
        <v>222261</v>
      </c>
      <c r="F124" s="466">
        <v>255555</v>
      </c>
      <c r="G124" s="466">
        <v>95941</v>
      </c>
      <c r="H124" s="466"/>
      <c r="I124" s="467">
        <v>215042</v>
      </c>
      <c r="J124" s="467"/>
      <c r="K124" s="1670">
        <f>SUM(C124:J124)</f>
        <v>1394699</v>
      </c>
      <c r="L124" s="466">
        <v>1601284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513080</v>
      </c>
      <c r="D127" s="1670">
        <f t="shared" ref="D127:L127" si="14">SUM(D122:D126)</f>
        <v>92820</v>
      </c>
      <c r="E127" s="1670">
        <f t="shared" si="14"/>
        <v>222261</v>
      </c>
      <c r="F127" s="1670">
        <f t="shared" si="14"/>
        <v>255555</v>
      </c>
      <c r="G127" s="1670">
        <f t="shared" si="14"/>
        <v>95941</v>
      </c>
      <c r="H127" s="1670">
        <f t="shared" si="14"/>
        <v>0</v>
      </c>
      <c r="I127" s="1670">
        <f t="shared" si="14"/>
        <v>215042</v>
      </c>
      <c r="J127" s="1670">
        <f t="shared" si="14"/>
        <v>0</v>
      </c>
      <c r="K127" s="1670">
        <f t="shared" si="14"/>
        <v>1394699</v>
      </c>
      <c r="L127" s="1670">
        <f t="shared" si="14"/>
        <v>1601284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513080</v>
      </c>
      <c r="D129" s="1677">
        <f t="shared" ref="D129:L129" si="15">SUM(D120,D127,D128)</f>
        <v>92820</v>
      </c>
      <c r="E129" s="1677">
        <f t="shared" si="15"/>
        <v>222261</v>
      </c>
      <c r="F129" s="1677">
        <f t="shared" si="15"/>
        <v>255555</v>
      </c>
      <c r="G129" s="1677">
        <f t="shared" si="15"/>
        <v>95941</v>
      </c>
      <c r="H129" s="1677">
        <f t="shared" si="15"/>
        <v>0</v>
      </c>
      <c r="I129" s="1677">
        <f t="shared" si="15"/>
        <v>215042</v>
      </c>
      <c r="J129" s="1677">
        <f t="shared" si="15"/>
        <v>0</v>
      </c>
      <c r="K129" s="1677">
        <f t="shared" si="15"/>
        <v>1394699</v>
      </c>
      <c r="L129" s="1677">
        <f t="shared" si="15"/>
        <v>1601284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513080</v>
      </c>
      <c r="D151" s="1670">
        <f t="shared" ref="D151:K151" si="16">SUM(D129,D130,D139,D149,D150)</f>
        <v>92820</v>
      </c>
      <c r="E151" s="1670">
        <f t="shared" si="16"/>
        <v>222261</v>
      </c>
      <c r="F151" s="1670">
        <f t="shared" si="16"/>
        <v>255555</v>
      </c>
      <c r="G151" s="1670">
        <f t="shared" si="16"/>
        <v>95941</v>
      </c>
      <c r="H151" s="1670">
        <f t="shared" si="16"/>
        <v>0</v>
      </c>
      <c r="I151" s="1670">
        <f t="shared" si="16"/>
        <v>215042</v>
      </c>
      <c r="J151" s="1670">
        <f t="shared" si="16"/>
        <v>0</v>
      </c>
      <c r="K151" s="1670">
        <f t="shared" si="16"/>
        <v>1394699</v>
      </c>
      <c r="L151" s="1670">
        <f>SUM(L129,L130,L139,L149,L150)</f>
        <v>1601284</v>
      </c>
    </row>
    <row r="152" spans="1:14" ht="12.75" customHeight="1" thickTop="1" x14ac:dyDescent="0.2">
      <c r="A152" s="2173" t="s">
        <v>1178</v>
      </c>
      <c r="B152" s="2174"/>
      <c r="C152" s="618"/>
      <c r="D152" s="618"/>
      <c r="E152" s="618"/>
      <c r="F152" s="618"/>
      <c r="G152" s="618"/>
      <c r="H152" s="618"/>
      <c r="I152" s="618"/>
      <c r="J152" s="616"/>
      <c r="K152" s="1684">
        <f>'Revenues 9-14'!D268-'Expenditures 15-22'!K151</f>
        <v>694489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44788</v>
      </c>
      <c r="I169" s="616"/>
      <c r="J169" s="616"/>
      <c r="K169" s="1671">
        <f>SUM(C169:H169)</f>
        <v>44788</v>
      </c>
      <c r="L169" s="656">
        <v>65000</v>
      </c>
    </row>
    <row r="170" spans="1:14" ht="33.75" customHeight="1" x14ac:dyDescent="0.2">
      <c r="A170" s="669" t="s">
        <v>1670</v>
      </c>
      <c r="B170" s="671" t="s">
        <v>31</v>
      </c>
      <c r="C170" s="616"/>
      <c r="D170" s="616"/>
      <c r="E170" s="616"/>
      <c r="F170" s="616"/>
      <c r="G170" s="616"/>
      <c r="H170" s="569">
        <v>580000</v>
      </c>
      <c r="I170" s="616"/>
      <c r="J170" s="616"/>
      <c r="K170" s="1671">
        <f>SUM(C170:J170)</f>
        <v>580000</v>
      </c>
      <c r="L170" s="569">
        <v>575000</v>
      </c>
    </row>
    <row r="171" spans="1:14" ht="15.75" customHeight="1" x14ac:dyDescent="0.2">
      <c r="A171" s="621" t="s">
        <v>766</v>
      </c>
      <c r="B171" s="672" t="s">
        <v>84</v>
      </c>
      <c r="C171" s="616"/>
      <c r="D171" s="616"/>
      <c r="E171" s="466"/>
      <c r="F171" s="616"/>
      <c r="G171" s="616"/>
      <c r="H171" s="569">
        <v>500</v>
      </c>
      <c r="I171" s="477"/>
      <c r="J171" s="616"/>
      <c r="K171" s="1671">
        <f>SUM(C171:J171)</f>
        <v>500</v>
      </c>
      <c r="L171" s="569">
        <v>550</v>
      </c>
    </row>
    <row r="172" spans="1:14" ht="12.75" customHeight="1" thickBot="1" x14ac:dyDescent="0.25">
      <c r="A172" s="1668" t="s">
        <v>638</v>
      </c>
      <c r="B172" s="1669" t="s">
        <v>492</v>
      </c>
      <c r="C172" s="616"/>
      <c r="D172" s="616"/>
      <c r="E172" s="1677">
        <f>SUM(E168,E169,E170,E171)</f>
        <v>0</v>
      </c>
      <c r="F172" s="616"/>
      <c r="G172" s="616"/>
      <c r="H172" s="1677">
        <f>SUM(H168,H169,H170,H171)</f>
        <v>625288</v>
      </c>
      <c r="I172" s="638"/>
      <c r="J172" s="616"/>
      <c r="K172" s="1677">
        <f>SUM(K168,K169,K170,K171)</f>
        <v>625288</v>
      </c>
      <c r="L172" s="1677">
        <f>SUM(L168,L169,L170,L171)</f>
        <v>640550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625288</v>
      </c>
      <c r="I174" s="638"/>
      <c r="J174" s="616"/>
      <c r="K174" s="1677">
        <f>SUM(K160,K172,K173)</f>
        <v>625288</v>
      </c>
      <c r="L174" s="1677">
        <f>SUM(L160,L172,L173)</f>
        <v>640550</v>
      </c>
    </row>
    <row r="175" spans="1:14" ht="13.5" thickTop="1" x14ac:dyDescent="0.2">
      <c r="A175" s="2153" t="s">
        <v>996</v>
      </c>
      <c r="B175" s="2154"/>
      <c r="C175" s="616"/>
      <c r="D175" s="616"/>
      <c r="E175" s="616"/>
      <c r="F175" s="616"/>
      <c r="G175" s="616"/>
      <c r="H175" s="618"/>
      <c r="I175" s="616"/>
      <c r="J175" s="616"/>
      <c r="K175" s="1684">
        <f>'Revenues 9-14'!E268-'Expenditures 15-22'!K174</f>
        <v>20040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45949</v>
      </c>
      <c r="D182" s="466">
        <v>13647</v>
      </c>
      <c r="E182" s="466">
        <v>43645</v>
      </c>
      <c r="F182" s="466"/>
      <c r="G182" s="466"/>
      <c r="H182" s="466"/>
      <c r="I182" s="467"/>
      <c r="J182" s="467"/>
      <c r="K182" s="1671">
        <f>SUM(C182:J182)</f>
        <v>103241</v>
      </c>
      <c r="L182" s="466">
        <v>94846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45949</v>
      </c>
      <c r="D184" s="1677">
        <f t="shared" ref="D184:J184" si="17">SUM(D180,D182,D183)</f>
        <v>13647</v>
      </c>
      <c r="E184" s="1677">
        <f t="shared" si="17"/>
        <v>43645</v>
      </c>
      <c r="F184" s="1677">
        <f t="shared" si="17"/>
        <v>0</v>
      </c>
      <c r="G184" s="1677">
        <f t="shared" si="17"/>
        <v>0</v>
      </c>
      <c r="H184" s="1677">
        <f t="shared" si="17"/>
        <v>0</v>
      </c>
      <c r="I184" s="1677">
        <f t="shared" si="17"/>
        <v>0</v>
      </c>
      <c r="J184" s="1677">
        <f t="shared" si="17"/>
        <v>0</v>
      </c>
      <c r="K184" s="1677">
        <f>SUM(K180,K182,K183)</f>
        <v>103241</v>
      </c>
      <c r="L184" s="1677">
        <f>SUM(L180, L182:L183)</f>
        <v>94846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v>52679</v>
      </c>
      <c r="I189" s="477"/>
      <c r="J189" s="616"/>
      <c r="K189" s="1671">
        <f t="shared" si="18"/>
        <v>52679</v>
      </c>
      <c r="L189" s="466">
        <v>65000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52679</v>
      </c>
      <c r="I194" s="477"/>
      <c r="J194" s="616"/>
      <c r="K194" s="1670">
        <f>SUM(K188:K193)</f>
        <v>52679</v>
      </c>
      <c r="L194" s="1670">
        <f>SUM(L188:L193)</f>
        <v>65000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52679</v>
      </c>
      <c r="I196" s="477"/>
      <c r="J196" s="616"/>
      <c r="K196" s="1677">
        <f>SUM(K194,K195)</f>
        <v>52679</v>
      </c>
      <c r="L196" s="1677">
        <f>SUM(L194,L195)</f>
        <v>65000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45949</v>
      </c>
      <c r="D210" s="1670">
        <f>SUM(D184,D185)</f>
        <v>13647</v>
      </c>
      <c r="E210" s="1670">
        <f>SUM(E184,E185,E196)</f>
        <v>43645</v>
      </c>
      <c r="F210" s="1670">
        <f>SUM(F184,F185)</f>
        <v>0</v>
      </c>
      <c r="G210" s="1670">
        <f>SUM(G184,G185)</f>
        <v>0</v>
      </c>
      <c r="H210" s="1670">
        <f>SUM(H184,H185,H196,H208,H209)</f>
        <v>52679</v>
      </c>
      <c r="I210" s="1670">
        <f>SUM(I184,I185)</f>
        <v>0</v>
      </c>
      <c r="J210" s="1670">
        <f>SUM(J184,J185)</f>
        <v>0</v>
      </c>
      <c r="K210" s="1671">
        <f>SUM(K184,K185,K196,K208,K209)</f>
        <v>155920</v>
      </c>
      <c r="L210" s="1670">
        <f>SUM(L184,L185,L196,L208,L209)</f>
        <v>159846</v>
      </c>
    </row>
    <row r="211" spans="1:14" ht="13.5" thickTop="1" x14ac:dyDescent="0.2">
      <c r="A211" s="2153" t="s">
        <v>996</v>
      </c>
      <c r="B211" s="2154"/>
      <c r="C211" s="618"/>
      <c r="D211" s="618"/>
      <c r="E211" s="618"/>
      <c r="F211" s="618"/>
      <c r="G211" s="618"/>
      <c r="H211" s="618"/>
      <c r="I211" s="616"/>
      <c r="J211" s="616"/>
      <c r="K211" s="1684">
        <f>'Revenues 9-14'!F268-'Expenditures 15-22'!K210</f>
        <v>61920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79176</v>
      </c>
      <c r="E215" s="616"/>
      <c r="F215" s="616"/>
      <c r="G215" s="616"/>
      <c r="H215" s="616"/>
      <c r="I215" s="616"/>
      <c r="J215" s="616"/>
      <c r="K215" s="1671">
        <f>D215</f>
        <v>79176</v>
      </c>
      <c r="L215" s="466">
        <v>73883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72404</v>
      </c>
      <c r="E217" s="616"/>
      <c r="F217" s="616"/>
      <c r="G217" s="616"/>
      <c r="H217" s="616"/>
      <c r="I217" s="616"/>
      <c r="J217" s="616"/>
      <c r="K217" s="1671">
        <f t="shared" si="19"/>
        <v>72404</v>
      </c>
      <c r="L217" s="466">
        <v>75830</v>
      </c>
    </row>
    <row r="218" spans="1:14" x14ac:dyDescent="0.2">
      <c r="A218" s="1504" t="s">
        <v>278</v>
      </c>
      <c r="B218" s="614" t="s">
        <v>968</v>
      </c>
      <c r="C218" s="616"/>
      <c r="D218" s="467">
        <v>10005</v>
      </c>
      <c r="E218" s="616"/>
      <c r="F218" s="616"/>
      <c r="G218" s="616"/>
      <c r="H218" s="616"/>
      <c r="I218" s="616"/>
      <c r="J218" s="616"/>
      <c r="K218" s="1671">
        <f t="shared" si="19"/>
        <v>10005</v>
      </c>
      <c r="L218" s="466">
        <v>10233</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3659</v>
      </c>
      <c r="E223" s="616"/>
      <c r="F223" s="616"/>
      <c r="G223" s="616"/>
      <c r="H223" s="616"/>
      <c r="I223" s="616"/>
      <c r="J223" s="616"/>
      <c r="K223" s="1671">
        <f t="shared" si="19"/>
        <v>3659</v>
      </c>
      <c r="L223" s="466">
        <v>2730</v>
      </c>
    </row>
    <row r="224" spans="1:14" x14ac:dyDescent="0.2">
      <c r="A224" s="1504" t="s">
        <v>964</v>
      </c>
      <c r="B224" s="614">
        <v>1600</v>
      </c>
      <c r="C224" s="616"/>
      <c r="D224" s="466">
        <v>2825</v>
      </c>
      <c r="E224" s="616"/>
      <c r="F224" s="616"/>
      <c r="G224" s="616"/>
      <c r="H224" s="616"/>
      <c r="I224" s="616"/>
      <c r="J224" s="616"/>
      <c r="K224" s="1671">
        <f t="shared" si="19"/>
        <v>2825</v>
      </c>
      <c r="L224" s="466">
        <v>0</v>
      </c>
    </row>
    <row r="225" spans="1:12" x14ac:dyDescent="0.2">
      <c r="A225" s="1504" t="s">
        <v>987</v>
      </c>
      <c r="B225" s="614">
        <v>1650</v>
      </c>
      <c r="C225" s="616"/>
      <c r="D225" s="466">
        <v>2426</v>
      </c>
      <c r="E225" s="616"/>
      <c r="F225" s="616"/>
      <c r="G225" s="616"/>
      <c r="H225" s="616"/>
      <c r="I225" s="616"/>
      <c r="J225" s="616"/>
      <c r="K225" s="1671">
        <f t="shared" si="19"/>
        <v>2426</v>
      </c>
      <c r="L225" s="466">
        <v>2403</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170495</v>
      </c>
      <c r="E229" s="616"/>
      <c r="F229" s="616"/>
      <c r="G229" s="616"/>
      <c r="H229" s="616"/>
      <c r="I229" s="616"/>
      <c r="J229" s="616"/>
      <c r="K229" s="1670">
        <f>SUM(K215:K228)</f>
        <v>170495</v>
      </c>
      <c r="L229" s="1670">
        <f>SUM(L215:L228)</f>
        <v>165079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2370</v>
      </c>
      <c r="E232" s="616"/>
      <c r="F232" s="616"/>
      <c r="G232" s="616"/>
      <c r="H232" s="616"/>
      <c r="I232" s="616"/>
      <c r="J232" s="616"/>
      <c r="K232" s="1671">
        <f t="shared" ref="K232:K237" si="20">D232</f>
        <v>2370</v>
      </c>
      <c r="L232" s="466">
        <v>3082</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6036</v>
      </c>
      <c r="E234" s="616"/>
      <c r="F234" s="616"/>
      <c r="G234" s="616"/>
      <c r="H234" s="616"/>
      <c r="I234" s="616"/>
      <c r="J234" s="616"/>
      <c r="K234" s="1671">
        <f t="shared" si="20"/>
        <v>6036</v>
      </c>
      <c r="L234" s="466">
        <v>6355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3088</v>
      </c>
      <c r="E236" s="616"/>
      <c r="F236" s="616"/>
      <c r="G236" s="616"/>
      <c r="H236" s="616"/>
      <c r="I236" s="616"/>
      <c r="J236" s="616"/>
      <c r="K236" s="1671">
        <f t="shared" si="20"/>
        <v>3088</v>
      </c>
      <c r="L236" s="466">
        <v>3145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11494</v>
      </c>
      <c r="E238" s="616"/>
      <c r="F238" s="616"/>
      <c r="G238" s="616"/>
      <c r="H238" s="616"/>
      <c r="I238" s="616"/>
      <c r="J238" s="616"/>
      <c r="K238" s="1670">
        <f>SUM(K232:K237)</f>
        <v>11494</v>
      </c>
      <c r="L238" s="1670">
        <f>SUM(L232:L237)</f>
        <v>12582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3172</v>
      </c>
      <c r="E240" s="616"/>
      <c r="F240" s="616"/>
      <c r="G240" s="616"/>
      <c r="H240" s="616"/>
      <c r="I240" s="616"/>
      <c r="J240" s="616"/>
      <c r="K240" s="1672">
        <f>D240</f>
        <v>3172</v>
      </c>
      <c r="L240" s="481">
        <v>3069</v>
      </c>
    </row>
    <row r="241" spans="1:12" x14ac:dyDescent="0.2">
      <c r="A241" s="1504" t="s">
        <v>815</v>
      </c>
      <c r="B241" s="614">
        <v>2220</v>
      </c>
      <c r="C241" s="616"/>
      <c r="D241" s="466">
        <v>4926</v>
      </c>
      <c r="E241" s="616"/>
      <c r="F241" s="616"/>
      <c r="G241" s="616"/>
      <c r="H241" s="616"/>
      <c r="I241" s="616"/>
      <c r="J241" s="616"/>
      <c r="K241" s="1672">
        <f>D241</f>
        <v>4926</v>
      </c>
      <c r="L241" s="466">
        <v>5173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8098</v>
      </c>
      <c r="E243" s="616"/>
      <c r="F243" s="616"/>
      <c r="G243" s="616"/>
      <c r="H243" s="616"/>
      <c r="I243" s="616"/>
      <c r="J243" s="616"/>
      <c r="K243" s="1670">
        <f>SUM(K240:K242)</f>
        <v>8098</v>
      </c>
      <c r="L243" s="1670">
        <f>SUM(L240:L242)</f>
        <v>8242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10019</v>
      </c>
      <c r="E246" s="616"/>
      <c r="F246" s="616"/>
      <c r="G246" s="616"/>
      <c r="H246" s="616"/>
      <c r="I246" s="616"/>
      <c r="J246" s="616"/>
      <c r="K246" s="1672">
        <f t="shared" ref="K246:K256" si="21">D246</f>
        <v>10019</v>
      </c>
      <c r="L246" s="466">
        <v>9592</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5842</v>
      </c>
      <c r="E254" s="616"/>
      <c r="F254" s="616"/>
      <c r="G254" s="616"/>
      <c r="H254" s="616"/>
      <c r="I254" s="616"/>
      <c r="J254" s="616"/>
      <c r="K254" s="1672">
        <f t="shared" si="21"/>
        <v>5842</v>
      </c>
      <c r="L254" s="466">
        <v>1949</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15861</v>
      </c>
      <c r="E257" s="616"/>
      <c r="F257" s="616"/>
      <c r="G257" s="616"/>
      <c r="H257" s="616"/>
      <c r="I257" s="616"/>
      <c r="J257" s="616"/>
      <c r="K257" s="1670">
        <f>SUM(K245:K256)</f>
        <v>15861</v>
      </c>
      <c r="L257" s="1670">
        <f>SUM(L245:L256)</f>
        <v>11541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19569</v>
      </c>
      <c r="E259" s="616"/>
      <c r="F259" s="616"/>
      <c r="G259" s="616"/>
      <c r="H259" s="616"/>
      <c r="I259" s="616"/>
      <c r="J259" s="616"/>
      <c r="K259" s="1672">
        <f>D259</f>
        <v>19569</v>
      </c>
      <c r="L259" s="481">
        <v>21122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19569</v>
      </c>
      <c r="E261" s="616"/>
      <c r="F261" s="616"/>
      <c r="G261" s="616"/>
      <c r="H261" s="616"/>
      <c r="I261" s="616"/>
      <c r="J261" s="616"/>
      <c r="K261" s="1670">
        <f>SUM(K259:K260)</f>
        <v>19569</v>
      </c>
      <c r="L261" s="1670">
        <f>SUM(L259:L260)</f>
        <v>21122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5907</v>
      </c>
      <c r="E264" s="616"/>
      <c r="F264" s="616"/>
      <c r="G264" s="616"/>
      <c r="H264" s="616"/>
      <c r="I264" s="616"/>
      <c r="J264" s="616"/>
      <c r="K264" s="1672">
        <f t="shared" ref="K264:K269" si="22">D264</f>
        <v>5907</v>
      </c>
      <c r="L264" s="466">
        <v>5401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63747</v>
      </c>
      <c r="E266" s="616"/>
      <c r="F266" s="616"/>
      <c r="G266" s="616"/>
      <c r="H266" s="616"/>
      <c r="I266" s="616"/>
      <c r="J266" s="616"/>
      <c r="K266" s="1672">
        <f t="shared" si="22"/>
        <v>63747</v>
      </c>
      <c r="L266" s="466">
        <v>68519</v>
      </c>
    </row>
    <row r="267" spans="1:14" x14ac:dyDescent="0.2">
      <c r="A267" s="1504" t="s">
        <v>953</v>
      </c>
      <c r="B267" s="614">
        <v>2550</v>
      </c>
      <c r="C267" s="616"/>
      <c r="D267" s="466">
        <v>1863</v>
      </c>
      <c r="E267" s="616"/>
      <c r="F267" s="616"/>
      <c r="G267" s="616"/>
      <c r="H267" s="616"/>
      <c r="I267" s="616"/>
      <c r="J267" s="616"/>
      <c r="K267" s="1672">
        <f t="shared" si="22"/>
        <v>1863</v>
      </c>
      <c r="L267" s="466">
        <v>1941</v>
      </c>
    </row>
    <row r="268" spans="1:14" x14ac:dyDescent="0.2">
      <c r="A268" s="1504" t="s">
        <v>100</v>
      </c>
      <c r="B268" s="614">
        <v>2560</v>
      </c>
      <c r="C268" s="616"/>
      <c r="D268" s="466">
        <v>4057</v>
      </c>
      <c r="E268" s="616"/>
      <c r="F268" s="616"/>
      <c r="G268" s="616"/>
      <c r="H268" s="616"/>
      <c r="I268" s="616"/>
      <c r="J268" s="616"/>
      <c r="K268" s="1672">
        <f t="shared" si="22"/>
        <v>4057</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75574</v>
      </c>
      <c r="E270" s="616"/>
      <c r="F270" s="616"/>
      <c r="G270" s="616"/>
      <c r="H270" s="616"/>
      <c r="I270" s="616"/>
      <c r="J270" s="616"/>
      <c r="K270" s="1670">
        <f>SUM(K263:K269)</f>
        <v>75574</v>
      </c>
      <c r="L270" s="1670">
        <f>SUM(L263:L269)</f>
        <v>75861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2</v>
      </c>
      <c r="E275" s="616"/>
      <c r="F275" s="616"/>
      <c r="G275" s="616"/>
      <c r="H275" s="616"/>
      <c r="I275" s="616"/>
      <c r="J275" s="616"/>
      <c r="K275" s="1672">
        <f>D275</f>
        <v>2</v>
      </c>
      <c r="L275" s="466"/>
    </row>
    <row r="276" spans="1:12" x14ac:dyDescent="0.2">
      <c r="A276" s="1504" t="s">
        <v>404</v>
      </c>
      <c r="B276" s="614">
        <v>2660</v>
      </c>
      <c r="C276" s="616"/>
      <c r="D276" s="466">
        <v>9032</v>
      </c>
      <c r="E276" s="616"/>
      <c r="F276" s="616"/>
      <c r="G276" s="616"/>
      <c r="H276" s="616"/>
      <c r="I276" s="616"/>
      <c r="J276" s="616"/>
      <c r="K276" s="1672">
        <f>D276</f>
        <v>9032</v>
      </c>
      <c r="L276" s="466">
        <v>8486</v>
      </c>
    </row>
    <row r="277" spans="1:12" ht="12.75" customHeight="1" thickBot="1" x14ac:dyDescent="0.25">
      <c r="A277" s="1691" t="s">
        <v>37</v>
      </c>
      <c r="B277" s="1669" t="s">
        <v>36</v>
      </c>
      <c r="C277" s="616"/>
      <c r="D277" s="1670">
        <f>SUM(D272:D276)</f>
        <v>9034</v>
      </c>
      <c r="E277" s="616"/>
      <c r="F277" s="616"/>
      <c r="G277" s="616"/>
      <c r="H277" s="616"/>
      <c r="I277" s="616"/>
      <c r="J277" s="616"/>
      <c r="K277" s="1670">
        <f>SUM(K272:K276)</f>
        <v>9034</v>
      </c>
      <c r="L277" s="1670">
        <f>SUM(L272:L276)</f>
        <v>8486</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139630</v>
      </c>
      <c r="E279" s="616"/>
      <c r="F279" s="616"/>
      <c r="G279" s="616"/>
      <c r="H279" s="616"/>
      <c r="I279" s="616"/>
      <c r="J279" s="616"/>
      <c r="K279" s="1677">
        <f>SUM(K238,K243,K257,K261,K270,K277,K278)</f>
        <v>139630</v>
      </c>
      <c r="L279" s="1677">
        <f>SUM(L238,L243,L257,L261,L270,L277,L278)</f>
        <v>137834</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310125</v>
      </c>
      <c r="E295" s="616"/>
      <c r="F295" s="616"/>
      <c r="G295" s="616"/>
      <c r="H295" s="1670">
        <f>H293</f>
        <v>0</v>
      </c>
      <c r="I295" s="616"/>
      <c r="J295" s="616"/>
      <c r="K295" s="1670">
        <f>SUM(K229,K279,K280,K285,K293,K294)</f>
        <v>310125</v>
      </c>
      <c r="L295" s="1670">
        <f>SUM(L229,L279,L280,L285,L293,L294)</f>
        <v>302913</v>
      </c>
    </row>
    <row r="296" spans="1:14" ht="13.5" thickTop="1" x14ac:dyDescent="0.2">
      <c r="A296" s="2153" t="s">
        <v>996</v>
      </c>
      <c r="B296" s="2154"/>
      <c r="C296" s="616"/>
      <c r="D296" s="618"/>
      <c r="E296" s="616"/>
      <c r="F296" s="616"/>
      <c r="G296" s="616"/>
      <c r="H296" s="687"/>
      <c r="I296" s="616"/>
      <c r="J296" s="616"/>
      <c r="K296" s="1684">
        <f>'Revenues 9-14'!G268-'Expenditures 15-22'!K295</f>
        <v>29388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102710</v>
      </c>
      <c r="F322" s="467"/>
      <c r="G322" s="467"/>
      <c r="H322" s="467"/>
      <c r="I322" s="467"/>
      <c r="J322" s="467"/>
      <c r="K322" s="1671">
        <f t="shared" si="24"/>
        <v>102710</v>
      </c>
      <c r="L322" s="467">
        <v>125000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v>776</v>
      </c>
      <c r="F324" s="467"/>
      <c r="G324" s="467"/>
      <c r="H324" s="467"/>
      <c r="I324" s="467"/>
      <c r="J324" s="467"/>
      <c r="K324" s="1671">
        <f t="shared" si="24"/>
        <v>776</v>
      </c>
      <c r="L324" s="467">
        <v>3000</v>
      </c>
      <c r="M324" s="665"/>
      <c r="N324" s="665"/>
    </row>
    <row r="325" spans="1:14" s="674" customFormat="1" ht="22.5" x14ac:dyDescent="0.2">
      <c r="A325" s="1519" t="s">
        <v>1029</v>
      </c>
      <c r="B325" s="698" t="s">
        <v>287</v>
      </c>
      <c r="C325" s="467">
        <v>81986</v>
      </c>
      <c r="D325" s="467">
        <v>8574</v>
      </c>
      <c r="E325" s="467">
        <v>140</v>
      </c>
      <c r="F325" s="467">
        <v>3348</v>
      </c>
      <c r="G325" s="467"/>
      <c r="H325" s="467"/>
      <c r="I325" s="467"/>
      <c r="J325" s="467"/>
      <c r="K325" s="1671">
        <f t="shared" si="24"/>
        <v>94048</v>
      </c>
      <c r="L325" s="467">
        <f>94898+8573+10200</f>
        <v>113671</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22185</v>
      </c>
      <c r="F327" s="467"/>
      <c r="G327" s="467"/>
      <c r="H327" s="467"/>
      <c r="I327" s="467"/>
      <c r="J327" s="467"/>
      <c r="K327" s="1671">
        <f t="shared" si="24"/>
        <v>22185</v>
      </c>
      <c r="L327" s="467">
        <v>25000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81986</v>
      </c>
      <c r="D330" s="1670">
        <f t="shared" ref="D330:J330" si="25">SUM(D319:D329)</f>
        <v>8574</v>
      </c>
      <c r="E330" s="1670">
        <f t="shared" si="25"/>
        <v>125811</v>
      </c>
      <c r="F330" s="1670">
        <f t="shared" si="25"/>
        <v>3348</v>
      </c>
      <c r="G330" s="1670">
        <f t="shared" si="25"/>
        <v>0</v>
      </c>
      <c r="H330" s="1670">
        <f t="shared" si="25"/>
        <v>0</v>
      </c>
      <c r="I330" s="1670">
        <f t="shared" si="25"/>
        <v>0</v>
      </c>
      <c r="J330" s="1670">
        <f t="shared" si="25"/>
        <v>0</v>
      </c>
      <c r="K330" s="1670">
        <f>SUM(K319:K329)</f>
        <v>219719</v>
      </c>
      <c r="L330" s="1670">
        <f>SUM(L319:L329)</f>
        <v>266671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81986</v>
      </c>
      <c r="D342" s="1670">
        <f>SUM(D330)</f>
        <v>8574</v>
      </c>
      <c r="E342" s="1670">
        <f>SUM(E330)</f>
        <v>125811</v>
      </c>
      <c r="F342" s="1670">
        <f>SUM(F330)</f>
        <v>3348</v>
      </c>
      <c r="G342" s="1670">
        <f>SUM(G330)</f>
        <v>0</v>
      </c>
      <c r="H342" s="1670">
        <f>SUM(H330,H334,H340)</f>
        <v>0</v>
      </c>
      <c r="I342" s="1670">
        <f>SUM(I330)</f>
        <v>0</v>
      </c>
      <c r="J342" s="1670">
        <f>SUM(J330)</f>
        <v>0</v>
      </c>
      <c r="K342" s="1670">
        <f>SUM(K330,K334,K340)</f>
        <v>219719</v>
      </c>
      <c r="L342" s="1677">
        <f>SUM(L330,L340,L341)</f>
        <v>266671</v>
      </c>
    </row>
    <row r="343" spans="1:14" ht="12.75" customHeight="1" thickTop="1" x14ac:dyDescent="0.2">
      <c r="A343" s="2166" t="s">
        <v>996</v>
      </c>
      <c r="B343" s="2167"/>
      <c r="C343" s="616"/>
      <c r="D343" s="616"/>
      <c r="E343" s="616"/>
      <c r="F343" s="616"/>
      <c r="G343" s="616"/>
      <c r="H343" s="616"/>
      <c r="I343" s="616"/>
      <c r="J343" s="616"/>
      <c r="K343" s="1684">
        <f>'Revenues 9-14'!J268-'Expenditures 15-22'!K342</f>
        <v>84237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1338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4d435f69-8686-490b-bd6d-b153bf22ab50"/>
    <ds:schemaRef ds:uri="http://www.w3.org/XML/1998/namespace"/>
    <ds:schemaRef ds:uri="http://purl.org/dc/dcmitype/"/>
    <ds:schemaRef ds:uri="http://schemas.openxmlformats.org/package/2006/metadata/core-properties"/>
    <ds:schemaRef ds:uri="http://schemas.microsoft.com/sharepoint/v3"/>
    <ds:schemaRef ds:uri="http://schemas.microsoft.com/office/infopath/2007/PartnerControls"/>
    <ds:schemaRef ds:uri="d21dc803-237d-4c68-8692-8d731fd29118"/>
    <ds:schemaRef ds:uri="6ce3111e-7420-4802-b50a-75d4e9a0b98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2019-06-25T17:28:25Z</cp:lastPrinted>
  <dcterms:created xsi:type="dcterms:W3CDTF">2003-10-29T19:06:34Z</dcterms:created>
  <dcterms:modified xsi:type="dcterms:W3CDTF">2019-12-30T14:37:28Z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