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B4E7B35-D488-4D89-A963-CA21B01353A7}"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AC32" sheetId="145" r:id="rId17"/>
    <sheet name="Itemization 33" sheetId="127" r:id="rId18"/>
    <sheet name="REF 34" sheetId="117" r:id="rId19"/>
    <sheet name="Opinion-Notes 35" sheetId="129" r:id="rId20"/>
    <sheet name="DeficitAFRSum Calc 36" sheetId="146" r:id="rId21"/>
    <sheet name="AUDITCHECK" sheetId="36" r:id="rId22"/>
    <sheet name="AFR19" sheetId="106" state="hidden" r:id="rId23"/>
    <sheet name="Single Audit Cover" sheetId="169" r:id="rId24"/>
    <sheet name="Single Audit Checklist" sheetId="170" r:id="rId25"/>
    <sheet name="SEFA Reconcile" sheetId="171" r:id="rId26"/>
    <sheet name=" SEFA" sheetId="179" r:id="rId27"/>
    <sheet name=" SEFA (2)" sheetId="185" r:id="rId28"/>
    <sheet name=" SEFA (3)" sheetId="186" r:id="rId29"/>
    <sheet name=" SEFA (4)" sheetId="187" r:id="rId30"/>
    <sheet name="SEFA NOTES" sheetId="173" r:id="rId31"/>
    <sheet name="SF&amp;QC Sec-1" sheetId="174" r:id="rId32"/>
    <sheet name="SF&amp;QC Sec-2" sheetId="175" r:id="rId33"/>
    <sheet name="SF&amp;QC Sec-3" sheetId="176" r:id="rId34"/>
    <sheet name="SSPAF" sheetId="177" r:id="rId35"/>
    <sheet name="CAP_x0009_" sheetId="188" r:id="rId36"/>
  </sheets>
  <externalReferences>
    <externalReference r:id="rId37"/>
  </externalReferences>
  <definedNames>
    <definedName name="_xlnm.Print_Area" localSheetId="26">' SEFA'!$B$1:$M$46</definedName>
    <definedName name="_xlnm.Print_Area" localSheetId="27">' SEFA (2)'!$B$1:$M$46</definedName>
    <definedName name="_xlnm.Print_Area" localSheetId="28">' SEFA (3)'!$B$1:$M$46</definedName>
    <definedName name="_xlnm.Print_Area" localSheetId="29">' SEFA (4)'!$B$1:$M$46</definedName>
    <definedName name="_xlnm.Print_Area" localSheetId="30">'SEFA NOTES'!$A$1:$F$52</definedName>
    <definedName name="_xlnm.Print_Area" localSheetId="25">'SEFA Reconcile'!$A$1:$E$49</definedName>
    <definedName name="_xlnm.Print_Area" localSheetId="31">'SF&amp;QC Sec-1'!$A$1:$J$63</definedName>
    <definedName name="_xlnm.Print_Area" localSheetId="33">'SF&amp;QC Sec-3'!$A$1:$K$48</definedName>
    <definedName name="_xlnm.Print_Area" localSheetId="24">'Single Audit Checklist'!$A$1:$D$124</definedName>
    <definedName name="_xlnm.Print_Area" localSheetId="23">'Single Audit Cover'!$A$1:$L$51</definedName>
    <definedName name="_xlnm.Print_Titles" localSheetId="6">'Acct Summary 7-8'!$A:$B,'Acct Summary 7-8'!$1:$2</definedName>
    <definedName name="_xlnm.Print_Titles" localSheetId="5">'Assets-Liab 5-6'!$A:$B,'Assets-Liab 5-6'!$1:$2</definedName>
    <definedName name="_xlnm.Print_Titles" localSheetId="21">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4">'Single Audit Checklist'!$1:$4</definedName>
    <definedName name="SCHADDRS" localSheetId="26">#REF!</definedName>
    <definedName name="SCHADDRS" localSheetId="27">#REF!</definedName>
    <definedName name="SCHADDRS" localSheetId="28">#REF!</definedName>
    <definedName name="SCHADDRS" localSheetId="29">#REF!</definedName>
    <definedName name="SCHADDRS" localSheetId="16">#REF!</definedName>
    <definedName name="SCHADDRS" localSheetId="20">#REF!</definedName>
    <definedName name="SCHADDRS" localSheetId="4">#REF!</definedName>
    <definedName name="SCHADDRS" localSheetId="30">#REF!</definedName>
    <definedName name="SCHADDRS" localSheetId="25">#REF!</definedName>
    <definedName name="SCHADDRS" localSheetId="31">#REF!</definedName>
    <definedName name="SCHADDRS" localSheetId="32">#REF!</definedName>
    <definedName name="SCHADDRS" localSheetId="33">#REF!</definedName>
    <definedName name="SCHADDRS" localSheetId="24">#REF!</definedName>
    <definedName name="SCHADDRS" localSheetId="23">#REF!</definedName>
    <definedName name="SCHADDRS" localSheetId="34">#REF!</definedName>
    <definedName name="SCHADDRS">#REF!</definedName>
    <definedName name="SCHCTY" localSheetId="26">#REF!</definedName>
    <definedName name="SCHCTY" localSheetId="27">#REF!</definedName>
    <definedName name="SCHCTY" localSheetId="28">#REF!</definedName>
    <definedName name="SCHCTY" localSheetId="29">#REF!</definedName>
    <definedName name="SCHCTY" localSheetId="16">#REF!</definedName>
    <definedName name="SCHCTY" localSheetId="20">#REF!</definedName>
    <definedName name="SCHCTY" localSheetId="4">#REF!</definedName>
    <definedName name="SCHCTY" localSheetId="30">#REF!</definedName>
    <definedName name="SCHCTY" localSheetId="25">#REF!</definedName>
    <definedName name="SCHCTY" localSheetId="31">#REF!</definedName>
    <definedName name="SCHCTY" localSheetId="32">#REF!</definedName>
    <definedName name="SCHCTY" localSheetId="33">#REF!</definedName>
    <definedName name="SCHCTY" localSheetId="24">#REF!</definedName>
    <definedName name="SCHCTY" localSheetId="23">#REF!</definedName>
    <definedName name="SCHCTY" localSheetId="34">#REF!</definedName>
    <definedName name="SCHCTY">#REF!</definedName>
    <definedName name="SCHNMBR" localSheetId="26">#REF!</definedName>
    <definedName name="SCHNMBR" localSheetId="27">#REF!</definedName>
    <definedName name="SCHNMBR" localSheetId="28">#REF!</definedName>
    <definedName name="SCHNMBR" localSheetId="29">#REF!</definedName>
    <definedName name="SCHNMBR" localSheetId="16">#REF!</definedName>
    <definedName name="SCHNMBR" localSheetId="20">#REF!</definedName>
    <definedName name="SCHNMBR" localSheetId="4">#REF!</definedName>
    <definedName name="SCHNMBR" localSheetId="30">#REF!</definedName>
    <definedName name="SCHNMBR" localSheetId="25">#REF!</definedName>
    <definedName name="SCHNMBR" localSheetId="31">#REF!</definedName>
    <definedName name="SCHNMBR" localSheetId="32">#REF!</definedName>
    <definedName name="SCHNMBR" localSheetId="33">#REF!</definedName>
    <definedName name="SCHNMBR" localSheetId="24">#REF!</definedName>
    <definedName name="SCHNMBR" localSheetId="23">#REF!</definedName>
    <definedName name="SCHNMBR" localSheetId="34">#REF!</definedName>
    <definedName name="SCHNMBR">#REF!</definedName>
    <definedName name="SCHNME" localSheetId="26">#REF!</definedName>
    <definedName name="SCHNME" localSheetId="27">#REF!</definedName>
    <definedName name="SCHNME" localSheetId="28">#REF!</definedName>
    <definedName name="SCHNME" localSheetId="29">#REF!</definedName>
    <definedName name="SCHNME" localSheetId="16">#REF!</definedName>
    <definedName name="SCHNME" localSheetId="20">#REF!</definedName>
    <definedName name="SCHNME" localSheetId="4">#REF!</definedName>
    <definedName name="SCHNME" localSheetId="30">#REF!</definedName>
    <definedName name="SCHNME" localSheetId="25">#REF!</definedName>
    <definedName name="SCHNME" localSheetId="31">#REF!</definedName>
    <definedName name="SCHNME" localSheetId="32">#REF!</definedName>
    <definedName name="SCHNME" localSheetId="33">#REF!</definedName>
    <definedName name="SCHNME" localSheetId="24">#REF!</definedName>
    <definedName name="SCHNME" localSheetId="23">#REF!</definedName>
    <definedName name="SCHNME" localSheetId="34">#REF!</definedName>
    <definedName name="SCHNME">#REF!</definedName>
    <definedName name="SEFA2" localSheetId="28">#REF!</definedName>
    <definedName name="SEFA2" localSheetId="29">#REF!</definedName>
    <definedName name="SEFA2">#REF!</definedName>
    <definedName name="SUPT" localSheetId="26">#REF!</definedName>
    <definedName name="SUPT" localSheetId="27">#REF!</definedName>
    <definedName name="SUPT" localSheetId="28">#REF!</definedName>
    <definedName name="SUPT" localSheetId="29">#REF!</definedName>
    <definedName name="SUPT" localSheetId="16">#REF!</definedName>
    <definedName name="SUPT" localSheetId="20">#REF!</definedName>
    <definedName name="SUPT" localSheetId="4">#REF!</definedName>
    <definedName name="SUPT" localSheetId="30">#REF!</definedName>
    <definedName name="SUPT" localSheetId="25">#REF!</definedName>
    <definedName name="SUPT" localSheetId="31">#REF!</definedName>
    <definedName name="SUPT" localSheetId="32">#REF!</definedName>
    <definedName name="SUPT" localSheetId="33">#REF!</definedName>
    <definedName name="SUPT" localSheetId="24">#REF!</definedName>
    <definedName name="SUPT" localSheetId="23">#REF!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8" i="185" l="1"/>
  <c r="K20" i="186" s="1"/>
  <c r="J18" i="185"/>
  <c r="J20" i="186" s="1"/>
  <c r="I18" i="185"/>
  <c r="H18" i="185"/>
  <c r="H20" i="186" s="1"/>
  <c r="E18" i="185"/>
  <c r="E20" i="186" s="1"/>
  <c r="G13" i="185"/>
  <c r="L13" i="185" s="1"/>
  <c r="F14" i="185"/>
  <c r="F13" i="185"/>
  <c r="F18" i="185" s="1"/>
  <c r="F20" i="186" s="1"/>
  <c r="I17" i="186"/>
  <c r="L17" i="186" s="1"/>
  <c r="I25" i="185"/>
  <c r="L25" i="185" s="1"/>
  <c r="I22" i="185"/>
  <c r="L22" i="185"/>
  <c r="K11" i="187"/>
  <c r="J11" i="187"/>
  <c r="I11" i="187"/>
  <c r="H11" i="187"/>
  <c r="G11" i="187"/>
  <c r="F11" i="187"/>
  <c r="E11" i="187"/>
  <c r="L27" i="187"/>
  <c r="L26" i="187"/>
  <c r="L25" i="187"/>
  <c r="L24" i="187"/>
  <c r="L23" i="187"/>
  <c r="L22" i="187"/>
  <c r="L21" i="187"/>
  <c r="L20" i="187"/>
  <c r="L19" i="187"/>
  <c r="L18" i="187"/>
  <c r="L17" i="187"/>
  <c r="L16" i="187"/>
  <c r="L15" i="187"/>
  <c r="L14" i="187"/>
  <c r="L12" i="187"/>
  <c r="B4" i="187"/>
  <c r="K22" i="179"/>
  <c r="K24" i="179" s="1"/>
  <c r="J22" i="179"/>
  <c r="J24" i="179" s="1"/>
  <c r="I22" i="179"/>
  <c r="I24" i="179" s="1"/>
  <c r="H22" i="179"/>
  <c r="H24" i="179" s="1"/>
  <c r="G22" i="179"/>
  <c r="G24" i="179" s="1"/>
  <c r="F22" i="179"/>
  <c r="F24" i="179" s="1"/>
  <c r="E22" i="179"/>
  <c r="E24" i="179" s="1"/>
  <c r="L27" i="186"/>
  <c r="L26" i="186"/>
  <c r="L25" i="186"/>
  <c r="L24" i="186"/>
  <c r="L23" i="186"/>
  <c r="L22" i="186"/>
  <c r="L21" i="186"/>
  <c r="L19" i="186"/>
  <c r="L18" i="186"/>
  <c r="L16" i="186"/>
  <c r="L15" i="186"/>
  <c r="L14" i="186"/>
  <c r="L13" i="186"/>
  <c r="L12" i="186"/>
  <c r="L11" i="186"/>
  <c r="B4" i="186"/>
  <c r="L27" i="185"/>
  <c r="L26" i="185"/>
  <c r="L24" i="185"/>
  <c r="L23" i="185"/>
  <c r="L21" i="185"/>
  <c r="L20" i="185"/>
  <c r="L19" i="185"/>
  <c r="L17" i="185"/>
  <c r="L16" i="185"/>
  <c r="L15" i="185"/>
  <c r="L14" i="185"/>
  <c r="L12" i="185"/>
  <c r="L11" i="185"/>
  <c r="B4" i="185"/>
  <c r="G18" i="185" l="1"/>
  <c r="E13" i="187"/>
  <c r="J13" i="187"/>
  <c r="K13" i="187"/>
  <c r="I20" i="186"/>
  <c r="I13" i="187" s="1"/>
  <c r="H13" i="187"/>
  <c r="F13" i="187"/>
  <c r="L11" i="187"/>
  <c r="G20" i="186" l="1"/>
  <c r="L18" i="185"/>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G13" i="187" l="1"/>
  <c r="L13" i="187" s="1"/>
  <c r="L20" i="186"/>
  <c r="D167" i="34"/>
  <c r="D166" i="34"/>
  <c r="C167" i="34"/>
  <c r="C166" i="34"/>
  <c r="B7808" i="106" l="1"/>
  <c r="D7808" i="106" s="1"/>
  <c r="B7807" i="106"/>
  <c r="D7807" i="106" s="1"/>
  <c r="B7806" i="106"/>
  <c r="D7806" i="106" s="1"/>
  <c r="B7805" i="106"/>
  <c r="D7805" i="106" s="1"/>
  <c r="B7804" i="106"/>
  <c r="D7804" i="106" s="1"/>
  <c r="B7803" i="106"/>
  <c r="D7803" i="106" s="1"/>
  <c r="B7802" i="106"/>
  <c r="D7802" i="106" s="1"/>
  <c r="B7801" i="106"/>
  <c r="D7801" i="106" s="1"/>
  <c r="D178" i="34" l="1"/>
  <c r="D81" i="36" l="1"/>
  <c r="L334" i="29" l="1"/>
  <c r="B7795" i="106"/>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E99" i="181"/>
  <c r="F99" i="181" s="1"/>
  <c r="G99" i="181" s="1"/>
  <c r="G103" i="181"/>
  <c r="E103" i="181"/>
  <c r="E102" i="181"/>
  <c r="E101" i="181"/>
  <c r="F101" i="181" s="1"/>
  <c r="G101" i="181" s="1"/>
  <c r="E100" i="181"/>
  <c r="E98" i="181"/>
  <c r="F98" i="181" s="1"/>
  <c r="G98" i="181" s="1"/>
  <c r="E97" i="181"/>
  <c r="E96" i="181"/>
  <c r="F96" i="181" s="1"/>
  <c r="G96" i="181" s="1"/>
  <c r="E95" i="181"/>
  <c r="E93" i="181"/>
  <c r="F93" i="181" s="1"/>
  <c r="G93" i="181" s="1"/>
  <c r="E92" i="181"/>
  <c r="F92" i="181" s="1"/>
  <c r="G92" i="181" s="1"/>
  <c r="E91" i="181"/>
  <c r="E90" i="181"/>
  <c r="F90" i="181" s="1"/>
  <c r="G90" i="181" s="1"/>
  <c r="E89" i="181"/>
  <c r="F89" i="181" s="1"/>
  <c r="G89" i="181" s="1"/>
  <c r="E88" i="181"/>
  <c r="E87" i="181"/>
  <c r="F87" i="181" s="1"/>
  <c r="G87" i="181" s="1"/>
  <c r="E86" i="181"/>
  <c r="E84" i="181"/>
  <c r="F84" i="181" s="1"/>
  <c r="G84" i="181" s="1"/>
  <c r="E83" i="181"/>
  <c r="F83" i="181" s="1"/>
  <c r="G83" i="181" s="1"/>
  <c r="E82" i="181"/>
  <c r="F82" i="181" s="1"/>
  <c r="G82" i="181" s="1"/>
  <c r="E81" i="181"/>
  <c r="F81" i="181" s="1"/>
  <c r="G81" i="181" s="1"/>
  <c r="E80" i="181"/>
  <c r="F80" i="181" s="1"/>
  <c r="G80" i="181" s="1"/>
  <c r="E79" i="181"/>
  <c r="F79" i="181" s="1"/>
  <c r="G79" i="181" s="1"/>
  <c r="E78" i="181"/>
  <c r="F78" i="181" s="1"/>
  <c r="G78" i="181" s="1"/>
  <c r="E77" i="181"/>
  <c r="F77" i="181" s="1"/>
  <c r="G77" i="181" s="1"/>
  <c r="E76" i="181"/>
  <c r="F76" i="181" s="1"/>
  <c r="G76" i="181" s="1"/>
  <c r="E75" i="181"/>
  <c r="E74" i="181"/>
  <c r="F74" i="181" s="1"/>
  <c r="G74" i="181" s="1"/>
  <c r="E73" i="181"/>
  <c r="F73" i="181" s="1"/>
  <c r="G73" i="181" s="1"/>
  <c r="G140" i="181"/>
  <c r="E140" i="181"/>
  <c r="E94" i="181"/>
  <c r="F94" i="181" s="1"/>
  <c r="G94" i="181" s="1"/>
  <c r="E85" i="181"/>
  <c r="F85" i="181" s="1"/>
  <c r="G85" i="181" s="1"/>
  <c r="E72" i="181"/>
  <c r="E71" i="181"/>
  <c r="F71" i="181" s="1"/>
  <c r="G71" i="181" s="1"/>
  <c r="E70" i="181"/>
  <c r="F70" i="181" s="1"/>
  <c r="G70" i="181" s="1"/>
  <c r="E69" i="181"/>
  <c r="F69" i="181" s="1"/>
  <c r="G69" i="181" s="1"/>
  <c r="E68" i="181"/>
  <c r="F68" i="181" s="1"/>
  <c r="G68" i="181" s="1"/>
  <c r="E67" i="181"/>
  <c r="F67" i="181" s="1"/>
  <c r="G67" i="181" s="1"/>
  <c r="E66" i="181"/>
  <c r="F66" i="181" s="1"/>
  <c r="G66" i="181" s="1"/>
  <c r="E65" i="181"/>
  <c r="E64" i="181"/>
  <c r="E63" i="181"/>
  <c r="F63" i="181" s="1"/>
  <c r="G63" i="181" s="1"/>
  <c r="E62" i="181"/>
  <c r="F62" i="181" s="1"/>
  <c r="G62" i="181" s="1"/>
  <c r="E61" i="181"/>
  <c r="F61" i="181" s="1"/>
  <c r="G61" i="181" s="1"/>
  <c r="E60" i="181"/>
  <c r="E59" i="181"/>
  <c r="F59" i="181" s="1"/>
  <c r="G59" i="181" s="1"/>
  <c r="E58" i="181"/>
  <c r="E57" i="181"/>
  <c r="F57" i="181" s="1"/>
  <c r="G57" i="181" s="1"/>
  <c r="E56" i="181"/>
  <c r="E55" i="181"/>
  <c r="F55" i="181" s="1"/>
  <c r="G55" i="181" s="1"/>
  <c r="E54" i="181"/>
  <c r="E53" i="181"/>
  <c r="F53" i="181" s="1"/>
  <c r="G53" i="181" s="1"/>
  <c r="E52" i="181"/>
  <c r="F52" i="181" s="1"/>
  <c r="G52" i="181" s="1"/>
  <c r="E51" i="181"/>
  <c r="F51" i="181" s="1"/>
  <c r="G51" i="181" s="1"/>
  <c r="E50" i="181"/>
  <c r="F50" i="181" s="1"/>
  <c r="G50" i="181" s="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72" i="181" l="1"/>
  <c r="G72" i="181" s="1"/>
  <c r="F102" i="181"/>
  <c r="G102" i="181" s="1"/>
  <c r="F58" i="181"/>
  <c r="G58" i="181" s="1"/>
  <c r="F56" i="181"/>
  <c r="G56" i="181" s="1"/>
  <c r="F88" i="181"/>
  <c r="G88" i="181" s="1"/>
  <c r="F100" i="181"/>
  <c r="G100" i="181" s="1"/>
  <c r="F54" i="181"/>
  <c r="G54" i="181" s="1"/>
  <c r="F64" i="181"/>
  <c r="G64" i="181" s="1"/>
  <c r="F86" i="181"/>
  <c r="G86" i="181" s="1"/>
  <c r="F91" i="181"/>
  <c r="G91" i="181" s="1"/>
  <c r="F97" i="181"/>
  <c r="G97" i="181" s="1"/>
  <c r="F48" i="181"/>
  <c r="G48" i="181" s="1"/>
  <c r="F60" i="181"/>
  <c r="G60" i="181" s="1"/>
  <c r="F65" i="181"/>
  <c r="G65" i="181" s="1"/>
  <c r="F75" i="181"/>
  <c r="G75" i="181" s="1"/>
  <c r="F95" i="181"/>
  <c r="G95"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6"/>
  <c r="B1" i="187"/>
  <c r="B2" i="179"/>
  <c r="B2" i="185"/>
  <c r="B2" i="187"/>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J21" i="12"/>
  <c r="J23" i="12"/>
  <c r="B7729" i="106"/>
  <c r="D7729" i="106" s="1"/>
  <c r="B7734" i="106"/>
  <c r="B7726" i="106"/>
  <c r="B30" i="36"/>
  <c r="B33" i="36" s="1"/>
  <c r="B43" i="36" s="1"/>
  <c r="B56" i="36" s="1"/>
  <c r="B66" i="36" s="1"/>
  <c r="B70" i="36" s="1"/>
  <c r="B74" i="36" s="1"/>
  <c r="L127" i="29"/>
  <c r="L129" i="29" s="1"/>
  <c r="L139" i="29"/>
  <c r="L149" i="29"/>
  <c r="I7" i="145"/>
  <c r="I6" i="145"/>
  <c r="D78" i="36"/>
  <c r="K185"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20" i="29"/>
  <c r="B4080" i="106" s="1"/>
  <c r="D4080" i="106" s="1"/>
  <c r="D1286" i="106"/>
  <c r="D1290" i="106"/>
  <c r="D1291" i="106"/>
  <c r="D1292" i="106"/>
  <c r="D1293" i="106"/>
  <c r="D1294" i="106"/>
  <c r="D1295" i="106"/>
  <c r="D1296" i="106"/>
  <c r="D1297" i="106"/>
  <c r="D1298" i="106"/>
  <c r="D1299" i="106"/>
  <c r="D1300" i="106"/>
  <c r="D1301" i="106"/>
  <c r="D1302" i="106"/>
  <c r="D1303" i="106"/>
  <c r="D1304" i="106"/>
  <c r="D1305" i="106"/>
  <c r="D1306" i="106"/>
  <c r="B1312" i="106"/>
  <c r="D1312" i="106" s="1"/>
  <c r="B1315" i="106"/>
  <c r="D1315" i="106" s="1"/>
  <c r="D1319" i="106"/>
  <c r="D1320" i="106"/>
  <c r="D1321" i="106"/>
  <c r="D1322" i="106"/>
  <c r="B1323" i="106"/>
  <c r="D1323" i="106" s="1"/>
  <c r="K169" i="29"/>
  <c r="B1326" i="106" s="1"/>
  <c r="D1326" i="106" s="1"/>
  <c r="K170" i="29"/>
  <c r="D1334" i="106"/>
  <c r="D1336" i="106"/>
  <c r="D1337" i="106"/>
  <c r="D1342" i="106"/>
  <c r="D1343" i="106"/>
  <c r="D1348" i="106"/>
  <c r="D1349" i="106"/>
  <c r="D1355" i="106"/>
  <c r="D1356" i="106"/>
  <c r="D1361" i="106"/>
  <c r="D1362" i="106"/>
  <c r="D1367" i="106"/>
  <c r="D1368" i="106"/>
  <c r="D1374" i="106"/>
  <c r="D1378" i="106"/>
  <c r="D1379" i="106"/>
  <c r="K180" i="29"/>
  <c r="B4087" i="106" s="1"/>
  <c r="D4087" i="106" s="1"/>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74" i="106"/>
  <c r="D3374" i="106" s="1"/>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B5127" i="106"/>
  <c r="D5127"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B5879" i="106"/>
  <c r="D5879" i="106" s="1"/>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24" i="106"/>
  <c r="D5924"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B6142" i="106"/>
  <c r="D6142" i="106" s="1"/>
  <c r="B6147" i="106"/>
  <c r="D6147"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24" i="106"/>
  <c r="D6224" i="106" s="1"/>
  <c r="J18" i="4"/>
  <c r="B6228" i="106" s="1"/>
  <c r="D6228"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41" i="106"/>
  <c r="D6941" i="106" s="1"/>
  <c r="B7022" i="106"/>
  <c r="D7022" i="106" s="1"/>
  <c r="B7023" i="106"/>
  <c r="D7023" i="106" s="1"/>
  <c r="B7029" i="106"/>
  <c r="D7029" i="106" s="1"/>
  <c r="B7031" i="106"/>
  <c r="D7031" i="106" s="1"/>
  <c r="B7053" i="106"/>
  <c r="D7053" i="106" s="1"/>
  <c r="D7056" i="106"/>
  <c r="B7057" i="106"/>
  <c r="D7057" i="106" s="1"/>
  <c r="B7058" i="106"/>
  <c r="D7058" i="106" s="1"/>
  <c r="B7065" i="106"/>
  <c r="D7065" i="106" s="1"/>
  <c r="B7066" i="106"/>
  <c r="D7066" i="106" s="1"/>
  <c r="A7245" i="106"/>
  <c r="A7246" i="106" s="1"/>
  <c r="A7247" i="106" s="1"/>
  <c r="A7248" i="106" s="1"/>
  <c r="A7249" i="106" s="1"/>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D7734" i="106"/>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0" i="36"/>
  <c r="D41" i="36"/>
  <c r="D42" i="36"/>
  <c r="D69"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F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L5" i="11" s="1"/>
  <c r="B2056" i="106" s="1"/>
  <c r="D2056" i="106" s="1"/>
  <c r="C16" i="11"/>
  <c r="B2013" i="106" s="1"/>
  <c r="D2013" i="106" s="1"/>
  <c r="B7727" i="106"/>
  <c r="D7727"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F14" i="4"/>
  <c r="B2597" i="106" s="1"/>
  <c r="D2597" i="106" s="1"/>
  <c r="D7" i="118"/>
  <c r="D8" i="118"/>
  <c r="D9" i="118"/>
  <c r="D22" i="37"/>
  <c r="J22" i="37"/>
  <c r="L22" i="37"/>
  <c r="D24" i="37"/>
  <c r="B4270" i="106" s="1"/>
  <c r="D4270" i="106" s="1"/>
  <c r="H28" i="118" l="1"/>
  <c r="N22" i="3"/>
  <c r="B283" i="106" s="1"/>
  <c r="D283" i="106" s="1"/>
  <c r="D31" i="36"/>
  <c r="H29" i="118"/>
  <c r="K28" i="118" s="1"/>
  <c r="O27" i="118" s="1"/>
  <c r="O29" i="118" s="1"/>
  <c r="D11" i="37"/>
  <c r="F19" i="7"/>
  <c r="B1807" i="106" s="1"/>
  <c r="D1807" i="106" s="1"/>
  <c r="B3454" i="106"/>
  <c r="D3454" i="106" s="1"/>
  <c r="B2864" i="106"/>
  <c r="D2864" i="106" s="1"/>
  <c r="B2029" i="106"/>
  <c r="D2029" i="106" s="1"/>
  <c r="B276" i="106"/>
  <c r="D276" i="106" s="1"/>
  <c r="B2028" i="106"/>
  <c r="D2028" i="106" s="1"/>
  <c r="B275" i="106"/>
  <c r="D275" i="106" s="1"/>
  <c r="B2026" i="106"/>
  <c r="D2026" i="106" s="1"/>
  <c r="B2027" i="106"/>
  <c r="D2027" i="106" s="1"/>
  <c r="B274" i="106"/>
  <c r="D274" i="106" s="1"/>
  <c r="B2895" i="106"/>
  <c r="D2895" i="106" s="1"/>
  <c r="L15" i="11"/>
  <c r="B3459" i="106" s="1"/>
  <c r="D3459" i="106" s="1"/>
  <c r="H33" i="118"/>
  <c r="L367" i="29"/>
  <c r="L13" i="11"/>
  <c r="B2060" i="106" s="1"/>
  <c r="D2060" i="106" s="1"/>
  <c r="L342" i="29"/>
  <c r="I24" i="12"/>
  <c r="L312" i="29"/>
  <c r="F21" i="8"/>
  <c r="K24" i="12"/>
  <c r="B1329" i="106"/>
  <c r="D1329" i="106" s="1"/>
  <c r="F61" i="34"/>
  <c r="J90" i="28"/>
  <c r="B79" i="36"/>
  <c r="B77" i="36"/>
  <c r="F16" i="11"/>
  <c r="B2031" i="106" s="1"/>
  <c r="D2031" i="106" s="1"/>
  <c r="K16" i="11"/>
  <c r="B2055" i="106" s="1"/>
  <c r="D2055" i="106" s="1"/>
  <c r="B7759" i="106"/>
  <c r="D7759" i="106" s="1"/>
  <c r="L3" i="11"/>
  <c r="B7596" i="106" s="1"/>
  <c r="L9" i="11"/>
  <c r="B7614" i="106" s="1"/>
  <c r="L10" i="11"/>
  <c r="B2058" i="106" s="1"/>
  <c r="D2058" i="106" s="1"/>
  <c r="L210" i="29"/>
  <c r="L102" i="29"/>
  <c r="B7600" i="106"/>
  <c r="L6" i="11"/>
  <c r="B7605" i="106" s="1"/>
  <c r="A7250" i="106"/>
  <c r="A7251" i="106" s="1"/>
  <c r="A7252" i="106" s="1"/>
  <c r="A7253" i="106" s="1"/>
  <c r="A7254" i="106" s="1"/>
  <c r="A7255" i="106" s="1"/>
  <c r="A7256" i="106" s="1"/>
  <c r="A7257" i="106" s="1"/>
  <c r="L279" i="29"/>
  <c r="L295" i="29" s="1"/>
  <c r="L74" i="29"/>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L151" i="29"/>
  <c r="J24" i="12"/>
  <c r="B7730" i="106"/>
  <c r="D7730" i="106" s="1"/>
  <c r="B7270" i="106"/>
  <c r="M23" i="3" l="1"/>
  <c r="B273" i="106"/>
  <c r="D273" i="106" s="1"/>
  <c r="L16" i="11"/>
  <c r="B2061" i="106" s="1"/>
  <c r="D2061" i="106" s="1"/>
  <c r="B2914" i="106"/>
  <c r="D2914" i="106" s="1"/>
  <c r="L34" i="3"/>
  <c r="L114" i="29"/>
  <c r="D7255" i="106"/>
  <c r="B1996" i="106"/>
  <c r="D1996" i="106" s="1"/>
  <c r="I26" i="12"/>
  <c r="B7741" i="106" s="1"/>
  <c r="D7741" i="106" s="1"/>
  <c r="B7733" i="106"/>
  <c r="D7733" i="106" s="1"/>
  <c r="K26" i="12"/>
  <c r="B7743" i="106" s="1"/>
  <c r="D7743" i="106" s="1"/>
  <c r="B1879" i="106"/>
  <c r="D1879" i="106" s="1"/>
  <c r="H22" i="37"/>
  <c r="B7760" i="106"/>
  <c r="D7760" i="106" s="1"/>
  <c r="D24"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F24" i="37" l="1"/>
  <c r="B279" i="106"/>
  <c r="D279" i="106" s="1"/>
  <c r="B2916" i="106"/>
  <c r="D2916" i="106" s="1"/>
  <c r="L41" i="3"/>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B281" i="106" l="1"/>
  <c r="D281" i="106" s="1"/>
  <c r="D54" i="36"/>
  <c r="A7261" i="106"/>
  <c r="B288" i="106"/>
  <c r="D288" i="106" s="1"/>
  <c r="B2994" i="106" l="1"/>
  <c r="D2994" i="106" s="1"/>
  <c r="K193" i="29"/>
  <c r="B3012" i="106" s="1"/>
  <c r="D3012" i="106" s="1"/>
  <c r="B3551" i="106"/>
  <c r="D3551" i="106" s="1"/>
  <c r="K325" i="29"/>
  <c r="B7180" i="106" s="1"/>
  <c r="D7180" i="106" s="1"/>
  <c r="B7172" i="106"/>
  <c r="D7172" i="106" s="1"/>
  <c r="B6931" i="106"/>
  <c r="D6931" i="106" s="1"/>
  <c r="B806" i="106"/>
  <c r="D806" i="106" s="1"/>
  <c r="B5059" i="106"/>
  <c r="D5059" i="106" s="1"/>
  <c r="B6970" i="106"/>
  <c r="D6970" i="106" s="1"/>
  <c r="B5528" i="106"/>
  <c r="D5528" i="106" s="1"/>
  <c r="E122" i="5"/>
  <c r="B7680" i="106"/>
  <c r="D7680" i="106" s="1"/>
  <c r="K326" i="29"/>
  <c r="B7189" i="106" s="1"/>
  <c r="D7189" i="106" s="1"/>
  <c r="B7181" i="106"/>
  <c r="D7181" i="106" s="1"/>
  <c r="B917" i="106"/>
  <c r="D917" i="106" s="1"/>
  <c r="B7002" i="106"/>
  <c r="D7002" i="106" s="1"/>
  <c r="K96" i="29"/>
  <c r="B7003" i="106" s="1"/>
  <c r="D7003" i="106" s="1"/>
  <c r="B1316" i="106"/>
  <c r="D1316" i="106" s="1"/>
  <c r="B6859" i="106"/>
  <c r="D6859" i="106" s="1"/>
  <c r="B6291" i="106"/>
  <c r="D6291" i="106" s="1"/>
  <c r="K79" i="29"/>
  <c r="B2974" i="106" s="1"/>
  <c r="D2974" i="106" s="1"/>
  <c r="B2950" i="106"/>
  <c r="D2950" i="106" s="1"/>
  <c r="B6377" i="106"/>
  <c r="D6377" i="106" s="1"/>
  <c r="B6314" i="106"/>
  <c r="D6314" i="106" s="1"/>
  <c r="F90" i="34"/>
  <c r="B6321" i="106"/>
  <c r="D6321" i="106" s="1"/>
  <c r="B6799" i="106"/>
  <c r="D6799" i="106" s="1"/>
  <c r="B5280" i="106"/>
  <c r="D5280" i="106" s="1"/>
  <c r="F130" i="34"/>
  <c r="B4887" i="106"/>
  <c r="D4887" i="106" s="1"/>
  <c r="G76" i="4"/>
  <c r="B3260" i="106" s="1"/>
  <c r="D3260" i="106" s="1"/>
  <c r="B3259" i="106"/>
  <c r="D3259" i="106" s="1"/>
  <c r="H34" i="3"/>
  <c r="B211" i="106" s="1"/>
  <c r="D211" i="106" s="1"/>
  <c r="B6130" i="106"/>
  <c r="D6130" i="106" s="1"/>
  <c r="B5728" i="106"/>
  <c r="D5728" i="106" s="1"/>
  <c r="B6933" i="106"/>
  <c r="D6933" i="106" s="1"/>
  <c r="B4354" i="106"/>
  <c r="D4354" i="106" s="1"/>
  <c r="B3058" i="106"/>
  <c r="D3058" i="106" s="1"/>
  <c r="K235" i="29"/>
  <c r="B1478" i="106" s="1"/>
  <c r="D1478" i="106" s="1"/>
  <c r="B1414" i="106"/>
  <c r="D1414" i="106" s="1"/>
  <c r="B5108" i="106"/>
  <c r="D5108" i="106" s="1"/>
  <c r="B6166" i="106"/>
  <c r="D6166" i="106" s="1"/>
  <c r="B324" i="106"/>
  <c r="D324" i="106" s="1"/>
  <c r="K98" i="29"/>
  <c r="B7007" i="106" s="1"/>
  <c r="D7007" i="106" s="1"/>
  <c r="B7006" i="106"/>
  <c r="D7006" i="106" s="1"/>
  <c r="B1552" i="106"/>
  <c r="D1552" i="106" s="1"/>
  <c r="B3580" i="106"/>
  <c r="D3580" i="106" s="1"/>
  <c r="B835" i="106"/>
  <c r="D835" i="106" s="1"/>
  <c r="K87" i="29"/>
  <c r="B6986" i="106" s="1"/>
  <c r="D6986" i="106" s="1"/>
  <c r="B6985" i="106"/>
  <c r="D6985" i="106" s="1"/>
  <c r="B6661" i="106"/>
  <c r="D6661" i="106" s="1"/>
  <c r="B5573" i="106"/>
  <c r="D5573" i="106" s="1"/>
  <c r="F91" i="34"/>
  <c r="B7750" i="106"/>
  <c r="D7750" i="106" s="1"/>
  <c r="B7675" i="106"/>
  <c r="D7675" i="106" s="1"/>
  <c r="B7258" i="106"/>
  <c r="D7258" i="106" s="1"/>
  <c r="B7810" i="106"/>
  <c r="D7810" i="106" s="1"/>
  <c r="K190" i="29"/>
  <c r="B3009" i="106" s="1"/>
  <c r="D3009" i="106" s="1"/>
  <c r="B2991" i="106"/>
  <c r="D2991" i="106" s="1"/>
  <c r="B3531" i="106"/>
  <c r="D3531" i="106" s="1"/>
  <c r="B5516" i="106"/>
  <c r="D5516" i="106" s="1"/>
  <c r="B6699" i="106"/>
  <c r="D6699" i="106" s="1"/>
  <c r="B6183" i="106"/>
  <c r="D6183" i="106" s="1"/>
  <c r="B5617" i="106"/>
  <c r="D5617" i="106" s="1"/>
  <c r="F29" i="34"/>
  <c r="B5387" i="106"/>
  <c r="D5387" i="106" s="1"/>
  <c r="B6356" i="106"/>
  <c r="D6356" i="106" s="1"/>
  <c r="E175" i="5"/>
  <c r="B4372" i="106" s="1"/>
  <c r="D4372" i="106" s="1"/>
  <c r="B4364" i="106"/>
  <c r="D4364" i="106" s="1"/>
  <c r="B6167" i="106"/>
  <c r="D6167" i="106" s="1"/>
  <c r="B6361" i="106"/>
  <c r="D6361" i="106" s="1"/>
  <c r="B5123" i="106"/>
  <c r="D5123" i="106" s="1"/>
  <c r="D12" i="171"/>
  <c r="B5344" i="106"/>
  <c r="D5344" i="106" s="1"/>
  <c r="B7766" i="106"/>
  <c r="D7766" i="106" s="1"/>
  <c r="B6909" i="106"/>
  <c r="D6909" i="106" s="1"/>
  <c r="B7677" i="106"/>
  <c r="D7677" i="106" s="1"/>
  <c r="B1372" i="106"/>
  <c r="D1372" i="106" s="1"/>
  <c r="K200" i="29"/>
  <c r="B1384" i="106" s="1"/>
  <c r="D1384" i="106" s="1"/>
  <c r="B7101" i="106"/>
  <c r="D7101" i="106" s="1"/>
  <c r="B6349" i="106"/>
  <c r="D6349" i="106" s="1"/>
  <c r="F108" i="34"/>
  <c r="B5167" i="106"/>
  <c r="D5167" i="106" s="1"/>
  <c r="D53" i="29"/>
  <c r="B792" i="106" s="1"/>
  <c r="D792" i="106" s="1"/>
  <c r="B790" i="106"/>
  <c r="D790" i="106" s="1"/>
  <c r="B5279" i="106"/>
  <c r="D5279" i="106" s="1"/>
  <c r="F129" i="34"/>
  <c r="B4885" i="106"/>
  <c r="D4885" i="106" s="1"/>
  <c r="B5511" i="106"/>
  <c r="D5511" i="106" s="1"/>
  <c r="B3080" i="106"/>
  <c r="D3080" i="106" s="1"/>
  <c r="B5351" i="106"/>
  <c r="D5351" i="106" s="1"/>
  <c r="F184" i="29"/>
  <c r="B1354" i="106"/>
  <c r="D1354" i="106" s="1"/>
  <c r="B6307" i="106"/>
  <c r="D6307" i="106" s="1"/>
  <c r="B5359" i="106"/>
  <c r="D5359" i="106" s="1"/>
  <c r="B5139" i="106"/>
  <c r="D5139" i="106" s="1"/>
  <c r="B5860" i="106"/>
  <c r="D5860" i="106" s="1"/>
  <c r="B6635" i="106"/>
  <c r="D6635" i="106" s="1"/>
  <c r="B6648" i="106"/>
  <c r="D6648" i="106" s="1"/>
  <c r="B916" i="106"/>
  <c r="D916" i="106" s="1"/>
  <c r="B950" i="106"/>
  <c r="D950" i="106" s="1"/>
  <c r="B6344" i="106"/>
  <c r="D6344" i="106" s="1"/>
  <c r="B3624" i="106"/>
  <c r="D3624" i="106" s="1"/>
  <c r="D350" i="29"/>
  <c r="B6772" i="106"/>
  <c r="D6772" i="106" s="1"/>
  <c r="K332" i="29"/>
  <c r="H334" i="29"/>
  <c r="B7789" i="106" s="1"/>
  <c r="D7789" i="106" s="1"/>
  <c r="B7785" i="106"/>
  <c r="D7785" i="106" s="1"/>
  <c r="J169" i="5"/>
  <c r="B6396" i="106" s="1"/>
  <c r="D6396" i="106" s="1"/>
  <c r="B6373" i="106"/>
  <c r="D6373" i="106" s="1"/>
  <c r="K242" i="29"/>
  <c r="B1484" i="106" s="1"/>
  <c r="D1484" i="106" s="1"/>
  <c r="B1420" i="106"/>
  <c r="D1420" i="106" s="1"/>
  <c r="B3533" i="106"/>
  <c r="D3533" i="106" s="1"/>
  <c r="B7004" i="106"/>
  <c r="D7004" i="106" s="1"/>
  <c r="K97" i="29"/>
  <c r="B7005" i="106" s="1"/>
  <c r="D7005" i="106" s="1"/>
  <c r="B5083" i="106"/>
  <c r="D5083" i="106" s="1"/>
  <c r="B6249" i="106"/>
  <c r="D6249" i="106" s="1"/>
  <c r="B6133" i="106"/>
  <c r="D6133" i="106" s="1"/>
  <c r="H65" i="29"/>
  <c r="B1035" i="106" s="1"/>
  <c r="D1035" i="106" s="1"/>
  <c r="B1028" i="106"/>
  <c r="D1028" i="106" s="1"/>
  <c r="B6745" i="106"/>
  <c r="D6745" i="106" s="1"/>
  <c r="K109" i="29"/>
  <c r="B1149" i="106" s="1"/>
  <c r="D1149" i="106" s="1"/>
  <c r="B1051" i="106"/>
  <c r="D1051" i="106" s="1"/>
  <c r="K125" i="29"/>
  <c r="B3488" i="106" s="1"/>
  <c r="D3488" i="106" s="1"/>
  <c r="B3482" i="106"/>
  <c r="D3482" i="106" s="1"/>
  <c r="B5590" i="106"/>
  <c r="D5590" i="106" s="1"/>
  <c r="B325" i="106"/>
  <c r="D325" i="106" s="1"/>
  <c r="B6734" i="106"/>
  <c r="D6734" i="106" s="1"/>
  <c r="B4410" i="106"/>
  <c r="D4410" i="106" s="1"/>
  <c r="B2958" i="106"/>
  <c r="D2958" i="106" s="1"/>
  <c r="B7765" i="106"/>
  <c r="D7765" i="106" s="1"/>
  <c r="F159" i="34"/>
  <c r="B814" i="106"/>
  <c r="D814" i="106" s="1"/>
  <c r="B6255" i="106"/>
  <c r="D6255" i="106" s="1"/>
  <c r="F120" i="34"/>
  <c r="B4329" i="106"/>
  <c r="D4329" i="106" s="1"/>
  <c r="B7040" i="106"/>
  <c r="D7040" i="106" s="1"/>
  <c r="B6773" i="106"/>
  <c r="D6773" i="106" s="1"/>
  <c r="B756" i="106"/>
  <c r="D756" i="106" s="1"/>
  <c r="K75" i="29"/>
  <c r="B6325" i="106"/>
  <c r="D6325" i="106" s="1"/>
  <c r="B2722" i="106"/>
  <c r="D2722" i="106" s="1"/>
  <c r="B7656" i="106"/>
  <c r="D7656" i="106" s="1"/>
  <c r="B651" i="106"/>
  <c r="D651" i="106" s="1"/>
  <c r="B5512" i="106"/>
  <c r="D5512" i="106" s="1"/>
  <c r="B5876" i="106"/>
  <c r="D5876" i="106" s="1"/>
  <c r="B6708" i="106"/>
  <c r="D6708" i="106" s="1"/>
  <c r="B4316" i="106"/>
  <c r="D4316" i="106" s="1"/>
  <c r="B839" i="106"/>
  <c r="D839" i="106" s="1"/>
  <c r="K333" i="29"/>
  <c r="B7788" i="106" s="1"/>
  <c r="D7788" i="106" s="1"/>
  <c r="B7787" i="106"/>
  <c r="D7787" i="106" s="1"/>
  <c r="H137" i="29"/>
  <c r="H139" i="29" s="1"/>
  <c r="B7775" i="106"/>
  <c r="D7775" i="106" s="1"/>
  <c r="B4335" i="106"/>
  <c r="D4335" i="106" s="1"/>
  <c r="B6847" i="106"/>
  <c r="D6847" i="106" s="1"/>
  <c r="B5458" i="106"/>
  <c r="D5458" i="106" s="1"/>
  <c r="F31" i="34"/>
  <c r="D217" i="5"/>
  <c r="B5470" i="106" s="1"/>
  <c r="D5470" i="106" s="1"/>
  <c r="B6299" i="106"/>
  <c r="D6299" i="106" s="1"/>
  <c r="B754" i="106"/>
  <c r="D754" i="106" s="1"/>
  <c r="K73" i="29"/>
  <c r="B2980" i="106"/>
  <c r="D2980" i="106" s="1"/>
  <c r="G303" i="29"/>
  <c r="B1543" i="106"/>
  <c r="D1543" i="106" s="1"/>
  <c r="B6639" i="106"/>
  <c r="D6639" i="106" s="1"/>
  <c r="B6110" i="106"/>
  <c r="D6110" i="106" s="1"/>
  <c r="B3493" i="106"/>
  <c r="D3493" i="106" s="1"/>
  <c r="B4916" i="106"/>
  <c r="D4916" i="106" s="1"/>
  <c r="B6852" i="106"/>
  <c r="D6852" i="106" s="1"/>
  <c r="B6392" i="106"/>
  <c r="D6392" i="106" s="1"/>
  <c r="B6733" i="106"/>
  <c r="D6733" i="106" s="1"/>
  <c r="B975" i="106"/>
  <c r="D975" i="106" s="1"/>
  <c r="B6939" i="106"/>
  <c r="D6939" i="106" s="1"/>
  <c r="B2766" i="106"/>
  <c r="D2766" i="106" s="1"/>
  <c r="B6624" i="106"/>
  <c r="D6624" i="106" s="1"/>
  <c r="B6174" i="106"/>
  <c r="D6174" i="106" s="1"/>
  <c r="B2951" i="106"/>
  <c r="D2951" i="106" s="1"/>
  <c r="K80" i="29"/>
  <c r="B2975" i="106" s="1"/>
  <c r="D2975" i="106" s="1"/>
  <c r="B951" i="106"/>
  <c r="D951" i="106" s="1"/>
  <c r="B6332" i="106"/>
  <c r="D6332" i="106" s="1"/>
  <c r="B1261" i="106"/>
  <c r="D1261" i="106" s="1"/>
  <c r="B7731" i="106"/>
  <c r="D7731" i="106" s="1"/>
  <c r="B3639" i="106"/>
  <c r="D3639" i="106" s="1"/>
  <c r="B6086" i="106"/>
  <c r="D6086" i="106" s="1"/>
  <c r="B6336" i="106"/>
  <c r="D6336" i="106" s="1"/>
  <c r="B6822" i="106"/>
  <c r="D6822" i="106" s="1"/>
  <c r="B3064" i="106"/>
  <c r="D3064" i="106" s="1"/>
  <c r="K219" i="29"/>
  <c r="B3065" i="106" s="1"/>
  <c r="D3065" i="106" s="1"/>
  <c r="B6968" i="106"/>
  <c r="D6968" i="106" s="1"/>
  <c r="B5998" i="106"/>
  <c r="D5998" i="106" s="1"/>
  <c r="B6113" i="106"/>
  <c r="D6113" i="106" s="1"/>
  <c r="B6146" i="106"/>
  <c r="D6146" i="106" s="1"/>
  <c r="B6237" i="106"/>
  <c r="D6237" i="106" s="1"/>
  <c r="B7228" i="106"/>
  <c r="D7228" i="106" s="1"/>
  <c r="B5233" i="106"/>
  <c r="D5233" i="106" s="1"/>
  <c r="C188" i="5"/>
  <c r="B6121" i="106"/>
  <c r="D6121" i="106" s="1"/>
  <c r="B6980" i="106"/>
  <c r="D6980" i="106" s="1"/>
  <c r="B4217" i="106"/>
  <c r="D4217" i="106" s="1"/>
  <c r="F99" i="34"/>
  <c r="B5110" i="106"/>
  <c r="D5110" i="106" s="1"/>
  <c r="B6645" i="106"/>
  <c r="D6645" i="106" s="1"/>
  <c r="K195" i="29"/>
  <c r="B2839" i="106" s="1"/>
  <c r="D2839" i="106" s="1"/>
  <c r="B2824" i="106"/>
  <c r="D2824" i="106" s="1"/>
  <c r="B2959" i="106"/>
  <c r="D2959" i="106" s="1"/>
  <c r="B6677" i="106"/>
  <c r="D6677" i="106" s="1"/>
  <c r="B6151" i="106"/>
  <c r="D6151" i="106" s="1"/>
  <c r="B7673" i="106"/>
  <c r="D7673" i="106" s="1"/>
  <c r="B726" i="106"/>
  <c r="D726" i="106" s="1"/>
  <c r="K41" i="29"/>
  <c r="B1114" i="106" s="1"/>
  <c r="D1114" i="106" s="1"/>
  <c r="B7695" i="106"/>
  <c r="D7695" i="106" s="1"/>
  <c r="B3084" i="106"/>
  <c r="D3084" i="106" s="1"/>
  <c r="B6303" i="106"/>
  <c r="D6303" i="106" s="1"/>
  <c r="B6668" i="106"/>
  <c r="D6668" i="106" s="1"/>
  <c r="B9" i="7"/>
  <c r="H12" i="5"/>
  <c r="B5871" i="106"/>
  <c r="D5871" i="106" s="1"/>
  <c r="B6364" i="106"/>
  <c r="D6364" i="106" s="1"/>
  <c r="B1018" i="106"/>
  <c r="D1018" i="106" s="1"/>
  <c r="H47" i="29"/>
  <c r="B1021" i="106" s="1"/>
  <c r="D1021" i="106" s="1"/>
  <c r="B6729" i="106"/>
  <c r="D6729" i="106" s="1"/>
  <c r="F145" i="34"/>
  <c r="K356" i="29"/>
  <c r="B6958" i="106"/>
  <c r="D6958" i="106" s="1"/>
  <c r="B4190" i="106"/>
  <c r="D4190" i="106" s="1"/>
  <c r="B4313" i="106"/>
  <c r="D4313" i="106" s="1"/>
  <c r="F30" i="34"/>
  <c r="B6091" i="106"/>
  <c r="D6091" i="106" s="1"/>
  <c r="B7110" i="106"/>
  <c r="D7110" i="106" s="1"/>
  <c r="K308" i="29"/>
  <c r="B4100" i="106" s="1"/>
  <c r="D4100" i="106" s="1"/>
  <c r="B832" i="106"/>
  <c r="D832" i="106" s="1"/>
  <c r="B7139" i="106"/>
  <c r="D7139" i="106" s="1"/>
  <c r="B6669" i="106"/>
  <c r="D6669" i="106" s="1"/>
  <c r="K67" i="5"/>
  <c r="B5995" i="106" s="1"/>
  <c r="D5995" i="106" s="1"/>
  <c r="B5993" i="106"/>
  <c r="D5993" i="106" s="1"/>
  <c r="B6155" i="106"/>
  <c r="D6155" i="106" s="1"/>
  <c r="B5401" i="106"/>
  <c r="D5401" i="106" s="1"/>
  <c r="C82" i="5"/>
  <c r="B5097" i="106"/>
  <c r="D5097" i="106" s="1"/>
  <c r="B6709" i="106"/>
  <c r="D6709" i="106" s="1"/>
  <c r="B7232" i="106"/>
  <c r="D7232" i="106" s="1"/>
  <c r="B5152" i="106"/>
  <c r="D5152" i="106" s="1"/>
  <c r="B6117" i="106"/>
  <c r="D6117" i="106" s="1"/>
  <c r="B5997" i="106"/>
  <c r="D5997" i="106" s="1"/>
  <c r="B6369" i="106"/>
  <c r="D6369" i="106" s="1"/>
  <c r="B6257" i="106"/>
  <c r="D6257" i="106" s="1"/>
  <c r="F162" i="34"/>
  <c r="B5315" i="106"/>
  <c r="D5315" i="106" s="1"/>
  <c r="B6231" i="106"/>
  <c r="D6231" i="106" s="1"/>
  <c r="B7168" i="106"/>
  <c r="D7168" i="106" s="1"/>
  <c r="B7127" i="106"/>
  <c r="D7127" i="106" s="1"/>
  <c r="K320" i="29"/>
  <c r="B7135" i="106" s="1"/>
  <c r="D7135" i="106" s="1"/>
  <c r="B897" i="106"/>
  <c r="D897" i="106" s="1"/>
  <c r="B5884" i="106"/>
  <c r="D5884" i="106" s="1"/>
  <c r="B2956" i="106"/>
  <c r="D2956" i="106" s="1"/>
  <c r="B3519" i="106"/>
  <c r="D3519" i="106" s="1"/>
  <c r="H13" i="3"/>
  <c r="B203" i="106" s="1"/>
  <c r="D203" i="106" s="1"/>
  <c r="B6327" i="106"/>
  <c r="D6327" i="106" s="1"/>
  <c r="F103" i="34"/>
  <c r="B4761" i="106"/>
  <c r="D4761" i="106" s="1"/>
  <c r="B6408" i="106"/>
  <c r="D6408" i="106" s="1"/>
  <c r="E34" i="3"/>
  <c r="B139" i="106" s="1"/>
  <c r="D139" i="106" s="1"/>
  <c r="B6127" i="106"/>
  <c r="D6127" i="106" s="1"/>
  <c r="B1002" i="106"/>
  <c r="D1002" i="106" s="1"/>
  <c r="C145" i="5"/>
  <c r="B5163" i="106"/>
  <c r="D5163" i="106" s="1"/>
  <c r="B794" i="106"/>
  <c r="D794" i="106" s="1"/>
  <c r="B5362" i="106"/>
  <c r="D5362" i="106" s="1"/>
  <c r="B6136" i="106"/>
  <c r="D6136" i="106" s="1"/>
  <c r="C350" i="29"/>
  <c r="K348" i="29"/>
  <c r="B3617" i="106"/>
  <c r="D3617" i="106" s="1"/>
  <c r="B4369" i="106"/>
  <c r="D4369" i="106" s="1"/>
  <c r="B5724" i="106"/>
  <c r="D5724" i="106" s="1"/>
  <c r="B4315" i="106"/>
  <c r="D4315" i="106" s="1"/>
  <c r="B6308" i="106"/>
  <c r="D6308" i="106" s="1"/>
  <c r="B6752" i="106"/>
  <c r="D6752" i="106" s="1"/>
  <c r="B6630" i="106"/>
  <c r="D6630" i="106" s="1"/>
  <c r="F24" i="34"/>
  <c r="B5574" i="106"/>
  <c r="D5574" i="106" s="1"/>
  <c r="B729" i="106"/>
  <c r="D729" i="106" s="1"/>
  <c r="K45" i="29"/>
  <c r="B1117" i="106" s="1"/>
  <c r="D1117" i="106" s="1"/>
  <c r="B6316" i="106"/>
  <c r="D6316" i="106" s="1"/>
  <c r="J67" i="5"/>
  <c r="B6318" i="106" s="1"/>
  <c r="D6318" i="106" s="1"/>
  <c r="D330" i="29"/>
  <c r="B7119" i="106"/>
  <c r="D7119" i="106" s="1"/>
  <c r="B6092" i="106"/>
  <c r="D6092" i="106" s="1"/>
  <c r="B7112" i="106"/>
  <c r="D7112" i="106" s="1"/>
  <c r="K309" i="29"/>
  <c r="B3717" i="106" s="1"/>
  <c r="D3717" i="106" s="1"/>
  <c r="B4331" i="106"/>
  <c r="D4331" i="106" s="1"/>
  <c r="B5164" i="106"/>
  <c r="D5164" i="106" s="1"/>
  <c r="K18" i="5"/>
  <c r="B5992" i="106" s="1"/>
  <c r="D5992" i="106" s="1"/>
  <c r="B5988" i="106"/>
  <c r="D5988" i="106" s="1"/>
  <c r="B5440" i="106"/>
  <c r="D5440" i="106" s="1"/>
  <c r="D209" i="5"/>
  <c r="B4412" i="106" s="1"/>
  <c r="D4412" i="106" s="1"/>
  <c r="B852" i="106"/>
  <c r="D852" i="106" s="1"/>
  <c r="K265" i="29"/>
  <c r="B1494" i="106" s="1"/>
  <c r="D1494" i="106" s="1"/>
  <c r="B1430" i="106"/>
  <c r="D1430" i="106" s="1"/>
  <c r="B432" i="106"/>
  <c r="D432" i="106" s="1"/>
  <c r="B5594" i="106"/>
  <c r="D5594" i="106" s="1"/>
  <c r="B6340" i="106"/>
  <c r="D6340" i="106" s="1"/>
  <c r="B208" i="106"/>
  <c r="D208" i="106" s="1"/>
  <c r="B6663" i="106"/>
  <c r="D6663" i="106" s="1"/>
  <c r="B7248" i="106"/>
  <c r="D7248" i="106" s="1"/>
  <c r="B6305" i="106"/>
  <c r="D6305" i="106" s="1"/>
  <c r="B5084" i="106"/>
  <c r="D5084" i="106" s="1"/>
  <c r="B1236" i="106"/>
  <c r="D1236" i="106" s="1"/>
  <c r="K52" i="29"/>
  <c r="B6940" i="106" s="1"/>
  <c r="D6940" i="106" s="1"/>
  <c r="B6932" i="106"/>
  <c r="D6932" i="106" s="1"/>
  <c r="K266" i="29"/>
  <c r="B1495" i="106" s="1"/>
  <c r="D1495" i="106" s="1"/>
  <c r="B1431" i="106"/>
  <c r="D1431" i="106" s="1"/>
  <c r="B7658" i="106"/>
  <c r="D7658" i="106" s="1"/>
  <c r="K6" i="29"/>
  <c r="B7763" i="106" s="1"/>
  <c r="D7763" i="106" s="1"/>
  <c r="B7762" i="106"/>
  <c r="D7762" i="106" s="1"/>
  <c r="B7191" i="106"/>
  <c r="D7191" i="106" s="1"/>
  <c r="B7043" i="106"/>
  <c r="D7043" i="106" s="1"/>
  <c r="B895" i="106"/>
  <c r="D895" i="106" s="1"/>
  <c r="F42" i="29"/>
  <c r="B2807" i="106"/>
  <c r="D2807" i="106" s="1"/>
  <c r="K144" i="29"/>
  <c r="B2810" i="106" s="1"/>
  <c r="D2810" i="106" s="1"/>
  <c r="B6112" i="106"/>
  <c r="D6112" i="106" s="1"/>
  <c r="B3534" i="106"/>
  <c r="D3534" i="106" s="1"/>
  <c r="B6182" i="106"/>
  <c r="D6182" i="106" s="1"/>
  <c r="K13" i="3"/>
  <c r="B3552" i="106" s="1"/>
  <c r="D3552" i="106" s="1"/>
  <c r="B3548" i="106"/>
  <c r="D3548" i="106" s="1"/>
  <c r="D17" i="171"/>
  <c r="B4362" i="106"/>
  <c r="D4362" i="106" s="1"/>
  <c r="F169" i="34"/>
  <c r="B6705" i="106"/>
  <c r="D6705" i="106" s="1"/>
  <c r="B3562" i="106"/>
  <c r="D3562" i="106" s="1"/>
  <c r="B7229" i="106"/>
  <c r="D7229" i="106" s="1"/>
  <c r="B2960" i="106"/>
  <c r="D2960" i="106" s="1"/>
  <c r="B6169" i="106"/>
  <c r="D6169" i="106" s="1"/>
  <c r="B7151" i="106"/>
  <c r="D7151" i="106" s="1"/>
  <c r="B4376" i="106"/>
  <c r="D4376" i="106" s="1"/>
  <c r="C40" i="5"/>
  <c r="B5087" i="106" s="1"/>
  <c r="D5087" i="106" s="1"/>
  <c r="B5072" i="106"/>
  <c r="D5072" i="106" s="1"/>
  <c r="B6892" i="106"/>
  <c r="D6892" i="106" s="1"/>
  <c r="K28" i="29"/>
  <c r="K192" i="29"/>
  <c r="B3011" i="106" s="1"/>
  <c r="D3011" i="106" s="1"/>
  <c r="B2993" i="106"/>
  <c r="D2993" i="106" s="1"/>
  <c r="B6812" i="106"/>
  <c r="D6812" i="106" s="1"/>
  <c r="B6904" i="106"/>
  <c r="D6904" i="106" s="1"/>
  <c r="I42" i="29"/>
  <c r="B6236" i="106"/>
  <c r="D6236" i="106" s="1"/>
  <c r="B5462" i="106"/>
  <c r="D5462" i="106" s="1"/>
  <c r="B6160" i="106"/>
  <c r="D6160" i="106" s="1"/>
  <c r="B164" i="106"/>
  <c r="D164" i="106" s="1"/>
  <c r="B739" i="106"/>
  <c r="D739" i="106" s="1"/>
  <c r="K60" i="29"/>
  <c r="K292" i="29"/>
  <c r="B1514" i="106" s="1"/>
  <c r="D1514" i="106" s="1"/>
  <c r="B1451" i="106"/>
  <c r="D1451" i="106" s="1"/>
  <c r="B6652" i="106"/>
  <c r="D6652" i="106" s="1"/>
  <c r="B6406" i="106"/>
  <c r="D6406" i="106" s="1"/>
  <c r="B6824" i="106"/>
  <c r="D6824" i="106" s="1"/>
  <c r="B4318" i="106"/>
  <c r="D4318" i="106" s="1"/>
  <c r="K61" i="29"/>
  <c r="B740" i="106"/>
  <c r="D740" i="106" s="1"/>
  <c r="B6247" i="106"/>
  <c r="D6247" i="106" s="1"/>
  <c r="B6703" i="106"/>
  <c r="D6703" i="106" s="1"/>
  <c r="B7249" i="106"/>
  <c r="D7249" i="106" s="1"/>
  <c r="B5743" i="106"/>
  <c r="D5743" i="106" s="1"/>
  <c r="B1257" i="106"/>
  <c r="D1257" i="106" s="1"/>
  <c r="K5" i="29"/>
  <c r="B1093" i="106" s="1"/>
  <c r="D1093" i="106" s="1"/>
  <c r="C33" i="29"/>
  <c r="B720" i="106" s="1"/>
  <c r="D720" i="106" s="1"/>
  <c r="B705" i="106"/>
  <c r="D705" i="106" s="1"/>
  <c r="B3230" i="106"/>
  <c r="D3230" i="106" s="1"/>
  <c r="B1033" i="106"/>
  <c r="D1033" i="106" s="1"/>
  <c r="B6806" i="106"/>
  <c r="D6806" i="106" s="1"/>
  <c r="B5736" i="106"/>
  <c r="D5736" i="106" s="1"/>
  <c r="C330" i="29"/>
  <c r="B7118" i="106"/>
  <c r="D7118" i="106" s="1"/>
  <c r="K319" i="29"/>
  <c r="B3549" i="106"/>
  <c r="D3549" i="106" s="1"/>
  <c r="B2806" i="106"/>
  <c r="D2806" i="106" s="1"/>
  <c r="B7761" i="106"/>
  <c r="D7761" i="106" s="1"/>
  <c r="F158" i="34"/>
  <c r="B5353" i="106"/>
  <c r="D5353" i="106" s="1"/>
  <c r="B6712" i="106"/>
  <c r="D6712" i="106" s="1"/>
  <c r="F143" i="34"/>
  <c r="B5086" i="106"/>
  <c r="D5086" i="106" s="1"/>
  <c r="B7265" i="106"/>
  <c r="B955" i="106"/>
  <c r="D955" i="106" s="1"/>
  <c r="B770" i="106"/>
  <c r="D770" i="106" s="1"/>
  <c r="K25" i="29"/>
  <c r="B6886" i="106"/>
  <c r="D6886" i="106" s="1"/>
  <c r="B1009" i="106"/>
  <c r="D1009" i="106" s="1"/>
  <c r="K23" i="29"/>
  <c r="F42" i="34" s="1"/>
  <c r="B6882" i="106"/>
  <c r="D6882" i="106" s="1"/>
  <c r="B5877" i="106"/>
  <c r="D5877" i="106" s="1"/>
  <c r="B5133" i="106"/>
  <c r="D5133" i="106" s="1"/>
  <c r="C132" i="5"/>
  <c r="B7663" i="106"/>
  <c r="D7663" i="106" s="1"/>
  <c r="B764" i="106"/>
  <c r="D764" i="106" s="1"/>
  <c r="H350" i="29"/>
  <c r="B3652" i="106"/>
  <c r="D3652" i="106" s="1"/>
  <c r="B6704" i="106"/>
  <c r="D6704" i="106" s="1"/>
  <c r="B5439" i="106"/>
  <c r="D5439" i="106" s="1"/>
  <c r="B6337" i="106"/>
  <c r="D6337" i="106" s="1"/>
  <c r="B6923" i="106"/>
  <c r="D6923" i="106" s="1"/>
  <c r="B6696" i="106"/>
  <c r="D6696" i="106" s="1"/>
  <c r="B5659" i="106"/>
  <c r="D5659" i="106" s="1"/>
  <c r="F188" i="5"/>
  <c r="B4877" i="106"/>
  <c r="D4877" i="106" s="1"/>
  <c r="B6659" i="106"/>
  <c r="D6659" i="106" s="1"/>
  <c r="B7752" i="106"/>
  <c r="D7752" i="106" s="1"/>
  <c r="G44" i="4"/>
  <c r="B97" i="106"/>
  <c r="D97" i="106" s="1"/>
  <c r="B119" i="106"/>
  <c r="D119" i="106" s="1"/>
  <c r="B5609" i="106"/>
  <c r="D5609" i="106" s="1"/>
  <c r="B4879" i="106"/>
  <c r="D4879" i="106" s="1"/>
  <c r="B6907" i="106"/>
  <c r="D6907" i="106" s="1"/>
  <c r="B3316" i="106"/>
  <c r="D3316" i="106" s="1"/>
  <c r="B6814" i="106"/>
  <c r="D6814" i="106" s="1"/>
  <c r="B6738" i="106"/>
  <c r="D6738" i="106" s="1"/>
  <c r="B6920" i="106"/>
  <c r="D6920" i="106" s="1"/>
  <c r="B867" i="106"/>
  <c r="D867" i="106" s="1"/>
  <c r="J184" i="29"/>
  <c r="B7060" i="106"/>
  <c r="D7060" i="106" s="1"/>
  <c r="B5431" i="106"/>
  <c r="D5431" i="106" s="1"/>
  <c r="D204" i="5"/>
  <c r="B5444" i="106" s="1"/>
  <c r="D5444" i="106" s="1"/>
  <c r="B5119" i="106"/>
  <c r="D5119" i="106" s="1"/>
  <c r="B6930" i="106"/>
  <c r="D6930" i="106" s="1"/>
  <c r="B5729" i="106"/>
  <c r="D5729" i="106" s="1"/>
  <c r="B5056" i="106"/>
  <c r="D5056" i="106" s="1"/>
  <c r="F115" i="34"/>
  <c r="B4361" i="106"/>
  <c r="D4361" i="106" s="1"/>
  <c r="B6158" i="106"/>
  <c r="D6158" i="106" s="1"/>
  <c r="B1673" i="106"/>
  <c r="D1673" i="106" s="1"/>
  <c r="B5823" i="106"/>
  <c r="D5823" i="106" s="1"/>
  <c r="K175" i="5"/>
  <c r="B4951" i="106" s="1"/>
  <c r="D4951" i="106" s="1"/>
  <c r="B4368" i="106"/>
  <c r="D4368" i="106" s="1"/>
  <c r="B6646" i="106"/>
  <c r="D6646" i="106" s="1"/>
  <c r="B5175" i="106"/>
  <c r="D5175" i="106" s="1"/>
  <c r="C155" i="5"/>
  <c r="C76" i="4"/>
  <c r="B3231" i="106" s="1"/>
  <c r="D3231" i="106" s="1"/>
  <c r="B5022" i="106"/>
  <c r="D5022" i="106" s="1"/>
  <c r="B6640" i="106"/>
  <c r="D6640" i="106" s="1"/>
  <c r="B1229" i="106"/>
  <c r="D1229" i="106" s="1"/>
  <c r="B2957" i="106"/>
  <c r="D2957" i="106" s="1"/>
  <c r="B4919" i="106"/>
  <c r="D4919" i="106" s="1"/>
  <c r="B6947" i="106"/>
  <c r="D6947" i="106" s="1"/>
  <c r="B185" i="106"/>
  <c r="D185" i="106" s="1"/>
  <c r="E310" i="29"/>
  <c r="B7114" i="106" s="1"/>
  <c r="D7114" i="106" s="1"/>
  <c r="K306" i="29"/>
  <c r="B7105" i="106"/>
  <c r="D7105" i="106" s="1"/>
  <c r="B6359" i="106"/>
  <c r="D6359" i="106" s="1"/>
  <c r="B7637" i="106"/>
  <c r="B6827" i="106"/>
  <c r="D6827" i="106" s="1"/>
  <c r="K206" i="29"/>
  <c r="B4210" i="106"/>
  <c r="D4210" i="106" s="1"/>
  <c r="H122" i="5"/>
  <c r="B5887" i="106"/>
  <c r="D5887" i="106" s="1"/>
  <c r="B4181" i="106"/>
  <c r="D4181" i="106" s="1"/>
  <c r="B5124" i="106"/>
  <c r="D5124" i="106" s="1"/>
  <c r="B6347" i="106"/>
  <c r="D6347" i="106" s="1"/>
  <c r="B5116" i="106"/>
  <c r="D5116" i="106" s="1"/>
  <c r="B4311" i="106"/>
  <c r="D4311" i="106" s="1"/>
  <c r="B6141" i="106"/>
  <c r="D6141" i="106" s="1"/>
  <c r="B7262" i="106"/>
  <c r="B6343" i="106"/>
  <c r="D6343" i="106" s="1"/>
  <c r="B4328" i="106"/>
  <c r="D4328" i="106" s="1"/>
  <c r="D141" i="5"/>
  <c r="B5383" i="106" s="1"/>
  <c r="D5383" i="106" s="1"/>
  <c r="B5370" i="106"/>
  <c r="D5370" i="106" s="1"/>
  <c r="B7044" i="106"/>
  <c r="D7044" i="106" s="1"/>
  <c r="B7137" i="106"/>
  <c r="D7137" i="106" s="1"/>
  <c r="B6764" i="106"/>
  <c r="D6764" i="106" s="1"/>
  <c r="B618" i="106"/>
  <c r="D618" i="106" s="1"/>
  <c r="B6320" i="106"/>
  <c r="D6320" i="106" s="1"/>
  <c r="B6258" i="106"/>
  <c r="D6258" i="106" s="1"/>
  <c r="B4793" i="106"/>
  <c r="D4793" i="106" s="1"/>
  <c r="K69" i="29"/>
  <c r="G35" i="108" s="1"/>
  <c r="B748" i="106"/>
  <c r="D748" i="106" s="1"/>
  <c r="B3371" i="106"/>
  <c r="D3371" i="106" s="1"/>
  <c r="B922" i="106"/>
  <c r="D922" i="106" s="1"/>
  <c r="B7009" i="106"/>
  <c r="D7009" i="106" s="1"/>
  <c r="B5522" i="106"/>
  <c r="D5522" i="106" s="1"/>
  <c r="E108" i="5"/>
  <c r="B5526" i="106" s="1"/>
  <c r="D5526" i="106" s="1"/>
  <c r="B1534" i="106"/>
  <c r="D1534" i="106" s="1"/>
  <c r="B6721" i="106"/>
  <c r="D6721" i="106" s="1"/>
  <c r="B6395" i="106"/>
  <c r="D6395" i="106" s="1"/>
  <c r="B6251" i="106"/>
  <c r="D6251" i="106" s="1"/>
  <c r="F104" i="34"/>
  <c r="B5118" i="106"/>
  <c r="D5118" i="106" s="1"/>
  <c r="B6662" i="106"/>
  <c r="D6662" i="106" s="1"/>
  <c r="B783" i="106"/>
  <c r="D783" i="106" s="1"/>
  <c r="B4799" i="106"/>
  <c r="D4799" i="106" s="1"/>
  <c r="B6399" i="106"/>
  <c r="D6399" i="106" s="1"/>
  <c r="E40" i="4"/>
  <c r="B6288" i="106" s="1"/>
  <c r="D6288" i="106" s="1"/>
  <c r="B6248" i="106"/>
  <c r="D6248" i="106" s="1"/>
  <c r="K199" i="29"/>
  <c r="H204" i="29"/>
  <c r="B1371" i="106"/>
  <c r="D1371" i="106" s="1"/>
  <c r="B3057" i="106"/>
  <c r="D3057" i="106" s="1"/>
  <c r="B2995" i="106"/>
  <c r="D2995" i="106" s="1"/>
  <c r="H194" i="29"/>
  <c r="B3532" i="106"/>
  <c r="D3532" i="106" s="1"/>
  <c r="B6323" i="106"/>
  <c r="D6323" i="106" s="1"/>
  <c r="B5705" i="106"/>
  <c r="D5705" i="106" s="1"/>
  <c r="B5099" i="106"/>
  <c r="D5099" i="106" s="1"/>
  <c r="B6109" i="106"/>
  <c r="D6109" i="106" s="1"/>
  <c r="B104" i="106"/>
  <c r="D104" i="106" s="1"/>
  <c r="B777" i="106"/>
  <c r="D777" i="106" s="1"/>
  <c r="F128" i="34"/>
  <c r="B5278" i="106"/>
  <c r="D5278" i="106" s="1"/>
  <c r="B5602" i="106"/>
  <c r="D5602" i="106" s="1"/>
  <c r="G72" i="29"/>
  <c r="B985" i="106" s="1"/>
  <c r="D985" i="106" s="1"/>
  <c r="B978" i="106"/>
  <c r="D978" i="106" s="1"/>
  <c r="B6161" i="106"/>
  <c r="D6161" i="106" s="1"/>
  <c r="B6627" i="106"/>
  <c r="D6627" i="106" s="1"/>
  <c r="B7701" i="106"/>
  <c r="D7701" i="106" s="1"/>
  <c r="B6162" i="106"/>
  <c r="D6162" i="106" s="1"/>
  <c r="B6676" i="106"/>
  <c r="D6676" i="106" s="1"/>
  <c r="B7811" i="106"/>
  <c r="D7811" i="106" s="1"/>
  <c r="B6185" i="106"/>
  <c r="D6185" i="106" s="1"/>
  <c r="B6743" i="106"/>
  <c r="D6743" i="106" s="1"/>
  <c r="B774" i="106"/>
  <c r="D774" i="106" s="1"/>
  <c r="B2999" i="106"/>
  <c r="D2999" i="106" s="1"/>
  <c r="B6111" i="106"/>
  <c r="D6111" i="106" s="1"/>
  <c r="B5358" i="106"/>
  <c r="D5358" i="106" s="1"/>
  <c r="B1416" i="106"/>
  <c r="D1416" i="106" s="1"/>
  <c r="K237" i="29"/>
  <c r="B1480" i="106" s="1"/>
  <c r="D1480" i="106" s="1"/>
  <c r="B7659" i="106"/>
  <c r="D7659" i="106" s="1"/>
  <c r="B4359" i="106"/>
  <c r="D4359" i="106" s="1"/>
  <c r="B6803" i="106"/>
  <c r="D6803" i="106" s="1"/>
  <c r="B6856" i="106"/>
  <c r="D6856" i="106" s="1"/>
  <c r="K328" i="29"/>
  <c r="B7696" i="106" s="1"/>
  <c r="D7696" i="106" s="1"/>
  <c r="B7688" i="106"/>
  <c r="D7688" i="106" s="1"/>
  <c r="B6378" i="106"/>
  <c r="D6378" i="106" s="1"/>
  <c r="B2997" i="106"/>
  <c r="D2997" i="106" s="1"/>
  <c r="B4878" i="106"/>
  <c r="D4878" i="106" s="1"/>
  <c r="B6687" i="106"/>
  <c r="D6687" i="106" s="1"/>
  <c r="B6641" i="106"/>
  <c r="D6641" i="106" s="1"/>
  <c r="B6331" i="106"/>
  <c r="D6331" i="106" s="1"/>
  <c r="B968" i="106"/>
  <c r="D968" i="106" s="1"/>
  <c r="B6780" i="106"/>
  <c r="D6780" i="106" s="1"/>
  <c r="B4356" i="106"/>
  <c r="D4356" i="106" s="1"/>
  <c r="B6178" i="106"/>
  <c r="D6178" i="106" s="1"/>
  <c r="B5567" i="106"/>
  <c r="D5567" i="106" s="1"/>
  <c r="F19" i="34"/>
  <c r="B4448" i="106"/>
  <c r="D4448" i="106" s="1"/>
  <c r="J252" i="5"/>
  <c r="B6620" i="106"/>
  <c r="D6620" i="106" s="1"/>
  <c r="F27" i="34"/>
  <c r="B5578" i="106"/>
  <c r="D5578" i="106" s="1"/>
  <c r="B6148" i="106"/>
  <c r="D6148" i="106" s="1"/>
  <c r="B88" i="106"/>
  <c r="D88" i="106" s="1"/>
  <c r="B8" i="7"/>
  <c r="G12" i="5"/>
  <c r="B5721" i="106"/>
  <c r="D5721" i="106" s="1"/>
  <c r="H33" i="29"/>
  <c r="B1010" i="106" s="1"/>
  <c r="D1010" i="106" s="1"/>
  <c r="B995" i="106"/>
  <c r="D995" i="106" s="1"/>
  <c r="B3625" i="106"/>
  <c r="D3625" i="106" s="1"/>
  <c r="B5872" i="106"/>
  <c r="D5872" i="106" s="1"/>
  <c r="B6144" i="106"/>
  <c r="D6144" i="106" s="1"/>
  <c r="B6929" i="106"/>
  <c r="D6929" i="106" s="1"/>
  <c r="B7689" i="106"/>
  <c r="D7689" i="106" s="1"/>
  <c r="B7141" i="106"/>
  <c r="D7141" i="106" s="1"/>
  <c r="B2844" i="106"/>
  <c r="D2844" i="106" s="1"/>
  <c r="K291" i="29"/>
  <c r="B2846" i="106" s="1"/>
  <c r="D2846" i="106" s="1"/>
  <c r="B130" i="106"/>
  <c r="D130" i="106" s="1"/>
  <c r="B6751" i="106"/>
  <c r="D6751" i="106" s="1"/>
  <c r="B899" i="106"/>
  <c r="D899" i="106" s="1"/>
  <c r="B3377" i="106"/>
  <c r="D3377" i="106" s="1"/>
  <c r="B7667" i="106"/>
  <c r="D7667" i="106" s="1"/>
  <c r="B6087" i="106"/>
  <c r="D6087" i="106" s="1"/>
  <c r="B6888" i="106"/>
  <c r="D6888" i="106" s="1"/>
  <c r="K26" i="29"/>
  <c r="B996" i="106"/>
  <c r="D996" i="106" s="1"/>
  <c r="B202" i="106"/>
  <c r="D202" i="106" s="1"/>
  <c r="B6979" i="106"/>
  <c r="D6979" i="106" s="1"/>
  <c r="B1262" i="106"/>
  <c r="D1262" i="106" s="1"/>
  <c r="B6794" i="106"/>
  <c r="D6794" i="106" s="1"/>
  <c r="B938" i="106"/>
  <c r="D938" i="106" s="1"/>
  <c r="F175" i="5"/>
  <c r="B5655" i="106" s="1"/>
  <c r="D5655" i="106" s="1"/>
  <c r="B5654" i="106"/>
  <c r="D5654" i="106" s="1"/>
  <c r="B3251" i="106"/>
  <c r="D3251" i="106" s="1"/>
  <c r="B6826" i="106"/>
  <c r="D6826" i="106" s="1"/>
  <c r="B5109" i="106"/>
  <c r="D5109" i="106" s="1"/>
  <c r="B6159" i="106"/>
  <c r="D6159" i="106" s="1"/>
  <c r="B5529" i="106"/>
  <c r="D5529" i="106" s="1"/>
  <c r="B7128" i="106"/>
  <c r="D7128" i="106" s="1"/>
  <c r="B7045" i="106"/>
  <c r="D7045" i="106" s="1"/>
  <c r="B5341" i="106"/>
  <c r="D5341" i="106" s="1"/>
  <c r="B6679" i="106"/>
  <c r="D6679" i="106" s="1"/>
  <c r="B742" i="106"/>
  <c r="D742" i="106" s="1"/>
  <c r="K63" i="29"/>
  <c r="B6322" i="106"/>
  <c r="D6322" i="106" s="1"/>
  <c r="B898" i="106"/>
  <c r="D898" i="106" s="1"/>
  <c r="B7686" i="106"/>
  <c r="D7686" i="106" s="1"/>
  <c r="B6104" i="106"/>
  <c r="D6104" i="106" s="1"/>
  <c r="B3648" i="106"/>
  <c r="D3648" i="106" s="1"/>
  <c r="B6118" i="106"/>
  <c r="D6118" i="106" s="1"/>
  <c r="B848" i="106"/>
  <c r="D848" i="106" s="1"/>
  <c r="E53" i="29"/>
  <c r="B850" i="106" s="1"/>
  <c r="D850" i="106" s="1"/>
  <c r="B4771" i="106"/>
  <c r="D4771" i="106" s="1"/>
  <c r="B5181" i="106"/>
  <c r="D5181" i="106" s="1"/>
  <c r="F112" i="34"/>
  <c r="K93" i="29"/>
  <c r="H100" i="29"/>
  <c r="B7012" i="106" s="1"/>
  <c r="D7012" i="106" s="1"/>
  <c r="B6996" i="106"/>
  <c r="D6996" i="106" s="1"/>
  <c r="B6132" i="106"/>
  <c r="D6132" i="106" s="1"/>
  <c r="K34" i="3"/>
  <c r="B3565" i="106" s="1"/>
  <c r="D3565" i="106" s="1"/>
  <c r="B5589" i="106"/>
  <c r="D5589" i="106" s="1"/>
  <c r="F114" i="5"/>
  <c r="B6707" i="106"/>
  <c r="D6707" i="106" s="1"/>
  <c r="B1251" i="106"/>
  <c r="D1251" i="106" s="1"/>
  <c r="G127" i="29"/>
  <c r="C34" i="3"/>
  <c r="B91" i="106" s="1"/>
  <c r="D91" i="106" s="1"/>
  <c r="B6125" i="106"/>
  <c r="D6125" i="106" s="1"/>
  <c r="B962" i="106"/>
  <c r="D962" i="106" s="1"/>
  <c r="J42" i="29"/>
  <c r="B6905" i="106"/>
  <c r="D6905" i="106" s="1"/>
  <c r="B5026" i="106"/>
  <c r="D5026" i="106" s="1"/>
  <c r="B13" i="7"/>
  <c r="B7672" i="106"/>
  <c r="D7672" i="106" s="1"/>
  <c r="B156" i="106"/>
  <c r="D156" i="106" s="1"/>
  <c r="B6849" i="106"/>
  <c r="D6849" i="106" s="1"/>
  <c r="F22" i="34"/>
  <c r="B6313" i="106"/>
  <c r="D6313" i="106" s="1"/>
  <c r="B5073" i="106"/>
  <c r="D5073" i="106" s="1"/>
  <c r="B7183" i="106"/>
  <c r="D7183" i="106" s="1"/>
  <c r="F132" i="5"/>
  <c r="B5600" i="106"/>
  <c r="D5600" i="106" s="1"/>
  <c r="B800" i="106"/>
  <c r="D800" i="106" s="1"/>
  <c r="B973" i="106"/>
  <c r="D973" i="106" s="1"/>
  <c r="B6362" i="106"/>
  <c r="D6362" i="106" s="1"/>
  <c r="B6694" i="106"/>
  <c r="D6694" i="106" s="1"/>
  <c r="B7196" i="106"/>
  <c r="D7196" i="106" s="1"/>
  <c r="B18" i="7"/>
  <c r="B5065" i="106"/>
  <c r="D5065" i="106" s="1"/>
  <c r="B7102" i="106"/>
  <c r="D7102" i="106" s="1"/>
  <c r="B6370" i="106"/>
  <c r="D6370" i="106" s="1"/>
  <c r="B7174" i="106"/>
  <c r="D7174" i="106" s="1"/>
  <c r="B6728" i="106"/>
  <c r="D6728" i="106" s="1"/>
  <c r="F20" i="34"/>
  <c r="B5568" i="106"/>
  <c r="D5568" i="106" s="1"/>
  <c r="B6936" i="106"/>
  <c r="D6936" i="106" s="1"/>
  <c r="B6967" i="106"/>
  <c r="D6967" i="106" s="1"/>
  <c r="B974" i="106"/>
  <c r="D974" i="106" s="1"/>
  <c r="D229" i="29"/>
  <c r="B1410" i="106" s="1"/>
  <c r="D1410" i="106" s="1"/>
  <c r="B3387" i="106"/>
  <c r="D3387" i="106" s="1"/>
  <c r="K215" i="29"/>
  <c r="B5069" i="106"/>
  <c r="D5069" i="106" s="1"/>
  <c r="B6774" i="106"/>
  <c r="D6774" i="106" s="1"/>
  <c r="B1350" i="106"/>
  <c r="D1350" i="106" s="1"/>
  <c r="F165" i="34"/>
  <c r="B4189" i="106"/>
  <c r="D4189" i="106" s="1"/>
  <c r="B6716" i="106"/>
  <c r="D6716" i="106" s="1"/>
  <c r="B6741" i="106"/>
  <c r="D6741" i="106" s="1"/>
  <c r="B1425" i="106"/>
  <c r="D1425" i="106" s="1"/>
  <c r="D261" i="29"/>
  <c r="B1427" i="106" s="1"/>
  <c r="D1427" i="106" s="1"/>
  <c r="K259" i="29"/>
  <c r="B893" i="106"/>
  <c r="D893" i="106" s="1"/>
  <c r="B1025" i="106"/>
  <c r="D1025" i="106" s="1"/>
  <c r="H57" i="29"/>
  <c r="B1027" i="106" s="1"/>
  <c r="D1027" i="106" s="1"/>
  <c r="B4338" i="106"/>
  <c r="D4338" i="106" s="1"/>
  <c r="B7233" i="106"/>
  <c r="D7233" i="106" s="1"/>
  <c r="B6304" i="106"/>
  <c r="D6304" i="106" s="1"/>
  <c r="B3161" i="106"/>
  <c r="D3161" i="106" s="1"/>
  <c r="H51" i="4"/>
  <c r="B3170" i="106" s="1"/>
  <c r="D3170" i="106" s="1"/>
  <c r="K19" i="29"/>
  <c r="B3381" i="106" s="1"/>
  <c r="D3381" i="106" s="1"/>
  <c r="B3367" i="106"/>
  <c r="D3367" i="106" s="1"/>
  <c r="B4377" i="106"/>
  <c r="D4377" i="106" s="1"/>
  <c r="B5818" i="106"/>
  <c r="D5818" i="106" s="1"/>
  <c r="B6615" i="106"/>
  <c r="D6615" i="106" s="1"/>
  <c r="D252" i="5"/>
  <c r="B6834" i="106" s="1"/>
  <c r="D6834" i="106" s="1"/>
  <c r="B5122" i="106"/>
  <c r="D5122" i="106" s="1"/>
  <c r="C114" i="5"/>
  <c r="B4391" i="106"/>
  <c r="D4391" i="106" s="1"/>
  <c r="K39" i="29"/>
  <c r="B1112" i="106" s="1"/>
  <c r="D1112" i="106" s="1"/>
  <c r="B724" i="106"/>
  <c r="D724" i="106" s="1"/>
  <c r="B6697" i="106"/>
  <c r="D6697" i="106" s="1"/>
  <c r="B6775" i="106"/>
  <c r="D6775" i="106" s="1"/>
  <c r="B6915" i="106"/>
  <c r="D6915" i="106" s="1"/>
  <c r="B2843" i="106"/>
  <c r="D2843" i="106" s="1"/>
  <c r="K290" i="29"/>
  <c r="B2845" i="106" s="1"/>
  <c r="D2845" i="106" s="1"/>
  <c r="B3641" i="106"/>
  <c r="D3641" i="106" s="1"/>
  <c r="B7706" i="106"/>
  <c r="D7706" i="106" s="1"/>
  <c r="B5561" i="106"/>
  <c r="D5561" i="106" s="1"/>
  <c r="B6726" i="106"/>
  <c r="D6726" i="106" s="1"/>
  <c r="K263" i="29"/>
  <c r="B1428" i="106"/>
  <c r="D1428" i="106" s="1"/>
  <c r="D270" i="29"/>
  <c r="B1436" i="106" s="1"/>
  <c r="D1436" i="106" s="1"/>
  <c r="B3228" i="106"/>
  <c r="D3228" i="106" s="1"/>
  <c r="B6981" i="106"/>
  <c r="D6981" i="106" s="1"/>
  <c r="K85" i="29"/>
  <c r="B6982" i="106" s="1"/>
  <c r="D6982" i="106" s="1"/>
  <c r="H92" i="29"/>
  <c r="B6678" i="106"/>
  <c r="D6678" i="106" s="1"/>
  <c r="K278" i="29"/>
  <c r="B1509" i="106" s="1"/>
  <c r="D1509" i="106" s="1"/>
  <c r="B1445" i="106"/>
  <c r="D1445" i="106" s="1"/>
  <c r="B3530" i="106"/>
  <c r="D3530" i="106" s="1"/>
  <c r="B7129" i="106"/>
  <c r="D7129" i="106" s="1"/>
  <c r="B2769" i="106"/>
  <c r="D2769" i="106" s="1"/>
  <c r="B6621" i="106"/>
  <c r="D6621" i="106" s="1"/>
  <c r="K252" i="5"/>
  <c r="B738" i="106"/>
  <c r="D738" i="106" s="1"/>
  <c r="K59" i="29"/>
  <c r="C65" i="29"/>
  <c r="B745" i="106" s="1"/>
  <c r="D745" i="106" s="1"/>
  <c r="B6993" i="106"/>
  <c r="D6993" i="106" s="1"/>
  <c r="K91" i="29"/>
  <c r="B6994" i="106" s="1"/>
  <c r="D6994" i="106" s="1"/>
  <c r="B5763" i="106"/>
  <c r="D5763" i="106" s="1"/>
  <c r="B6674" i="106"/>
  <c r="D6674" i="106" s="1"/>
  <c r="F140" i="34"/>
  <c r="B7182" i="106"/>
  <c r="D7182" i="106" s="1"/>
  <c r="B1335" i="106"/>
  <c r="D1335" i="106" s="1"/>
  <c r="C184" i="29"/>
  <c r="K182" i="29"/>
  <c r="B6762" i="106"/>
  <c r="D6762" i="106" s="1"/>
  <c r="B653" i="106"/>
  <c r="D653" i="106" s="1"/>
  <c r="B3275" i="106"/>
  <c r="D3275" i="106" s="1"/>
  <c r="B6134" i="106"/>
  <c r="D6134" i="106" s="1"/>
  <c r="B3078" i="106"/>
  <c r="D3078" i="106" s="1"/>
  <c r="B7122" i="106"/>
  <c r="D7122" i="106" s="1"/>
  <c r="G330" i="29"/>
  <c r="B6957" i="106"/>
  <c r="D6957" i="106" s="1"/>
  <c r="B6120" i="106"/>
  <c r="D6120" i="106" s="1"/>
  <c r="B6156" i="106"/>
  <c r="D6156" i="106" s="1"/>
  <c r="E38" i="4"/>
  <c r="B6286" i="106" s="1"/>
  <c r="D6286" i="106" s="1"/>
  <c r="B6243" i="106"/>
  <c r="D6243" i="106" s="1"/>
  <c r="B6727" i="106"/>
  <c r="D6727" i="106" s="1"/>
  <c r="K7" i="29"/>
  <c r="B7188" i="106"/>
  <c r="D7188" i="106" s="1"/>
  <c r="K224" i="29"/>
  <c r="B1409" i="106"/>
  <c r="D1409" i="106" s="1"/>
  <c r="B1235" i="106"/>
  <c r="D1235" i="106" s="1"/>
  <c r="E127" i="29"/>
  <c r="B5332" i="106"/>
  <c r="D5332" i="106" s="1"/>
  <c r="B15" i="7"/>
  <c r="B5105" i="106"/>
  <c r="D5105" i="106" s="1"/>
  <c r="B5563" i="106"/>
  <c r="D5563" i="106" s="1"/>
  <c r="F63" i="5"/>
  <c r="B5579" i="106" s="1"/>
  <c r="D5579" i="106" s="1"/>
  <c r="F84" i="34"/>
  <c r="B6660" i="106"/>
  <c r="D6660" i="106" s="1"/>
  <c r="B6828" i="106"/>
  <c r="D6828" i="106" s="1"/>
  <c r="B6913" i="106"/>
  <c r="D6913" i="106" s="1"/>
  <c r="H184" i="29"/>
  <c r="B1370" i="106" s="1"/>
  <c r="D1370" i="106" s="1"/>
  <c r="B1366" i="106"/>
  <c r="D1366" i="106" s="1"/>
  <c r="B2725" i="106"/>
  <c r="D2725" i="106" s="1"/>
  <c r="K247" i="29"/>
  <c r="B2726" i="106" s="1"/>
  <c r="D2726" i="106" s="1"/>
  <c r="B780" i="106"/>
  <c r="D780" i="106" s="1"/>
  <c r="B6103" i="106"/>
  <c r="D6103" i="106" s="1"/>
  <c r="B6796" i="106"/>
  <c r="D6796" i="106" s="1"/>
  <c r="B3577" i="106"/>
  <c r="D3577" i="106" s="1"/>
  <c r="B5858" i="106"/>
  <c r="D5858" i="106" s="1"/>
  <c r="B812" i="106"/>
  <c r="D812" i="106" s="1"/>
  <c r="C127" i="29"/>
  <c r="B1219" i="106"/>
  <c r="D1219" i="106" s="1"/>
  <c r="K122" i="29"/>
  <c r="B5350" i="106"/>
  <c r="D5350" i="106" s="1"/>
  <c r="K273" i="29"/>
  <c r="B1502" i="106" s="1"/>
  <c r="D1502" i="106" s="1"/>
  <c r="B1438" i="106"/>
  <c r="D1438" i="106" s="1"/>
  <c r="B5584" i="106"/>
  <c r="D5584" i="106" s="1"/>
  <c r="B6869" i="106"/>
  <c r="D6869" i="106" s="1"/>
  <c r="B6955" i="106"/>
  <c r="D6955" i="106" s="1"/>
  <c r="B6101" i="106"/>
  <c r="D6101" i="106" s="1"/>
  <c r="B960" i="106"/>
  <c r="D960" i="106" s="1"/>
  <c r="G47" i="29"/>
  <c r="B963" i="106" s="1"/>
  <c r="D963" i="106" s="1"/>
  <c r="K248" i="29"/>
  <c r="B7082" i="106" s="1"/>
  <c r="D7082" i="106" s="1"/>
  <c r="B7081" i="106"/>
  <c r="D7081" i="106" s="1"/>
  <c r="F101" i="34"/>
  <c r="B5113" i="106"/>
  <c r="D5113" i="106" s="1"/>
  <c r="C108" i="5"/>
  <c r="B5120" i="106" s="1"/>
  <c r="D5120" i="106" s="1"/>
  <c r="B6252" i="106"/>
  <c r="D6252" i="106" s="1"/>
  <c r="B1546" i="106"/>
  <c r="D1546" i="106" s="1"/>
  <c r="B7145" i="106"/>
  <c r="D7145" i="106" s="1"/>
  <c r="K322" i="29"/>
  <c r="B7153" i="106" s="1"/>
  <c r="D7153" i="106" s="1"/>
  <c r="B1402" i="106"/>
  <c r="D1402" i="106" s="1"/>
  <c r="K227" i="29"/>
  <c r="B1466" i="106" s="1"/>
  <c r="D1466" i="106" s="1"/>
  <c r="B5092" i="106"/>
  <c r="D5092" i="106" s="1"/>
  <c r="B4946" i="106"/>
  <c r="D4946" i="106" s="1"/>
  <c r="B6756" i="106"/>
  <c r="D6756" i="106" s="1"/>
  <c r="G114" i="5"/>
  <c r="B5738" i="106"/>
  <c r="D5738" i="106" s="1"/>
  <c r="B964" i="106"/>
  <c r="D964" i="106" s="1"/>
  <c r="G53" i="29"/>
  <c r="B966" i="106" s="1"/>
  <c r="D966" i="106" s="1"/>
  <c r="B4382" i="106"/>
  <c r="D4382" i="106" s="1"/>
  <c r="B5347" i="106"/>
  <c r="D5347" i="106" s="1"/>
  <c r="B6157" i="106"/>
  <c r="D6157" i="106" s="1"/>
  <c r="B206" i="106"/>
  <c r="D206" i="106" s="1"/>
  <c r="H127" i="29"/>
  <c r="B1260" i="106"/>
  <c r="D1260" i="106" s="1"/>
  <c r="B6234" i="106"/>
  <c r="D6234" i="106" s="1"/>
  <c r="B5101" i="106"/>
  <c r="D5101" i="106" s="1"/>
  <c r="B5384" i="106"/>
  <c r="D5384" i="106" s="1"/>
  <c r="B1015" i="106"/>
  <c r="D1015" i="106" s="1"/>
  <c r="B6131" i="106"/>
  <c r="D6131" i="106" s="1"/>
  <c r="J34" i="3"/>
  <c r="B6191" i="106" s="1"/>
  <c r="D6191" i="106" s="1"/>
  <c r="B1224" i="106"/>
  <c r="D1224" i="106" s="1"/>
  <c r="K128" i="29"/>
  <c r="B1280" i="106" s="1"/>
  <c r="D1280" i="106" s="1"/>
  <c r="E172" i="29"/>
  <c r="K171" i="29"/>
  <c r="B1330" i="106" s="1"/>
  <c r="D1330" i="106" s="1"/>
  <c r="B1307" i="106"/>
  <c r="D1307" i="106" s="1"/>
  <c r="B6863" i="106"/>
  <c r="D6863" i="106" s="1"/>
  <c r="B6872" i="106"/>
  <c r="D6872" i="106" s="1"/>
  <c r="K349" i="29"/>
  <c r="B3669" i="106" s="1"/>
  <c r="D3669" i="106" s="1"/>
  <c r="B3618" i="106"/>
  <c r="D3618" i="106" s="1"/>
  <c r="B5134" i="106"/>
  <c r="D5134" i="106" s="1"/>
  <c r="B6184" i="106"/>
  <c r="D6184" i="106" s="1"/>
  <c r="B5785" i="106"/>
  <c r="D5785" i="106" s="1"/>
  <c r="G188" i="5"/>
  <c r="B7690" i="106"/>
  <c r="D7690" i="106" s="1"/>
  <c r="B6346" i="106"/>
  <c r="D6346" i="106" s="1"/>
  <c r="B6670" i="106"/>
  <c r="D6670" i="106" s="1"/>
  <c r="B4416" i="106"/>
  <c r="D4416" i="106" s="1"/>
  <c r="B6966" i="106"/>
  <c r="D6966" i="106" s="1"/>
  <c r="B6084" i="106"/>
  <c r="D6084" i="106" s="1"/>
  <c r="J18" i="5"/>
  <c r="B6306" i="106" s="1"/>
  <c r="D6306" i="106" s="1"/>
  <c r="B6302" i="106"/>
  <c r="D6302" i="106" s="1"/>
  <c r="B6675" i="106"/>
  <c r="D6675" i="106" s="1"/>
  <c r="B4801" i="106"/>
  <c r="D4801" i="106" s="1"/>
  <c r="B4353" i="106"/>
  <c r="D4353" i="106" s="1"/>
  <c r="E76" i="4"/>
  <c r="B3276" i="106" s="1"/>
  <c r="D3276" i="106" s="1"/>
  <c r="B2817" i="106"/>
  <c r="D2817" i="106" s="1"/>
  <c r="I175" i="5"/>
  <c r="B4366" i="106"/>
  <c r="D4366" i="106" s="1"/>
  <c r="B7728" i="106"/>
  <c r="D7728" i="106" s="1"/>
  <c r="B6219" i="106"/>
  <c r="D6219" i="106" s="1"/>
  <c r="J13" i="3"/>
  <c r="B6124" i="106" s="1"/>
  <c r="D6124" i="106" s="1"/>
  <c r="B7764" i="106"/>
  <c r="D7764" i="106" s="1"/>
  <c r="F93" i="34"/>
  <c r="B6664" i="106"/>
  <c r="D6664" i="106" s="1"/>
  <c r="K146" i="29"/>
  <c r="B1285" i="106" s="1"/>
  <c r="D1285" i="106" s="1"/>
  <c r="B1270" i="106"/>
  <c r="D1270" i="106" s="1"/>
  <c r="B6176" i="106"/>
  <c r="D6176" i="106" s="1"/>
  <c r="B1406" i="106"/>
  <c r="D1406" i="106" s="1"/>
  <c r="K221" i="29"/>
  <c r="B7665" i="106"/>
  <c r="D7665" i="106" s="1"/>
  <c r="C93" i="5"/>
  <c r="B5112" i="106" s="1"/>
  <c r="D5112" i="106" s="1"/>
  <c r="B5103" i="106"/>
  <c r="D5103" i="106" s="1"/>
  <c r="F96" i="34"/>
  <c r="B6634" i="106"/>
  <c r="D6634" i="106" s="1"/>
  <c r="F135" i="34"/>
  <c r="B1232" i="106"/>
  <c r="D1232" i="106" s="1"/>
  <c r="B5312" i="106"/>
  <c r="D5312" i="106" s="1"/>
  <c r="F160" i="34"/>
  <c r="B7657" i="106"/>
  <c r="D7657" i="106" s="1"/>
  <c r="D181" i="5"/>
  <c r="B5425" i="106" s="1"/>
  <c r="D5425" i="106" s="1"/>
  <c r="B5424" i="106"/>
  <c r="D5424" i="106" s="1"/>
  <c r="B6365" i="106"/>
  <c r="D6365" i="106" s="1"/>
  <c r="B6713" i="106"/>
  <c r="D6713" i="106" s="1"/>
  <c r="B6123" i="106"/>
  <c r="D6123" i="106" s="1"/>
  <c r="B6867" i="106"/>
  <c r="D6867" i="106" s="1"/>
  <c r="B4882" i="106"/>
  <c r="D4882" i="106" s="1"/>
  <c r="I18" i="5"/>
  <c r="B5923" i="106" s="1"/>
  <c r="D5923" i="106" s="1"/>
  <c r="B5919" i="106"/>
  <c r="D5919" i="106" s="1"/>
  <c r="B7253" i="106"/>
  <c r="D7253" i="106" s="1"/>
  <c r="B5023" i="106"/>
  <c r="D5023" i="106" s="1"/>
  <c r="D76" i="4"/>
  <c r="B3237" i="106" s="1"/>
  <c r="D3237" i="106" s="1"/>
  <c r="B6935" i="106"/>
  <c r="D6935" i="106" s="1"/>
  <c r="B5799" i="106"/>
  <c r="D5799" i="106" s="1"/>
  <c r="G209" i="5"/>
  <c r="B4414" i="106" s="1"/>
  <c r="D4414" i="106" s="1"/>
  <c r="B5710" i="106"/>
  <c r="D5710" i="106" s="1"/>
  <c r="B4330" i="106"/>
  <c r="D4330" i="106" s="1"/>
  <c r="B5619" i="106"/>
  <c r="D5619" i="106" s="1"/>
  <c r="B6187" i="106"/>
  <c r="D6187" i="106" s="1"/>
  <c r="B3583" i="106"/>
  <c r="B6722" i="106"/>
  <c r="D6722" i="106" s="1"/>
  <c r="B5740" i="106"/>
  <c r="D5740" i="106" s="1"/>
  <c r="B6638" i="106"/>
  <c r="D6638" i="106" s="1"/>
  <c r="B7026" i="106"/>
  <c r="D7026" i="106" s="1"/>
  <c r="B5432" i="106"/>
  <c r="D5432" i="106" s="1"/>
  <c r="F163" i="34"/>
  <c r="B5317" i="106"/>
  <c r="D5317" i="106" s="1"/>
  <c r="B5566" i="106"/>
  <c r="D5566" i="106" s="1"/>
  <c r="F86" i="34"/>
  <c r="B4814" i="106"/>
  <c r="D4814" i="106" s="1"/>
  <c r="B6168" i="106"/>
  <c r="D6168" i="106" s="1"/>
  <c r="B620" i="106"/>
  <c r="D620" i="106" s="1"/>
  <c r="B5520" i="106"/>
  <c r="D5520" i="106" s="1"/>
  <c r="B6654" i="106"/>
  <c r="D6654" i="106" s="1"/>
  <c r="B4852" i="106"/>
  <c r="D4852" i="106" s="1"/>
  <c r="F170" i="34"/>
  <c r="B4339" i="106"/>
  <c r="D4339" i="106" s="1"/>
  <c r="B5275" i="106"/>
  <c r="D5275" i="106" s="1"/>
  <c r="B6186" i="106"/>
  <c r="D6186" i="106" s="1"/>
  <c r="B965" i="106"/>
  <c r="D965" i="106" s="1"/>
  <c r="K201" i="29"/>
  <c r="B2841" i="106" s="1"/>
  <c r="D2841" i="106" s="1"/>
  <c r="B2831" i="106"/>
  <c r="D2831" i="106" s="1"/>
  <c r="B5585" i="106"/>
  <c r="D5585" i="106" s="1"/>
  <c r="C72" i="29"/>
  <c r="B753" i="106" s="1"/>
  <c r="D753" i="106" s="1"/>
  <c r="B746" i="106"/>
  <c r="D746" i="106" s="1"/>
  <c r="K67" i="29"/>
  <c r="B7813" i="106"/>
  <c r="D7813" i="106" s="1"/>
  <c r="F167" i="34"/>
  <c r="B879" i="106"/>
  <c r="D879" i="106" s="1"/>
  <c r="F33" i="29"/>
  <c r="B894" i="106" s="1"/>
  <c r="D894" i="106" s="1"/>
  <c r="B5243" i="106"/>
  <c r="D5243" i="106" s="1"/>
  <c r="B7046" i="106"/>
  <c r="D7046" i="106" s="1"/>
  <c r="B913" i="106"/>
  <c r="D913" i="106" s="1"/>
  <c r="K13" i="29"/>
  <c r="B1105" i="106" s="1"/>
  <c r="D1105" i="106" s="1"/>
  <c r="B717" i="106"/>
  <c r="D717" i="106" s="1"/>
  <c r="B6816" i="106"/>
  <c r="D6816" i="106" s="1"/>
  <c r="G67" i="5"/>
  <c r="B5733" i="106" s="1"/>
  <c r="D5733" i="106" s="1"/>
  <c r="B5731" i="106"/>
  <c r="D5731" i="106" s="1"/>
  <c r="B7147" i="106"/>
  <c r="D7147" i="106" s="1"/>
  <c r="B5310" i="106"/>
  <c r="D5310" i="106" s="1"/>
  <c r="B2992" i="106"/>
  <c r="D2992" i="106" s="1"/>
  <c r="K191" i="29"/>
  <c r="B3010" i="106" s="1"/>
  <c r="D3010" i="106" s="1"/>
  <c r="B4865" i="106"/>
  <c r="D4865" i="106" s="1"/>
  <c r="B6631" i="106"/>
  <c r="D6631" i="106" s="1"/>
  <c r="B5922" i="106"/>
  <c r="D5922" i="106" s="1"/>
  <c r="B6244" i="106"/>
  <c r="D6244" i="106" s="1"/>
  <c r="B872" i="106"/>
  <c r="D872" i="106" s="1"/>
  <c r="B5336" i="106"/>
  <c r="D5336" i="106" s="1"/>
  <c r="B6784" i="106"/>
  <c r="D6784" i="106" s="1"/>
  <c r="B6700" i="106"/>
  <c r="D6700" i="106" s="1"/>
  <c r="B6181" i="106"/>
  <c r="D6181" i="106" s="1"/>
  <c r="B5765" i="106"/>
  <c r="D5765" i="106" s="1"/>
  <c r="B5014" i="106"/>
  <c r="D5014" i="106" s="1"/>
  <c r="B6695" i="106"/>
  <c r="D6695" i="106" s="1"/>
  <c r="B6403" i="106"/>
  <c r="D6403" i="106" s="1"/>
  <c r="B4944" i="106"/>
  <c r="D4944" i="106" s="1"/>
  <c r="H76" i="4"/>
  <c r="B3298" i="106" s="1"/>
  <c r="D3298" i="106" s="1"/>
  <c r="B2848" i="106"/>
  <c r="D2848" i="106" s="1"/>
  <c r="B500" i="106"/>
  <c r="D500" i="106" s="1"/>
  <c r="B903" i="106"/>
  <c r="D903" i="106" s="1"/>
  <c r="B6742" i="106"/>
  <c r="D6742" i="106" s="1"/>
  <c r="B1228" i="106"/>
  <c r="D1228" i="106" s="1"/>
  <c r="B856" i="106"/>
  <c r="D856" i="106" s="1"/>
  <c r="B862" i="106"/>
  <c r="D862" i="106" s="1"/>
  <c r="E72" i="29"/>
  <c r="B869" i="106" s="1"/>
  <c r="D869" i="106" s="1"/>
  <c r="B6811" i="106"/>
  <c r="D6811" i="106" s="1"/>
  <c r="B763" i="106"/>
  <c r="D763" i="106" s="1"/>
  <c r="D33" i="29"/>
  <c r="B778" i="106" s="1"/>
  <c r="D778" i="106" s="1"/>
  <c r="B6819" i="106"/>
  <c r="D6819" i="106" s="1"/>
  <c r="K217" i="29"/>
  <c r="B3391" i="106" s="1"/>
  <c r="D3391" i="106" s="1"/>
  <c r="B3388" i="106"/>
  <c r="D3388" i="106" s="1"/>
  <c r="B7252" i="106"/>
  <c r="D7252" i="106" s="1"/>
  <c r="B6636" i="106"/>
  <c r="D6636" i="106" s="1"/>
  <c r="B5791" i="106"/>
  <c r="D5791" i="106" s="1"/>
  <c r="B6672" i="106"/>
  <c r="D6672" i="106" s="1"/>
  <c r="K70" i="29"/>
  <c r="B749" i="106"/>
  <c r="D749" i="106" s="1"/>
  <c r="B6797" i="106"/>
  <c r="D6797" i="106" s="1"/>
  <c r="B6173" i="106"/>
  <c r="D6173" i="106" s="1"/>
  <c r="B6689" i="106"/>
  <c r="D6689" i="106" s="1"/>
  <c r="B791" i="106"/>
  <c r="D791" i="106" s="1"/>
  <c r="B6750" i="106"/>
  <c r="D6750" i="106" s="1"/>
  <c r="B6875" i="106"/>
  <c r="D6875" i="106" s="1"/>
  <c r="B5142" i="106"/>
  <c r="D5142" i="106" s="1"/>
  <c r="B5757" i="106"/>
  <c r="D5757" i="106" s="1"/>
  <c r="B7079" i="106"/>
  <c r="D7079" i="106" s="1"/>
  <c r="K226" i="29"/>
  <c r="B7080" i="106" s="1"/>
  <c r="D7080" i="106" s="1"/>
  <c r="B2772" i="106"/>
  <c r="D2772" i="106" s="1"/>
  <c r="I44" i="4"/>
  <c r="B4884" i="106"/>
  <c r="D4884" i="106" s="1"/>
  <c r="B6710" i="106"/>
  <c r="D6710" i="106" s="1"/>
  <c r="B6946" i="106"/>
  <c r="D6946" i="106" s="1"/>
  <c r="B5340" i="106"/>
  <c r="D5340" i="106" s="1"/>
  <c r="D67" i="5"/>
  <c r="B5342" i="106" s="1"/>
  <c r="D5342" i="106" s="1"/>
  <c r="B6098" i="106"/>
  <c r="D6098" i="106" s="1"/>
  <c r="B6380" i="106"/>
  <c r="D6380" i="106" s="1"/>
  <c r="G155" i="5"/>
  <c r="B4357" i="106" s="1"/>
  <c r="D4357" i="106" s="1"/>
  <c r="B6393" i="106"/>
  <c r="D6393" i="106" s="1"/>
  <c r="B6730" i="106"/>
  <c r="D6730" i="106" s="1"/>
  <c r="B5555" i="106"/>
  <c r="D5555" i="106" s="1"/>
  <c r="B6953" i="106"/>
  <c r="D6953" i="106" s="1"/>
  <c r="B6665" i="106"/>
  <c r="D6665" i="106" s="1"/>
  <c r="B891" i="106"/>
  <c r="D891" i="106" s="1"/>
  <c r="B4192" i="106"/>
  <c r="D4192" i="106" s="1"/>
  <c r="B7250" i="106"/>
  <c r="D7250" i="106" s="1"/>
  <c r="B5100" i="106"/>
  <c r="D5100" i="106" s="1"/>
  <c r="B6768" i="106"/>
  <c r="D6768" i="106" s="1"/>
  <c r="B2799" i="106"/>
  <c r="D2799" i="106" s="1"/>
  <c r="B3236" i="106"/>
  <c r="D3236" i="106" s="1"/>
  <c r="B5569" i="106"/>
  <c r="D5569" i="106" s="1"/>
  <c r="F21" i="34"/>
  <c r="B6830" i="106"/>
  <c r="D6830" i="106" s="1"/>
  <c r="B2721" i="106"/>
  <c r="D2721" i="106" s="1"/>
  <c r="B6083" i="106"/>
  <c r="D6083" i="106" s="1"/>
  <c r="K32" i="29"/>
  <c r="B6900" i="106"/>
  <c r="D6900" i="106" s="1"/>
  <c r="G65" i="29"/>
  <c r="B977" i="106" s="1"/>
  <c r="D977" i="106" s="1"/>
  <c r="B970" i="106"/>
  <c r="D970" i="106" s="1"/>
  <c r="B5374" i="106"/>
  <c r="D5374" i="106" s="1"/>
  <c r="B6701" i="106"/>
  <c r="D6701" i="106" s="1"/>
  <c r="B7682" i="106"/>
  <c r="D7682" i="106" s="1"/>
  <c r="H303" i="29"/>
  <c r="B1549" i="106"/>
  <c r="D1549" i="106" s="1"/>
  <c r="K22" i="29"/>
  <c r="B6880" i="106"/>
  <c r="D6880" i="106" s="1"/>
  <c r="B3414" i="106"/>
  <c r="D3414" i="106" s="1"/>
  <c r="D35" i="36"/>
  <c r="D13" i="3"/>
  <c r="B109" i="106" s="1"/>
  <c r="D109" i="106" s="1"/>
  <c r="B6740" i="106"/>
  <c r="D6740" i="106" s="1"/>
  <c r="B6163" i="106"/>
  <c r="D6163" i="106" s="1"/>
  <c r="B6810" i="106"/>
  <c r="D6810" i="106" s="1"/>
  <c r="B5875" i="106"/>
  <c r="D5875" i="106" s="1"/>
  <c r="K307" i="29"/>
  <c r="B4099" i="106" s="1"/>
  <c r="D4099" i="106" s="1"/>
  <c r="B7108" i="106"/>
  <c r="D7108" i="106" s="1"/>
  <c r="B4922" i="106"/>
  <c r="D4922" i="106" s="1"/>
  <c r="B6348" i="106"/>
  <c r="D6348" i="106" s="1"/>
  <c r="B6731" i="106"/>
  <c r="D6731" i="106" s="1"/>
  <c r="B7816" i="106"/>
  <c r="D7816" i="106" s="1"/>
  <c r="B7152" i="106"/>
  <c r="D7152" i="106" s="1"/>
  <c r="B6851" i="106"/>
  <c r="D6851" i="106" s="1"/>
  <c r="B4370" i="106"/>
  <c r="D4370" i="106" s="1"/>
  <c r="B7652" i="106"/>
  <c r="D7652" i="106" s="1"/>
  <c r="B7660" i="106"/>
  <c r="D7660" i="106" s="1"/>
  <c r="B7237" i="106"/>
  <c r="D7237" i="106" s="1"/>
  <c r="K355" i="29"/>
  <c r="B7793" i="106"/>
  <c r="D7793" i="106" s="1"/>
  <c r="B6338" i="106"/>
  <c r="D6338" i="106" s="1"/>
  <c r="B6959" i="106"/>
  <c r="D6959" i="106" s="1"/>
  <c r="B5027" i="106"/>
  <c r="D5027" i="106" s="1"/>
  <c r="G184" i="29"/>
  <c r="B1360" i="106"/>
  <c r="D1360" i="106" s="1"/>
  <c r="B5013" i="106"/>
  <c r="D5013" i="106" s="1"/>
  <c r="B743" i="106"/>
  <c r="D743" i="106" s="1"/>
  <c r="K64" i="29"/>
  <c r="B5148" i="106"/>
  <c r="D5148" i="106" s="1"/>
  <c r="C141" i="5"/>
  <c r="K31" i="29"/>
  <c r="B6898" i="106"/>
  <c r="D6898" i="106" s="1"/>
  <c r="B5256" i="106"/>
  <c r="D5256" i="106" s="1"/>
  <c r="C209" i="5"/>
  <c r="F209" i="5"/>
  <c r="B4413" i="106" s="1"/>
  <c r="D4413" i="106" s="1"/>
  <c r="B5673" i="106"/>
  <c r="D5673" i="106" s="1"/>
  <c r="B6150" i="106"/>
  <c r="D6150" i="106" s="1"/>
  <c r="K284" i="29"/>
  <c r="B4166" i="106" s="1"/>
  <c r="D4166" i="106" s="1"/>
  <c r="B4165" i="106"/>
  <c r="D4165" i="106" s="1"/>
  <c r="B5064" i="106"/>
  <c r="D5064" i="106" s="1"/>
  <c r="B17" i="7"/>
  <c r="B799" i="106"/>
  <c r="D799" i="106" s="1"/>
  <c r="K249" i="29"/>
  <c r="B7084" i="106" s="1"/>
  <c r="D7084" i="106" s="1"/>
  <c r="B7083" i="106"/>
  <c r="D7083" i="106" s="1"/>
  <c r="B7178" i="106"/>
  <c r="D7178" i="106" s="1"/>
  <c r="B5196" i="106"/>
  <c r="D5196" i="106" s="1"/>
  <c r="E39" i="4"/>
  <c r="B6287" i="106" s="1"/>
  <c r="D6287" i="106" s="1"/>
  <c r="B6246" i="106"/>
  <c r="D6246" i="106" s="1"/>
  <c r="B6788" i="106"/>
  <c r="D6788" i="106" s="1"/>
  <c r="B6831" i="106"/>
  <c r="D6831" i="106" s="1"/>
  <c r="H67" i="5"/>
  <c r="B5881" i="106" s="1"/>
  <c r="D5881" i="106" s="1"/>
  <c r="B5880" i="106"/>
  <c r="D5880" i="106" s="1"/>
  <c r="G18" i="5"/>
  <c r="B5730" i="106" s="1"/>
  <c r="D5730" i="106" s="1"/>
  <c r="B5726" i="106"/>
  <c r="D5726" i="106" s="1"/>
  <c r="B5855" i="106"/>
  <c r="D5855" i="106" s="1"/>
  <c r="B1030" i="106"/>
  <c r="D1030" i="106" s="1"/>
  <c r="B6360" i="106"/>
  <c r="D6360" i="106" s="1"/>
  <c r="B6145" i="106"/>
  <c r="D6145" i="106" s="1"/>
  <c r="B6256" i="106"/>
  <c r="D6256" i="106" s="1"/>
  <c r="B842" i="106"/>
  <c r="D842" i="106" s="1"/>
  <c r="C221" i="5"/>
  <c r="B5301" i="106"/>
  <c r="D5301" i="106" s="1"/>
  <c r="B7062" i="106"/>
  <c r="D7062" i="106" s="1"/>
  <c r="B2990" i="106"/>
  <c r="D2990" i="106" s="1"/>
  <c r="K189" i="29"/>
  <c r="B3008" i="106" s="1"/>
  <c r="D3008" i="106" s="1"/>
  <c r="B1016" i="106"/>
  <c r="D1016" i="106" s="1"/>
  <c r="K207" i="29"/>
  <c r="B7070" i="106" s="1"/>
  <c r="D7070" i="106" s="1"/>
  <c r="B7069" i="106"/>
  <c r="D7069" i="106" s="1"/>
  <c r="B6781" i="106"/>
  <c r="D6781" i="106" s="1"/>
  <c r="B6350" i="106"/>
  <c r="D6350" i="106" s="1"/>
  <c r="B6175" i="106"/>
  <c r="D6175" i="106" s="1"/>
  <c r="B7669" i="106"/>
  <c r="D7669" i="106" s="1"/>
  <c r="B7268" i="106"/>
  <c r="B4408" i="106"/>
  <c r="D4408" i="106" s="1"/>
  <c r="B5882" i="106"/>
  <c r="D5882" i="106" s="1"/>
  <c r="H108" i="5"/>
  <c r="B5886" i="106" s="1"/>
  <c r="D5886" i="106" s="1"/>
  <c r="K157" i="29"/>
  <c r="B7777" i="106"/>
  <c r="D7777" i="106" s="1"/>
  <c r="H160" i="29"/>
  <c r="B7745" i="106"/>
  <c r="D7745" i="106" s="1"/>
  <c r="K364" i="29"/>
  <c r="B7746" i="106" s="1"/>
  <c r="D7746" i="106" s="1"/>
  <c r="G13" i="3"/>
  <c r="B180" i="106" s="1"/>
  <c r="D180" i="106" s="1"/>
  <c r="D38" i="36"/>
  <c r="B3422" i="106"/>
  <c r="D3422" i="106" s="1"/>
  <c r="K338" i="29"/>
  <c r="B7211" i="106" s="1"/>
  <c r="D7211" i="106" s="1"/>
  <c r="B7210" i="106"/>
  <c r="D7210" i="106" s="1"/>
  <c r="B6820" i="106"/>
  <c r="D6820" i="106" s="1"/>
  <c r="B5076" i="106"/>
  <c r="D5076" i="106" s="1"/>
  <c r="B7150" i="106"/>
  <c r="D7150" i="106" s="1"/>
  <c r="B4947" i="106"/>
  <c r="D4947" i="106" s="1"/>
  <c r="B7160" i="106"/>
  <c r="D7160" i="106" s="1"/>
  <c r="B5255" i="106"/>
  <c r="D5255" i="106" s="1"/>
  <c r="B1313" i="106"/>
  <c r="D1313" i="106" s="1"/>
  <c r="K167" i="29"/>
  <c r="B1327" i="106" s="1"/>
  <c r="D1327" i="106" s="1"/>
  <c r="B6031" i="106"/>
  <c r="D6031" i="106" s="1"/>
  <c r="C75" i="5"/>
  <c r="B4215" i="106"/>
  <c r="D4215" i="106" s="1"/>
  <c r="B6317" i="106"/>
  <c r="D6317" i="106" s="1"/>
  <c r="B5517" i="106"/>
  <c r="D5517" i="106" s="1"/>
  <c r="B3083" i="106"/>
  <c r="D3083" i="106" s="1"/>
  <c r="K134" i="29"/>
  <c r="B2986" i="106" s="1"/>
  <c r="D2986" i="106" s="1"/>
  <c r="B4199" i="106"/>
  <c r="D4199" i="106" s="1"/>
  <c r="B1007" i="106"/>
  <c r="D1007" i="106" s="1"/>
  <c r="B7138" i="106"/>
  <c r="D7138" i="106" s="1"/>
  <c r="B5695" i="106"/>
  <c r="D5695" i="106" s="1"/>
  <c r="F114" i="34"/>
  <c r="B5194" i="106"/>
  <c r="D5194" i="106" s="1"/>
  <c r="B3721" i="106"/>
  <c r="D3721" i="106" s="1"/>
  <c r="K283" i="29"/>
  <c r="B3723" i="106" s="1"/>
  <c r="D3723" i="106" s="1"/>
  <c r="B828" i="106"/>
  <c r="D828" i="106" s="1"/>
  <c r="B6097" i="106"/>
  <c r="D6097" i="106" s="1"/>
  <c r="E252" i="5"/>
  <c r="B6616" i="106"/>
  <c r="D6616" i="106" s="1"/>
  <c r="F166" i="34"/>
  <c r="B7809" i="106"/>
  <c r="D7809" i="106" s="1"/>
  <c r="B4327" i="106"/>
  <c r="D4327" i="106" s="1"/>
  <c r="K15" i="29"/>
  <c r="B1107" i="106" s="1"/>
  <c r="D1107" i="106" s="1"/>
  <c r="B719" i="106"/>
  <c r="D719" i="106" s="1"/>
  <c r="B6389" i="106"/>
  <c r="D6389" i="106" s="1"/>
  <c r="B6960" i="106"/>
  <c r="D6960" i="106" s="1"/>
  <c r="B179" i="106"/>
  <c r="D179" i="106" s="1"/>
  <c r="B12" i="7"/>
  <c r="K12" i="5"/>
  <c r="B5985" i="106"/>
  <c r="D5985" i="106" s="1"/>
  <c r="B1540" i="106"/>
  <c r="D1540" i="106" s="1"/>
  <c r="B6100" i="106"/>
  <c r="D6100" i="106" s="1"/>
  <c r="B6686" i="106"/>
  <c r="D6686" i="106" s="1"/>
  <c r="B86" i="106"/>
  <c r="D86" i="106" s="1"/>
  <c r="C204" i="5"/>
  <c r="B5247" i="106"/>
  <c r="D5247" i="106" s="1"/>
  <c r="B6760" i="106"/>
  <c r="D6760" i="106" s="1"/>
  <c r="B5079" i="106"/>
  <c r="D5079" i="106" s="1"/>
  <c r="B6354" i="106"/>
  <c r="D6354" i="106" s="1"/>
  <c r="B2792" i="106"/>
  <c r="D2792" i="106" s="1"/>
  <c r="K108" i="29"/>
  <c r="B2796" i="106" s="1"/>
  <c r="D2796" i="106" s="1"/>
  <c r="K52" i="4"/>
  <c r="B3698" i="106"/>
  <c r="D3698" i="106" s="1"/>
  <c r="B923" i="106"/>
  <c r="D923" i="106" s="1"/>
  <c r="F131" i="34"/>
  <c r="B4340" i="106"/>
  <c r="D4340" i="106" s="1"/>
  <c r="B7028" i="106"/>
  <c r="D7028" i="106" s="1"/>
  <c r="F12" i="5"/>
  <c r="B5553" i="106"/>
  <c r="D5553" i="106" s="1"/>
  <c r="B7" i="7"/>
  <c r="B7636" i="106"/>
  <c r="B5559" i="106"/>
  <c r="D5559" i="106" s="1"/>
  <c r="B7815" i="106"/>
  <c r="D7815" i="106" s="1"/>
  <c r="B6088" i="106"/>
  <c r="D6088" i="106" s="1"/>
  <c r="B5224" i="106"/>
  <c r="D5224" i="106" s="1"/>
  <c r="C175" i="5"/>
  <c r="B5225" i="106" s="1"/>
  <c r="D5225" i="106" s="1"/>
  <c r="K254" i="29"/>
  <c r="B7094" i="106" s="1"/>
  <c r="D7094" i="106" s="1"/>
  <c r="B7093" i="106"/>
  <c r="D7093" i="106" s="1"/>
  <c r="B6911" i="106"/>
  <c r="D6911" i="106" s="1"/>
  <c r="B5337" i="106"/>
  <c r="D5337" i="106" s="1"/>
  <c r="B838" i="106"/>
  <c r="D838" i="106" s="1"/>
  <c r="B6785" i="106"/>
  <c r="D6785" i="106" s="1"/>
  <c r="K56" i="29"/>
  <c r="B736" i="106"/>
  <c r="D736" i="106" s="1"/>
  <c r="B173" i="106"/>
  <c r="D173" i="106" s="1"/>
  <c r="B7164" i="106"/>
  <c r="D7164" i="106" s="1"/>
  <c r="B3578" i="106"/>
  <c r="D3578" i="106" s="1"/>
  <c r="B5525" i="106"/>
  <c r="D5525" i="106" s="1"/>
  <c r="B886" i="106"/>
  <c r="D886" i="106" s="1"/>
  <c r="B5346" i="106"/>
  <c r="D5346" i="106" s="1"/>
  <c r="B5024" i="106"/>
  <c r="D5024" i="106" s="1"/>
  <c r="F76" i="4"/>
  <c r="B3254" i="106" s="1"/>
  <c r="D3254" i="106" s="1"/>
  <c r="B1419" i="106"/>
  <c r="D1419" i="106" s="1"/>
  <c r="K241" i="29"/>
  <c r="B1483" i="106" s="1"/>
  <c r="D1483" i="106" s="1"/>
  <c r="B6391" i="106"/>
  <c r="D6391" i="106" s="1"/>
  <c r="B6367" i="106"/>
  <c r="D6367" i="106" s="1"/>
  <c r="F92" i="34"/>
  <c r="B5575" i="106"/>
  <c r="D5575" i="106" s="1"/>
  <c r="B915" i="106"/>
  <c r="D915" i="106" s="1"/>
  <c r="B6095" i="106"/>
  <c r="D6095" i="106" s="1"/>
  <c r="B6860" i="106"/>
  <c r="D6860" i="106" s="1"/>
  <c r="F116" i="34"/>
  <c r="B5060" i="106"/>
  <c r="D5060" i="106" s="1"/>
  <c r="B5338" i="106"/>
  <c r="D5338" i="106" s="1"/>
  <c r="B6143" i="106"/>
  <c r="D6143" i="106" s="1"/>
  <c r="B198" i="106"/>
  <c r="D198" i="106" s="1"/>
  <c r="B775" i="106"/>
  <c r="D775" i="106" s="1"/>
  <c r="B6969" i="106"/>
  <c r="D6969" i="106" s="1"/>
  <c r="B6140" i="106"/>
  <c r="D6140" i="106" s="1"/>
  <c r="B7184" i="106"/>
  <c r="D7184" i="106" s="1"/>
  <c r="B6138" i="106"/>
  <c r="D6138" i="106" s="1"/>
  <c r="B5696" i="106"/>
  <c r="D5696" i="106" s="1"/>
  <c r="B152" i="106"/>
  <c r="D152" i="106" s="1"/>
  <c r="B6804" i="106"/>
  <c r="D6804" i="106" s="1"/>
  <c r="B5106" i="106"/>
  <c r="D5106" i="106" s="1"/>
  <c r="F97" i="34"/>
  <c r="C18" i="5"/>
  <c r="B5071" i="106" s="1"/>
  <c r="D5071" i="106" s="1"/>
  <c r="B5067" i="106"/>
  <c r="D5067" i="106" s="1"/>
  <c r="B5708" i="106"/>
  <c r="D5708" i="106" s="1"/>
  <c r="B65" i="106"/>
  <c r="D65" i="106" s="1"/>
  <c r="B2979" i="106"/>
  <c r="D2979" i="106" s="1"/>
  <c r="K11" i="29"/>
  <c r="B7257" i="106"/>
  <c r="D7257" i="106" s="1"/>
  <c r="B6355" i="106"/>
  <c r="D6355" i="106" s="1"/>
  <c r="J127" i="29"/>
  <c r="B7025" i="106"/>
  <c r="D7025" i="106" s="1"/>
  <c r="B6928" i="106"/>
  <c r="D6928" i="106" s="1"/>
  <c r="B7651" i="106"/>
  <c r="D7651" i="106" s="1"/>
  <c r="B5345" i="106"/>
  <c r="D5345" i="106" s="1"/>
  <c r="B6082" i="106"/>
  <c r="D6082" i="106" s="1"/>
  <c r="B6625" i="106"/>
  <c r="D6625" i="106" s="1"/>
  <c r="B4409" i="106"/>
  <c r="D4409" i="106" s="1"/>
  <c r="B4228" i="106"/>
  <c r="D4228" i="106" s="1"/>
  <c r="B909" i="106"/>
  <c r="D909" i="106" s="1"/>
  <c r="F57" i="29"/>
  <c r="B911" i="106" s="1"/>
  <c r="D911" i="106" s="1"/>
  <c r="B7120" i="106"/>
  <c r="D7120" i="106" s="1"/>
  <c r="E330" i="29"/>
  <c r="B4813" i="106"/>
  <c r="D4813" i="106" s="1"/>
  <c r="D108" i="5"/>
  <c r="B5355" i="106" s="1"/>
  <c r="D5355" i="106" s="1"/>
  <c r="B5349" i="106"/>
  <c r="D5349" i="106" s="1"/>
  <c r="B1221" i="106"/>
  <c r="D1221" i="106" s="1"/>
  <c r="K124" i="29"/>
  <c r="B1276" i="106" s="1"/>
  <c r="D1276" i="106" s="1"/>
  <c r="B6296" i="106"/>
  <c r="D6296" i="106" s="1"/>
  <c r="B7691" i="106"/>
  <c r="D7691" i="106" s="1"/>
  <c r="H84" i="29"/>
  <c r="B2955" i="106"/>
  <c r="D2955" i="106" s="1"/>
  <c r="B6114" i="106"/>
  <c r="D6114" i="106" s="1"/>
  <c r="B5241" i="106"/>
  <c r="D5241" i="106" s="1"/>
  <c r="B145" i="106"/>
  <c r="D145" i="106" s="1"/>
  <c r="B5117" i="106"/>
  <c r="D5117" i="106" s="1"/>
  <c r="B6405" i="106"/>
  <c r="D6405" i="106" s="1"/>
  <c r="B7664" i="106"/>
  <c r="D7664" i="106" s="1"/>
  <c r="B6172" i="106"/>
  <c r="D6172" i="106" s="1"/>
  <c r="D57" i="29"/>
  <c r="B795" i="106" s="1"/>
  <c r="D795" i="106" s="1"/>
  <c r="B793" i="106"/>
  <c r="D793" i="106" s="1"/>
  <c r="B5601" i="106"/>
  <c r="D5601" i="106" s="1"/>
  <c r="B3490" i="106"/>
  <c r="D3490" i="106" s="1"/>
  <c r="B1037" i="106"/>
  <c r="D1037" i="106" s="1"/>
  <c r="B6749" i="106"/>
  <c r="D6749" i="106" s="1"/>
  <c r="B807" i="106"/>
  <c r="D807" i="106" s="1"/>
  <c r="B5098" i="106"/>
  <c r="D5098" i="106" s="1"/>
  <c r="I57" i="29"/>
  <c r="B6948" i="106" s="1"/>
  <c r="D6948" i="106" s="1"/>
  <c r="B6944" i="106"/>
  <c r="D6944" i="106" s="1"/>
  <c r="B6232" i="106"/>
  <c r="D6232" i="106" s="1"/>
  <c r="B5498" i="106"/>
  <c r="D5498" i="106" s="1"/>
  <c r="I65" i="29"/>
  <c r="B6961" i="106" s="1"/>
  <c r="D6961" i="106" s="1"/>
  <c r="B6950" i="106"/>
  <c r="D6950" i="106" s="1"/>
  <c r="B6724" i="106"/>
  <c r="D6724" i="106" s="1"/>
  <c r="B3492" i="106"/>
  <c r="D3492" i="106" s="1"/>
  <c r="B6671" i="106"/>
  <c r="D6671" i="106" s="1"/>
  <c r="B6094" i="106"/>
  <c r="D6094" i="106" s="1"/>
  <c r="D132" i="5"/>
  <c r="B5368" i="106"/>
  <c r="D5368" i="106" s="1"/>
  <c r="B5463" i="106"/>
  <c r="D5463" i="106" s="1"/>
  <c r="F119" i="34"/>
  <c r="B4317" i="106"/>
  <c r="D4317" i="106" s="1"/>
  <c r="B7674" i="106"/>
  <c r="D7674" i="106" s="1"/>
  <c r="B4876" i="106"/>
  <c r="D4876" i="106" s="1"/>
  <c r="B5697" i="106"/>
  <c r="D5697" i="106" s="1"/>
  <c r="B5231" i="106"/>
  <c r="D5231" i="106" s="1"/>
  <c r="B2801" i="106"/>
  <c r="D2801" i="106" s="1"/>
  <c r="B5844" i="106"/>
  <c r="D5844" i="106" s="1"/>
  <c r="G221" i="5"/>
  <c r="B5847" i="106" s="1"/>
  <c r="D5847" i="106" s="1"/>
  <c r="B6651" i="106"/>
  <c r="D6651" i="106" s="1"/>
  <c r="B6684" i="106"/>
  <c r="D6684" i="106" s="1"/>
  <c r="B2802" i="106"/>
  <c r="D2802" i="106" s="1"/>
  <c r="B7192" i="106"/>
  <c r="D7192" i="106" s="1"/>
  <c r="B1447" i="106"/>
  <c r="D1447" i="106" s="1"/>
  <c r="K280" i="29"/>
  <c r="B6763" i="106"/>
  <c r="D6763" i="106" s="1"/>
  <c r="B7259" i="106"/>
  <c r="D7259" i="106" s="1"/>
  <c r="B1439" i="106"/>
  <c r="D1439" i="106" s="1"/>
  <c r="K274" i="29"/>
  <c r="B1503" i="106" s="1"/>
  <c r="D1503" i="106" s="1"/>
  <c r="B6628" i="106"/>
  <c r="D6628" i="106" s="1"/>
  <c r="B1020" i="106"/>
  <c r="D1020" i="106" s="1"/>
  <c r="B712" i="106"/>
  <c r="D712" i="106" s="1"/>
  <c r="K18" i="29"/>
  <c r="B1100" i="106" s="1"/>
  <c r="D1100" i="106" s="1"/>
  <c r="H110" i="29"/>
  <c r="K105" i="29"/>
  <c r="B1146" i="106" s="1"/>
  <c r="D1146" i="106" s="1"/>
  <c r="B1048" i="106"/>
  <c r="D1048" i="106" s="1"/>
  <c r="B1031" i="106"/>
  <c r="D1031" i="106" s="1"/>
  <c r="B5798" i="106"/>
  <c r="D5798" i="106" s="1"/>
  <c r="B6107" i="106"/>
  <c r="D6107" i="106" s="1"/>
  <c r="B6972" i="106"/>
  <c r="D6972" i="106" s="1"/>
  <c r="B3634" i="106"/>
  <c r="D3634" i="106" s="1"/>
  <c r="B4310" i="106"/>
  <c r="D4310" i="106" s="1"/>
  <c r="B6685" i="106"/>
  <c r="D6685" i="106" s="1"/>
  <c r="B805" i="106"/>
  <c r="D805" i="106" s="1"/>
  <c r="B501" i="106"/>
  <c r="D501" i="106" s="1"/>
  <c r="B6800" i="106"/>
  <c r="D6800" i="106" s="1"/>
  <c r="B859" i="106"/>
  <c r="D859" i="106" s="1"/>
  <c r="B5920" i="106"/>
  <c r="D5920" i="106" s="1"/>
  <c r="B3585" i="106"/>
  <c r="D3585" i="106" s="1"/>
  <c r="B5925" i="106"/>
  <c r="D5925" i="106" s="1"/>
  <c r="I67" i="5"/>
  <c r="B5926" i="106" s="1"/>
  <c r="D5926" i="106" s="1"/>
  <c r="B3561" i="106"/>
  <c r="D3561" i="106" s="1"/>
  <c r="B7000" i="106"/>
  <c r="D7000" i="106" s="1"/>
  <c r="K95" i="29"/>
  <c r="B7001" i="106" s="1"/>
  <c r="D7001" i="106" s="1"/>
  <c r="B7666" i="106"/>
  <c r="D7666" i="106" s="1"/>
  <c r="B4805" i="106"/>
  <c r="D4805" i="106" s="1"/>
  <c r="B7087" i="106"/>
  <c r="D7087" i="106" s="1"/>
  <c r="K251" i="29"/>
  <c r="B7088" i="106" s="1"/>
  <c r="D7088" i="106" s="1"/>
  <c r="B4874" i="106"/>
  <c r="D4874" i="106" s="1"/>
  <c r="B6938" i="106"/>
  <c r="D6938" i="106" s="1"/>
  <c r="B6736" i="106"/>
  <c r="D6736" i="106" s="1"/>
  <c r="B857" i="106"/>
  <c r="D857" i="106" s="1"/>
  <c r="C252" i="5"/>
  <c r="B6833" i="106" s="1"/>
  <c r="D6833" i="106" s="1"/>
  <c r="B6614" i="106"/>
  <c r="D6614" i="106" s="1"/>
  <c r="B5885" i="106"/>
  <c r="D5885" i="106" s="1"/>
  <c r="B4886" i="106"/>
  <c r="D4886" i="106" s="1"/>
  <c r="B2723" i="106"/>
  <c r="D2723" i="106" s="1"/>
  <c r="B134" i="106"/>
  <c r="D134" i="106" s="1"/>
  <c r="B7155" i="106"/>
  <c r="D7155" i="106" s="1"/>
  <c r="B782" i="106"/>
  <c r="D782" i="106" s="1"/>
  <c r="F25" i="34"/>
  <c r="B5576" i="106"/>
  <c r="D5576" i="106" s="1"/>
  <c r="B5665" i="106"/>
  <c r="D5665" i="106" s="1"/>
  <c r="B870" i="106"/>
  <c r="D870" i="106" s="1"/>
  <c r="B6311" i="106"/>
  <c r="D6311" i="106" s="1"/>
  <c r="B6402" i="106"/>
  <c r="D6402" i="106" s="1"/>
  <c r="G198" i="5"/>
  <c r="B6409" i="106" s="1"/>
  <c r="D6409" i="106" s="1"/>
  <c r="B2763" i="106"/>
  <c r="D2763" i="106" s="1"/>
  <c r="B4392" i="106"/>
  <c r="D4392" i="106" s="1"/>
  <c r="B7266" i="106"/>
  <c r="B1442" i="106"/>
  <c r="D1442" i="106" s="1"/>
  <c r="K276" i="29"/>
  <c r="B1506" i="106" s="1"/>
  <c r="D1506" i="106" s="1"/>
  <c r="B6137" i="106"/>
  <c r="D6137" i="106" s="1"/>
  <c r="B117" i="106"/>
  <c r="D117" i="106" s="1"/>
  <c r="K12" i="29"/>
  <c r="B716" i="106"/>
  <c r="D716" i="106" s="1"/>
  <c r="B6366" i="106"/>
  <c r="D6366" i="106" s="1"/>
  <c r="B5734" i="106"/>
  <c r="D5734" i="106" s="1"/>
  <c r="G108" i="5"/>
  <c r="B5737" i="106" s="1"/>
  <c r="D5737" i="106" s="1"/>
  <c r="K329" i="29"/>
  <c r="B7705" i="106" s="1"/>
  <c r="D7705" i="106" s="1"/>
  <c r="B7697" i="106"/>
  <c r="D7697" i="106" s="1"/>
  <c r="B4351" i="106"/>
  <c r="D4351" i="106" s="1"/>
  <c r="F109" i="34"/>
  <c r="B2947" i="106"/>
  <c r="D2947" i="106" s="1"/>
  <c r="K101" i="29"/>
  <c r="B7015" i="106" s="1"/>
  <c r="D7015" i="106" s="1"/>
  <c r="D82" i="5"/>
  <c r="B5348" i="106" s="1"/>
  <c r="D5348" i="106" s="1"/>
  <c r="B5343" i="106"/>
  <c r="D5343" i="106" s="1"/>
  <c r="B6873" i="106"/>
  <c r="D6873" i="106" s="1"/>
  <c r="B949" i="106"/>
  <c r="D949" i="106" s="1"/>
  <c r="B2953" i="106"/>
  <c r="D2953" i="106" s="1"/>
  <c r="K82" i="29"/>
  <c r="B2977" i="106" s="1"/>
  <c r="D2977" i="106" s="1"/>
  <c r="B6926" i="106"/>
  <c r="D6926" i="106" s="1"/>
  <c r="I53" i="29"/>
  <c r="B6942" i="106" s="1"/>
  <c r="D6942" i="106" s="1"/>
  <c r="H168" i="29"/>
  <c r="B1310" i="106"/>
  <c r="D1310" i="106" s="1"/>
  <c r="K163" i="29"/>
  <c r="B14" i="7"/>
  <c r="B5063" i="106"/>
  <c r="D5063" i="106" s="1"/>
  <c r="B725" i="106"/>
  <c r="D725" i="106" s="1"/>
  <c r="K40" i="29"/>
  <c r="B1113" i="106" s="1"/>
  <c r="D1113" i="106" s="1"/>
  <c r="B6832" i="106"/>
  <c r="D6832" i="106" s="1"/>
  <c r="D18" i="5"/>
  <c r="B5339" i="106" s="1"/>
  <c r="D5339" i="106" s="1"/>
  <c r="B5335" i="106"/>
  <c r="D5335" i="106" s="1"/>
  <c r="B1363" i="106"/>
  <c r="D1363" i="106" s="1"/>
  <c r="B6105" i="106"/>
  <c r="D6105" i="106" s="1"/>
  <c r="B6717" i="106"/>
  <c r="D6717" i="106" s="1"/>
  <c r="B6293" i="106"/>
  <c r="D6293" i="106" s="1"/>
  <c r="B7638" i="106"/>
  <c r="E137" i="29"/>
  <c r="B4202" i="106" s="1"/>
  <c r="D4202" i="106" s="1"/>
  <c r="B7774" i="106"/>
  <c r="D7774" i="106" s="1"/>
  <c r="K133" i="29"/>
  <c r="B6706" i="106"/>
  <c r="D6706" i="106" s="1"/>
  <c r="B1415" i="106"/>
  <c r="D1415" i="106" s="1"/>
  <c r="K236" i="29"/>
  <c r="B1479" i="106" s="1"/>
  <c r="D1479" i="106" s="1"/>
  <c r="K44" i="4"/>
  <c r="B3584" i="106" s="1"/>
  <c r="D3584" i="106" s="1"/>
  <c r="B7755" i="106"/>
  <c r="D7755" i="106" s="1"/>
  <c r="B1429" i="106"/>
  <c r="D1429" i="106" s="1"/>
  <c r="K264" i="29"/>
  <c r="B1493" i="106" s="1"/>
  <c r="D1493" i="106" s="1"/>
  <c r="B4792" i="106"/>
  <c r="D4792" i="106" s="1"/>
  <c r="F121" i="34"/>
  <c r="B7707" i="106"/>
  <c r="D7707" i="106" s="1"/>
  <c r="B1253" i="106"/>
  <c r="D1253" i="106" s="1"/>
  <c r="B6188" i="106"/>
  <c r="D6188" i="106" s="1"/>
  <c r="E65" i="29"/>
  <c r="B861" i="106" s="1"/>
  <c r="D861" i="106" s="1"/>
  <c r="B854" i="106"/>
  <c r="D854" i="106" s="1"/>
  <c r="K324" i="29"/>
  <c r="B7171" i="106" s="1"/>
  <c r="D7171" i="106" s="1"/>
  <c r="B7163" i="106"/>
  <c r="D7163" i="106" s="1"/>
  <c r="B1347" i="106"/>
  <c r="D1347" i="106" s="1"/>
  <c r="E184" i="29"/>
  <c r="B1351" i="106" s="1"/>
  <c r="D1351" i="106" s="1"/>
  <c r="B6170" i="106"/>
  <c r="D6170" i="106" s="1"/>
  <c r="B7186" i="106"/>
  <c r="D7186" i="106" s="1"/>
  <c r="B4179" i="106"/>
  <c r="D4179" i="106" s="1"/>
  <c r="I34" i="3"/>
  <c r="B2910" i="106" s="1"/>
  <c r="D2910" i="106" s="1"/>
  <c r="B6139" i="106"/>
  <c r="D6139" i="106" s="1"/>
  <c r="B6315" i="106"/>
  <c r="D6315" i="106" s="1"/>
  <c r="F28" i="34"/>
  <c r="B1006" i="106"/>
  <c r="D1006" i="106" s="1"/>
  <c r="B7156" i="106"/>
  <c r="D7156" i="106" s="1"/>
  <c r="G34" i="3"/>
  <c r="B188" i="106" s="1"/>
  <c r="D188" i="106" s="1"/>
  <c r="B6129" i="106"/>
  <c r="D6129" i="106" s="1"/>
  <c r="B6681" i="106"/>
  <c r="D6681" i="106" s="1"/>
  <c r="B6809" i="106"/>
  <c r="D6809" i="106" s="1"/>
  <c r="F154" i="34"/>
  <c r="B7240" i="106"/>
  <c r="D7240" i="106" s="1"/>
  <c r="K363" i="29"/>
  <c r="B7241" i="106" s="1"/>
  <c r="D7241" i="106" s="1"/>
  <c r="B4336" i="106"/>
  <c r="D4336" i="106" s="1"/>
  <c r="K321" i="29"/>
  <c r="B7144" i="106" s="1"/>
  <c r="D7144" i="106" s="1"/>
  <c r="B7136" i="106"/>
  <c r="D7136" i="106" s="1"/>
  <c r="B5080" i="106"/>
  <c r="D5080" i="106" s="1"/>
  <c r="F110" i="34"/>
  <c r="B5168" i="106"/>
  <c r="D5168" i="106" s="1"/>
  <c r="F26" i="34"/>
  <c r="B5577" i="106"/>
  <c r="D5577" i="106" s="1"/>
  <c r="B5754" i="106"/>
  <c r="D5754" i="106" s="1"/>
  <c r="G145" i="5"/>
  <c r="B5756" i="106" s="1"/>
  <c r="D5756" i="106" s="1"/>
  <c r="B4341" i="106"/>
  <c r="D4341" i="106" s="1"/>
  <c r="B5524" i="106"/>
  <c r="D5524" i="106" s="1"/>
  <c r="B1039" i="106"/>
  <c r="D1039" i="106" s="1"/>
  <c r="E350" i="29"/>
  <c r="B3631" i="106"/>
  <c r="D3631" i="106" s="1"/>
  <c r="B2887" i="106"/>
  <c r="D2887" i="106" s="1"/>
  <c r="F127" i="29"/>
  <c r="B1243" i="106"/>
  <c r="D1243" i="106" s="1"/>
  <c r="B5990" i="106"/>
  <c r="D5990" i="106" s="1"/>
  <c r="E169" i="5"/>
  <c r="B5537" i="106" s="1"/>
  <c r="D5537" i="106" s="1"/>
  <c r="B6368" i="106"/>
  <c r="D6368" i="106" s="1"/>
  <c r="B2981" i="106"/>
  <c r="D2981" i="106" s="1"/>
  <c r="B6908" i="106"/>
  <c r="D6908" i="106" s="1"/>
  <c r="B7212" i="106"/>
  <c r="D7212" i="106" s="1"/>
  <c r="K339" i="29"/>
  <c r="B7213" i="106" s="1"/>
  <c r="D7213" i="106" s="1"/>
  <c r="K71" i="29"/>
  <c r="B751" i="106"/>
  <c r="D751" i="106" s="1"/>
  <c r="B6171" i="106"/>
  <c r="D6171" i="106" s="1"/>
  <c r="B7662" i="106"/>
  <c r="D7662" i="106" s="1"/>
  <c r="B5672" i="106"/>
  <c r="D5672" i="106" s="1"/>
  <c r="B7132" i="106"/>
  <c r="D7132" i="106" s="1"/>
  <c r="B5074" i="106"/>
  <c r="D5074" i="106" s="1"/>
  <c r="K29" i="29"/>
  <c r="B6894" i="106"/>
  <c r="D6894" i="106" s="1"/>
  <c r="B855" i="106"/>
  <c r="D855" i="106" s="1"/>
  <c r="B3370" i="106"/>
  <c r="D3370" i="106" s="1"/>
  <c r="B6001" i="106"/>
  <c r="D6001" i="106" s="1"/>
  <c r="B781" i="106"/>
  <c r="D781" i="106" s="1"/>
  <c r="B7256" i="106"/>
  <c r="D7256" i="106" s="1"/>
  <c r="B6791" i="106"/>
  <c r="D6791" i="106" s="1"/>
  <c r="I47" i="29"/>
  <c r="B6924" i="106" s="1"/>
  <c r="D6924" i="106" s="1"/>
  <c r="B6918" i="106"/>
  <c r="D6918" i="106" s="1"/>
  <c r="B6744" i="106"/>
  <c r="D6744" i="106" s="1"/>
  <c r="B1012" i="106"/>
  <c r="D1012" i="106" s="1"/>
  <c r="K9" i="29"/>
  <c r="B7251" i="106"/>
  <c r="D7251" i="106" s="1"/>
  <c r="B7699" i="106"/>
  <c r="D7699" i="106" s="1"/>
  <c r="B732" i="106"/>
  <c r="D732" i="106" s="1"/>
  <c r="K49" i="29"/>
  <c r="C53" i="29"/>
  <c r="B734" i="106" s="1"/>
  <c r="D734" i="106" s="1"/>
  <c r="B7639" i="106"/>
  <c r="F67" i="5"/>
  <c r="B5582" i="106" s="1"/>
  <c r="D5582" i="106" s="1"/>
  <c r="B5580" i="106"/>
  <c r="D5580" i="106" s="1"/>
  <c r="B6732" i="106"/>
  <c r="D6732" i="106" s="1"/>
  <c r="B2832" i="106"/>
  <c r="D2832" i="106" s="1"/>
  <c r="K202" i="29"/>
  <c r="B2842" i="106" s="1"/>
  <c r="D2842" i="106" s="1"/>
  <c r="B3487" i="106"/>
  <c r="D3487" i="106" s="1"/>
  <c r="B6976" i="106"/>
  <c r="D6976" i="106" s="1"/>
  <c r="B1440" i="106"/>
  <c r="D1440" i="106" s="1"/>
  <c r="K275" i="29"/>
  <c r="B1504" i="106" s="1"/>
  <c r="D1504" i="106" s="1"/>
  <c r="B4917" i="106"/>
  <c r="D4917" i="106" s="1"/>
  <c r="B5107" i="106"/>
  <c r="D5107" i="106" s="1"/>
  <c r="F98" i="34"/>
  <c r="H293" i="29"/>
  <c r="B1449" i="106"/>
  <c r="D1449" i="106" s="1"/>
  <c r="K288" i="29"/>
  <c r="B6815" i="106"/>
  <c r="D6815" i="106" s="1"/>
  <c r="B1245" i="106"/>
  <c r="D1245" i="106" s="1"/>
  <c r="B3646" i="106"/>
  <c r="D3646" i="106" s="1"/>
  <c r="K30" i="29"/>
  <c r="B6896" i="106"/>
  <c r="D6896" i="106" s="1"/>
  <c r="B3589" i="106"/>
  <c r="D3589" i="106" s="1"/>
  <c r="B4945" i="106"/>
  <c r="D4945" i="106" s="1"/>
  <c r="B7179" i="106"/>
  <c r="D7179" i="106" s="1"/>
  <c r="F102" i="34"/>
  <c r="B5115" i="106"/>
  <c r="D5115" i="106" s="1"/>
  <c r="B4853" i="106"/>
  <c r="D4853" i="106" s="1"/>
  <c r="K106" i="29"/>
  <c r="B1147" i="106" s="1"/>
  <c r="D1147" i="106" s="1"/>
  <c r="B1049" i="106"/>
  <c r="D1049" i="106" s="1"/>
  <c r="D155" i="5"/>
  <c r="B5394" i="106" s="1"/>
  <c r="D5394" i="106" s="1"/>
  <c r="B5391" i="106"/>
  <c r="D5391" i="106" s="1"/>
  <c r="B1373" i="106"/>
  <c r="D1373" i="106" s="1"/>
  <c r="K203" i="29"/>
  <c r="B1385" i="106" s="1"/>
  <c r="D1385" i="106" s="1"/>
  <c r="B6825" i="106"/>
  <c r="D6825" i="106" s="1"/>
  <c r="F156" i="34"/>
  <c r="B6259" i="106"/>
  <c r="D6259" i="106" s="1"/>
  <c r="B7140" i="106"/>
  <c r="D7140" i="106" s="1"/>
  <c r="B7698" i="106"/>
  <c r="D7698" i="106" s="1"/>
  <c r="B6789" i="106"/>
  <c r="D6789" i="106" s="1"/>
  <c r="B921" i="106"/>
  <c r="D921" i="106" s="1"/>
  <c r="B4811" i="106"/>
  <c r="D4811" i="106" s="1"/>
  <c r="B3627" i="106"/>
  <c r="D3627" i="106" s="1"/>
  <c r="B7169" i="106"/>
  <c r="D7169" i="106" s="1"/>
  <c r="B5094" i="106"/>
  <c r="D5094" i="106" s="1"/>
  <c r="B971" i="106"/>
  <c r="D971" i="106" s="1"/>
  <c r="K218" i="29"/>
  <c r="B7075" i="106"/>
  <c r="D7075" i="106" s="1"/>
  <c r="B5523" i="106"/>
  <c r="D5523" i="106" s="1"/>
  <c r="B2794" i="106"/>
  <c r="D2794" i="106" s="1"/>
  <c r="B3582" i="106"/>
  <c r="D3582" i="106" s="1"/>
  <c r="B4855" i="106"/>
  <c r="D4855" i="106" s="1"/>
  <c r="B5921" i="106"/>
  <c r="D5921" i="106" s="1"/>
  <c r="B937" i="106"/>
  <c r="D937" i="106" s="1"/>
  <c r="G33" i="29"/>
  <c r="B952" i="106" s="1"/>
  <c r="D952" i="106" s="1"/>
  <c r="B10" i="7"/>
  <c r="I12" i="5"/>
  <c r="B5916" i="106"/>
  <c r="D5916" i="106" s="1"/>
  <c r="B6180" i="106"/>
  <c r="D6180" i="106" s="1"/>
  <c r="F168" i="34"/>
  <c r="B4358" i="106"/>
  <c r="D4358" i="106" s="1"/>
  <c r="B6667" i="106"/>
  <c r="D6667" i="106" s="1"/>
  <c r="I127" i="29"/>
  <c r="B7024" i="106"/>
  <c r="D7024" i="106" s="1"/>
  <c r="B5779" i="106"/>
  <c r="D5779" i="106" s="1"/>
  <c r="G175" i="5"/>
  <c r="B5780" i="106" s="1"/>
  <c r="D5780" i="106" s="1"/>
  <c r="G252" i="5"/>
  <c r="B6837" i="106" s="1"/>
  <c r="D6837" i="106" s="1"/>
  <c r="B6618" i="106"/>
  <c r="D6618" i="106" s="1"/>
  <c r="B7032" i="106"/>
  <c r="D7032" i="106" s="1"/>
  <c r="B3060" i="106"/>
  <c r="D3060" i="106" s="1"/>
  <c r="B6956" i="106"/>
  <c r="D6956" i="106" s="1"/>
  <c r="B5821" i="106"/>
  <c r="D5821" i="106" s="1"/>
  <c r="B1026" i="106"/>
  <c r="D1026" i="106" s="1"/>
  <c r="K166" i="29"/>
  <c r="B2819" i="106" s="1"/>
  <c r="D2819" i="106" s="1"/>
  <c r="B2813" i="106"/>
  <c r="D2813" i="106" s="1"/>
  <c r="D184" i="29"/>
  <c r="B1341" i="106"/>
  <c r="D1341" i="106" s="1"/>
  <c r="B6759" i="106"/>
  <c r="D6759" i="106" s="1"/>
  <c r="B6341" i="106"/>
  <c r="D6341" i="106" s="1"/>
  <c r="B3419" i="106"/>
  <c r="D3419" i="106" s="1"/>
  <c r="D37" i="36"/>
  <c r="F13" i="3"/>
  <c r="B157" i="106" s="1"/>
  <c r="D157" i="106" s="1"/>
  <c r="B2800" i="106"/>
  <c r="D2800" i="106" s="1"/>
  <c r="B1434" i="106"/>
  <c r="D1434" i="106" s="1"/>
  <c r="K269" i="29"/>
  <c r="B1498" i="106" s="1"/>
  <c r="D1498" i="106" s="1"/>
  <c r="B6254" i="106"/>
  <c r="D6254" i="106" s="1"/>
  <c r="B6754" i="106"/>
  <c r="D6754" i="106" s="1"/>
  <c r="B5464" i="106"/>
  <c r="D5464" i="106" s="1"/>
  <c r="B6115" i="106"/>
  <c r="D6115" i="106" s="1"/>
  <c r="B6000" i="106"/>
  <c r="D6000" i="106" s="1"/>
  <c r="K122" i="5"/>
  <c r="B796" i="106"/>
  <c r="D796" i="106" s="1"/>
  <c r="D65" i="29"/>
  <c r="B803" i="106" s="1"/>
  <c r="D803" i="106" s="1"/>
  <c r="B3375" i="106"/>
  <c r="D3375" i="106" s="1"/>
  <c r="B979" i="106"/>
  <c r="D979" i="106" s="1"/>
  <c r="K255" i="29"/>
  <c r="B7096" i="106" s="1"/>
  <c r="D7096" i="106" s="1"/>
  <c r="B7095" i="106"/>
  <c r="D7095" i="106" s="1"/>
  <c r="B6802" i="106"/>
  <c r="D6802" i="106" s="1"/>
  <c r="B6725" i="106"/>
  <c r="D6725" i="106" s="1"/>
  <c r="B5171" i="106"/>
  <c r="D5171" i="106" s="1"/>
  <c r="B7125" i="106"/>
  <c r="D7125" i="106" s="1"/>
  <c r="J330" i="29"/>
  <c r="B6149" i="106"/>
  <c r="D6149" i="106" s="1"/>
  <c r="B5606" i="106"/>
  <c r="D5606" i="106" s="1"/>
  <c r="B6714" i="106"/>
  <c r="D6714" i="106" s="1"/>
  <c r="B6987" i="106"/>
  <c r="D6987" i="106" s="1"/>
  <c r="K88" i="29"/>
  <c r="B6988" i="106" s="1"/>
  <c r="D6988" i="106" s="1"/>
  <c r="B6737" i="106"/>
  <c r="D6737" i="106" s="1"/>
  <c r="F146" i="34"/>
  <c r="B6723" i="106"/>
  <c r="D6723" i="106" s="1"/>
  <c r="B5137" i="106"/>
  <c r="D5137" i="106" s="1"/>
  <c r="B5248" i="106"/>
  <c r="D5248" i="106" s="1"/>
  <c r="J76" i="4"/>
  <c r="B6261" i="106" s="1"/>
  <c r="D6261" i="106" s="1"/>
  <c r="B6239" i="106"/>
  <c r="D6239" i="106" s="1"/>
  <c r="B1220" i="106"/>
  <c r="D1220" i="106" s="1"/>
  <c r="K123" i="29"/>
  <c r="B1275" i="106" s="1"/>
  <c r="D1275" i="106" s="1"/>
  <c r="B6818" i="106"/>
  <c r="D6818" i="106" s="1"/>
  <c r="B7027" i="106"/>
  <c r="D7027" i="106" s="1"/>
  <c r="B5604" i="106"/>
  <c r="D5604" i="106" s="1"/>
  <c r="B5927" i="106"/>
  <c r="D5927" i="106" s="1"/>
  <c r="I108" i="5"/>
  <c r="B5930" i="106" s="1"/>
  <c r="D5930" i="106" s="1"/>
  <c r="B863" i="106"/>
  <c r="D863" i="106" s="1"/>
  <c r="B4795" i="106"/>
  <c r="D4795" i="106" s="1"/>
  <c r="B1237" i="106"/>
  <c r="D1237" i="106" s="1"/>
  <c r="B1525" i="106"/>
  <c r="D1525" i="106" s="1"/>
  <c r="D303" i="29"/>
  <c r="B1433" i="106"/>
  <c r="D1433" i="106" s="1"/>
  <c r="K268" i="29"/>
  <c r="B1497" i="106" s="1"/>
  <c r="D1497" i="106" s="1"/>
  <c r="E18" i="5"/>
  <c r="B5518" i="106" s="1"/>
  <c r="D5518" i="106" s="1"/>
  <c r="B5514" i="106"/>
  <c r="D5514" i="106" s="1"/>
  <c r="B6778" i="106"/>
  <c r="D6778" i="106" s="1"/>
  <c r="B2880" i="106"/>
  <c r="D2880" i="106" s="1"/>
  <c r="I13" i="3"/>
  <c r="B2888" i="106" s="1"/>
  <c r="D2888" i="106" s="1"/>
  <c r="B896" i="106"/>
  <c r="D896" i="106" s="1"/>
  <c r="B7067" i="106"/>
  <c r="D7067" i="106" s="1"/>
  <c r="K205" i="29"/>
  <c r="B7068" i="106" s="1"/>
  <c r="D7068" i="106" s="1"/>
  <c r="B5627" i="106"/>
  <c r="D5627" i="106" s="1"/>
  <c r="I48" i="4"/>
  <c r="B2106" i="106" s="1"/>
  <c r="D2106" i="106" s="1"/>
  <c r="B321" i="106"/>
  <c r="D321" i="106" s="1"/>
  <c r="B7246" i="106"/>
  <c r="D7246" i="106" s="1"/>
  <c r="B6329" i="106"/>
  <c r="D6329" i="106" s="1"/>
  <c r="K250" i="29"/>
  <c r="B7086" i="106" s="1"/>
  <c r="D7086" i="106" s="1"/>
  <c r="B7085" i="106"/>
  <c r="D7085" i="106" s="1"/>
  <c r="B988" i="106"/>
  <c r="D988" i="106" s="1"/>
  <c r="B6629" i="106"/>
  <c r="D6629" i="106" s="1"/>
  <c r="B6623" i="106"/>
  <c r="D6623" i="106" s="1"/>
  <c r="B5986" i="106"/>
  <c r="D5986" i="106" s="1"/>
  <c r="B788" i="106"/>
  <c r="D788" i="106" s="1"/>
  <c r="B7097" i="106"/>
  <c r="D7097" i="106" s="1"/>
  <c r="K256" i="29"/>
  <c r="B7098" i="106" s="1"/>
  <c r="D7098" i="106" s="1"/>
  <c r="B4949" i="106"/>
  <c r="D4949" i="106" s="1"/>
  <c r="K136" i="29"/>
  <c r="B2988" i="106" s="1"/>
  <c r="D2988" i="106" s="1"/>
  <c r="B4201" i="106"/>
  <c r="D4201" i="106" s="1"/>
  <c r="B6152" i="106"/>
  <c r="D6152" i="106" s="1"/>
  <c r="B5058" i="106"/>
  <c r="D5058" i="106" s="1"/>
  <c r="K148" i="29"/>
  <c r="B7050" i="106" s="1"/>
  <c r="D7050" i="106" s="1"/>
  <c r="B7049" i="106"/>
  <c r="D7049" i="106" s="1"/>
  <c r="B6617" i="106"/>
  <c r="D6617" i="106" s="1"/>
  <c r="F252" i="5"/>
  <c r="B6836" i="106" s="1"/>
  <c r="D6836" i="106" s="1"/>
  <c r="B5111" i="106"/>
  <c r="D5111" i="106" s="1"/>
  <c r="F100" i="34"/>
  <c r="B2996" i="106"/>
  <c r="D2996" i="106" s="1"/>
  <c r="B6626" i="106"/>
  <c r="D6626" i="106" s="1"/>
  <c r="F134" i="34"/>
  <c r="B3079" i="106"/>
  <c r="D3079" i="106" s="1"/>
  <c r="B5742" i="106"/>
  <c r="D5742" i="106" s="1"/>
  <c r="G122" i="5"/>
  <c r="B5748" i="106" s="1"/>
  <c r="D5748" i="106" s="1"/>
  <c r="B2720" i="106"/>
  <c r="D2720" i="106" s="1"/>
  <c r="B2812" i="106"/>
  <c r="D2812" i="106" s="1"/>
  <c r="K165" i="29"/>
  <c r="B2818" i="106" s="1"/>
  <c r="D2818" i="106" s="1"/>
  <c r="B7654" i="106"/>
  <c r="D7654" i="106" s="1"/>
  <c r="B6777" i="106"/>
  <c r="D6777" i="106" s="1"/>
  <c r="F150" i="34"/>
  <c r="B7158" i="106"/>
  <c r="D7158" i="106" s="1"/>
  <c r="B6637" i="106"/>
  <c r="D6637" i="106" s="1"/>
  <c r="G350" i="29"/>
  <c r="B3645" i="106"/>
  <c r="D3645" i="106" s="1"/>
  <c r="B6335" i="106"/>
  <c r="D6335" i="106" s="1"/>
  <c r="B4875" i="106"/>
  <c r="D4875" i="106" s="1"/>
  <c r="K222" i="29"/>
  <c r="B1471" i="106" s="1"/>
  <c r="D1471" i="106" s="1"/>
  <c r="B1407" i="106"/>
  <c r="D1407" i="106" s="1"/>
  <c r="B798" i="106"/>
  <c r="D798" i="106" s="1"/>
  <c r="B6407" i="106"/>
  <c r="D6407" i="106" s="1"/>
  <c r="B6093" i="106"/>
  <c r="D6093" i="106" s="1"/>
  <c r="B7671" i="106"/>
  <c r="D7671" i="106" s="1"/>
  <c r="B4352" i="106"/>
  <c r="D4352" i="106" s="1"/>
  <c r="B5591" i="106"/>
  <c r="D5591" i="106" s="1"/>
  <c r="B5515" i="106"/>
  <c r="D5515" i="106" s="1"/>
  <c r="B6805" i="106"/>
  <c r="D6805" i="106" s="1"/>
  <c r="B2719" i="106"/>
  <c r="D2719" i="106" s="1"/>
  <c r="B6807" i="106"/>
  <c r="D6807" i="106" s="1"/>
  <c r="B6264" i="106"/>
  <c r="D6264" i="106" s="1"/>
  <c r="B5989" i="106"/>
  <c r="D5989" i="106" s="1"/>
  <c r="J303" i="29"/>
  <c r="B7100" i="106"/>
  <c r="D7100" i="106" s="1"/>
  <c r="B4883" i="106"/>
  <c r="D4883" i="106" s="1"/>
  <c r="B833" i="106"/>
  <c r="D833" i="106" s="1"/>
  <c r="H357" i="29"/>
  <c r="B7791" i="106"/>
  <c r="D7791" i="106" s="1"/>
  <c r="B7236" i="106"/>
  <c r="D7236" i="106" s="1"/>
  <c r="K354" i="29"/>
  <c r="B6680" i="106"/>
  <c r="D6680" i="106" s="1"/>
  <c r="B4915" i="106"/>
  <c r="D4915" i="106" s="1"/>
  <c r="F117" i="34"/>
  <c r="B5496" i="106"/>
  <c r="D5496" i="106" s="1"/>
  <c r="B6102" i="106"/>
  <c r="D6102" i="106" s="1"/>
  <c r="B6682" i="106"/>
  <c r="D6682" i="106" s="1"/>
  <c r="F141" i="34"/>
  <c r="H41" i="4"/>
  <c r="B6289" i="106" s="1"/>
  <c r="D6289" i="106" s="1"/>
  <c r="B6250" i="106"/>
  <c r="D6250" i="106" s="1"/>
  <c r="B6375" i="106"/>
  <c r="D6375" i="106" s="1"/>
  <c r="B1013" i="106"/>
  <c r="D1013" i="106" s="1"/>
  <c r="F139" i="34"/>
  <c r="B6666" i="106"/>
  <c r="D6666" i="106" s="1"/>
  <c r="B7157" i="106"/>
  <c r="D7157" i="106" s="1"/>
  <c r="K143" i="29"/>
  <c r="B1284" i="106" s="1"/>
  <c r="D1284" i="106" s="1"/>
  <c r="B1269" i="106"/>
  <c r="D1269" i="106" s="1"/>
  <c r="B6241" i="106"/>
  <c r="D6241" i="106" s="1"/>
  <c r="B7014" i="106"/>
  <c r="D7014" i="106" s="1"/>
  <c r="B5755" i="106"/>
  <c r="D5755" i="106" s="1"/>
  <c r="F152" i="34"/>
  <c r="B6793" i="106"/>
  <c r="D6793" i="106" s="1"/>
  <c r="B6964" i="106"/>
  <c r="D6964" i="106" s="1"/>
  <c r="J72" i="29"/>
  <c r="B6974" i="106" s="1"/>
  <c r="D6974" i="106" s="1"/>
  <c r="B1254" i="106"/>
  <c r="D1254" i="106" s="1"/>
  <c r="K126" i="29"/>
  <c r="B1277" i="106" s="1"/>
  <c r="D1277" i="106" s="1"/>
  <c r="D238" i="29"/>
  <c r="B1411" i="106"/>
  <c r="D1411" i="106" s="1"/>
  <c r="K232" i="29"/>
  <c r="B6795" i="106"/>
  <c r="D6795" i="106" s="1"/>
  <c r="B3000" i="106"/>
  <c r="D3000" i="106" s="1"/>
  <c r="B3085" i="106"/>
  <c r="D3085" i="106" s="1"/>
  <c r="B6312" i="106"/>
  <c r="D6312" i="106" s="1"/>
  <c r="F87" i="34"/>
  <c r="B834" i="106"/>
  <c r="D834" i="106" s="1"/>
  <c r="B4421" i="106"/>
  <c r="D4421" i="106" s="1"/>
  <c r="F136" i="34"/>
  <c r="B6642" i="106"/>
  <c r="D6642" i="106" s="1"/>
  <c r="B3632" i="106"/>
  <c r="D3632" i="106" s="1"/>
  <c r="H18" i="5"/>
  <c r="B5878" i="106" s="1"/>
  <c r="D5878" i="106" s="1"/>
  <c r="B5874" i="106"/>
  <c r="D5874" i="106" s="1"/>
  <c r="B914" i="106"/>
  <c r="D914" i="106" s="1"/>
  <c r="B5422" i="106"/>
  <c r="D5422" i="106" s="1"/>
  <c r="D175" i="5"/>
  <c r="B5423" i="106" s="1"/>
  <c r="D5423" i="106" s="1"/>
  <c r="B3257" i="106"/>
  <c r="D3257" i="106" s="1"/>
  <c r="F204" i="5"/>
  <c r="B5677" i="106" s="1"/>
  <c r="D5677" i="106" s="1"/>
  <c r="B5664" i="106"/>
  <c r="D5664" i="106" s="1"/>
  <c r="B5153" i="106"/>
  <c r="D5153" i="106" s="1"/>
  <c r="B4230" i="106"/>
  <c r="D4230" i="106" s="1"/>
  <c r="F142" i="34"/>
  <c r="B6690" i="106"/>
  <c r="D6690" i="106" s="1"/>
  <c r="B4808" i="106"/>
  <c r="D4808" i="106" s="1"/>
  <c r="B980" i="106"/>
  <c r="D980" i="106" s="1"/>
  <c r="F23" i="34"/>
  <c r="B5571" i="106"/>
  <c r="D5571" i="106" s="1"/>
  <c r="B3483" i="106"/>
  <c r="D3483" i="106" s="1"/>
  <c r="B797" i="106"/>
  <c r="D797" i="106" s="1"/>
  <c r="B7146" i="106"/>
  <c r="D7146" i="106" s="1"/>
  <c r="B5558" i="106"/>
  <c r="D5558" i="106" s="1"/>
  <c r="F18" i="5"/>
  <c r="B5562" i="106" s="1"/>
  <c r="D5562" i="106" s="1"/>
  <c r="B3373" i="106"/>
  <c r="D3373" i="106" s="1"/>
  <c r="B7194" i="106"/>
  <c r="D7194" i="106" s="1"/>
  <c r="B6770" i="106"/>
  <c r="D6770" i="106" s="1"/>
  <c r="B5093" i="106"/>
  <c r="D5093" i="106" s="1"/>
  <c r="B4346" i="106"/>
  <c r="D4346" i="106" s="1"/>
  <c r="B845" i="106"/>
  <c r="D845" i="106" s="1"/>
  <c r="B6233" i="106"/>
  <c r="D6233" i="106" s="1"/>
  <c r="B5333" i="106"/>
  <c r="D5333" i="106" s="1"/>
  <c r="B6153" i="106"/>
  <c r="D6153" i="106" s="1"/>
  <c r="B1252" i="106"/>
  <c r="D1252" i="106" s="1"/>
  <c r="F88" i="34"/>
  <c r="B5570" i="106"/>
  <c r="D5570" i="106" s="1"/>
  <c r="D36" i="36"/>
  <c r="E13" i="3"/>
  <c r="B131" i="106" s="1"/>
  <c r="D131" i="106" s="1"/>
  <c r="B3417" i="106"/>
  <c r="D3417" i="106" s="1"/>
  <c r="B6921" i="106"/>
  <c r="D6921" i="106" s="1"/>
  <c r="B5994" i="106"/>
  <c r="D5994" i="106" s="1"/>
  <c r="B4314" i="106"/>
  <c r="D4314" i="106" s="1"/>
  <c r="B6379" i="106"/>
  <c r="D6379" i="106" s="1"/>
  <c r="B7754" i="106"/>
  <c r="D7754" i="106" s="1"/>
  <c r="J44" i="4"/>
  <c r="B6945" i="106"/>
  <c r="D6945" i="106" s="1"/>
  <c r="J57" i="29"/>
  <c r="B6949" i="106" s="1"/>
  <c r="D6949" i="106" s="1"/>
  <c r="J350" i="29"/>
  <c r="B7227" i="106"/>
  <c r="D7227" i="106" s="1"/>
  <c r="B907" i="106"/>
  <c r="D907" i="106" s="1"/>
  <c r="B6747" i="106"/>
  <c r="D6747" i="106" s="1"/>
  <c r="B3234" i="106"/>
  <c r="D3234" i="106" s="1"/>
  <c r="B4794" i="106"/>
  <c r="D4794" i="106" s="1"/>
  <c r="B6746" i="106"/>
  <c r="D6746" i="106" s="1"/>
  <c r="B3411" i="106"/>
  <c r="D3411" i="106" s="1"/>
  <c r="D34" i="36"/>
  <c r="H24" i="118"/>
  <c r="C13" i="3"/>
  <c r="B77" i="106" s="1"/>
  <c r="D77" i="106" s="1"/>
  <c r="B4227" i="106"/>
  <c r="D4227" i="106" s="1"/>
  <c r="B7166" i="106"/>
  <c r="D7166" i="106" s="1"/>
  <c r="B4868" i="106"/>
  <c r="D4868" i="106" s="1"/>
  <c r="B6798" i="106"/>
  <c r="D6798" i="106" s="1"/>
  <c r="B6890" i="106"/>
  <c r="D6890" i="106" s="1"/>
  <c r="K27" i="29"/>
  <c r="B7111" i="106"/>
  <c r="D7111" i="106" s="1"/>
  <c r="B7676" i="106"/>
  <c r="D7676" i="106" s="1"/>
  <c r="B7161" i="106"/>
  <c r="D7161" i="106" s="1"/>
  <c r="B902" i="106"/>
  <c r="D902" i="106" s="1"/>
  <c r="F47" i="29"/>
  <c r="B905" i="106" s="1"/>
  <c r="D905" i="106" s="1"/>
  <c r="F155" i="5"/>
  <c r="B5618" i="106" s="1"/>
  <c r="D5618" i="106" s="1"/>
  <c r="B5615" i="106"/>
  <c r="D5615" i="106" s="1"/>
  <c r="B6952" i="106"/>
  <c r="D6952" i="106" s="1"/>
  <c r="B6089" i="106"/>
  <c r="D6089" i="106" s="1"/>
  <c r="B4342" i="106"/>
  <c r="D4342" i="106" s="1"/>
  <c r="B6374" i="106"/>
  <c r="D6374" i="106" s="1"/>
  <c r="K169" i="5"/>
  <c r="B5000" i="106" s="1"/>
  <c r="D5000" i="106" s="1"/>
  <c r="K360" i="29"/>
  <c r="B3657" i="106"/>
  <c r="D3657" i="106" s="1"/>
  <c r="H362" i="29"/>
  <c r="B6381" i="106"/>
  <c r="D6381" i="106" s="1"/>
  <c r="B6260" i="106"/>
  <c r="D6260" i="106" s="1"/>
  <c r="K158" i="29"/>
  <c r="B7780" i="106" s="1"/>
  <c r="D7780" i="106" s="1"/>
  <c r="B7779" i="106"/>
  <c r="D7779" i="106" s="1"/>
  <c r="B5089" i="106"/>
  <c r="D5089" i="106" s="1"/>
  <c r="C67" i="5"/>
  <c r="B5090" i="106" s="1"/>
  <c r="D5090" i="106" s="1"/>
  <c r="B7261" i="106"/>
  <c r="D7261" i="106" s="1"/>
  <c r="B5739" i="106"/>
  <c r="D5739" i="106" s="1"/>
  <c r="B6975" i="106"/>
  <c r="D6975" i="106" s="1"/>
  <c r="B72" i="106"/>
  <c r="D72" i="106" s="1"/>
  <c r="D114" i="5"/>
  <c r="B5357" i="106"/>
  <c r="D5357" i="106" s="1"/>
  <c r="B5556" i="106"/>
  <c r="D5556" i="106" s="1"/>
  <c r="B5242" i="106"/>
  <c r="D5242" i="106" s="1"/>
  <c r="K135" i="29"/>
  <c r="B2987" i="106" s="1"/>
  <c r="D2987" i="106" s="1"/>
  <c r="B4200" i="106"/>
  <c r="D4200" i="106" s="1"/>
  <c r="B3055" i="106"/>
  <c r="D3055" i="106" s="1"/>
  <c r="K10" i="29"/>
  <c r="B3062" i="106" s="1"/>
  <c r="D3062" i="106" s="1"/>
  <c r="B1248" i="106"/>
  <c r="D1248" i="106" s="1"/>
  <c r="B6164" i="106"/>
  <c r="D6164" i="106" s="1"/>
  <c r="B7195" i="106"/>
  <c r="D7195" i="106" s="1"/>
  <c r="B7176" i="106"/>
  <c r="D7176" i="106" s="1"/>
  <c r="B7177" i="106"/>
  <c r="D7177" i="106" s="1"/>
  <c r="B6792" i="106"/>
  <c r="D6792" i="106" s="1"/>
  <c r="B6658" i="106"/>
  <c r="D6658" i="106" s="1"/>
  <c r="B3486" i="106"/>
  <c r="D3486" i="106" s="1"/>
  <c r="B7133" i="106"/>
  <c r="D7133" i="106" s="1"/>
  <c r="B5240" i="106"/>
  <c r="D5240" i="106" s="1"/>
  <c r="B776" i="106"/>
  <c r="D776" i="106" s="1"/>
  <c r="B1019" i="106"/>
  <c r="D1019" i="106" s="1"/>
  <c r="B5817" i="106"/>
  <c r="D5817" i="106" s="1"/>
  <c r="G217" i="5"/>
  <c r="B5829" i="106" s="1"/>
  <c r="D5829" i="106" s="1"/>
  <c r="B5494" i="106"/>
  <c r="D5494" i="106" s="1"/>
  <c r="F33" i="34"/>
  <c r="B4407" i="106"/>
  <c r="D4407" i="106" s="1"/>
  <c r="B5691" i="106"/>
  <c r="D5691" i="106" s="1"/>
  <c r="F217" i="5"/>
  <c r="B5703" i="106" s="1"/>
  <c r="D5703" i="106" s="1"/>
  <c r="B1046" i="106"/>
  <c r="D1046" i="106" s="1"/>
  <c r="F89" i="34"/>
  <c r="B5572" i="106"/>
  <c r="D5572" i="106" s="1"/>
  <c r="B6647" i="106"/>
  <c r="D6647" i="106" s="1"/>
  <c r="F122" i="34"/>
  <c r="C181" i="5"/>
  <c r="B5230" i="106"/>
  <c r="D5230" i="106" s="1"/>
  <c r="B4394" i="106"/>
  <c r="D4394" i="106" s="1"/>
  <c r="B3653" i="106"/>
  <c r="D3653" i="106" s="1"/>
  <c r="K38" i="29"/>
  <c r="B1111" i="106" s="1"/>
  <c r="D1111" i="106" s="1"/>
  <c r="B723" i="106"/>
  <c r="D723" i="106" s="1"/>
  <c r="B4393" i="106"/>
  <c r="D4393" i="106" s="1"/>
  <c r="B6633" i="106"/>
  <c r="D6633" i="106" s="1"/>
  <c r="B5722" i="106"/>
  <c r="D5722" i="106" s="1"/>
  <c r="B6692" i="106"/>
  <c r="D6692" i="106" s="1"/>
  <c r="B6290" i="106"/>
  <c r="D6290" i="106" s="1"/>
  <c r="D73" i="36"/>
  <c r="B4810" i="106"/>
  <c r="D4810" i="106" s="1"/>
  <c r="G181" i="5"/>
  <c r="B5784" i="106" s="1"/>
  <c r="D5784" i="106" s="1"/>
  <c r="B6657" i="106"/>
  <c r="D6657" i="106" s="1"/>
  <c r="B7142" i="106"/>
  <c r="D7142" i="106" s="1"/>
  <c r="B967" i="106"/>
  <c r="D967" i="106" s="1"/>
  <c r="G57" i="29"/>
  <c r="B969" i="106" s="1"/>
  <c r="D969" i="106" s="1"/>
  <c r="B5070" i="106"/>
  <c r="D5070" i="106" s="1"/>
  <c r="B6655" i="106"/>
  <c r="D6655" i="106" s="1"/>
  <c r="B3059" i="106"/>
  <c r="D3059" i="106" s="1"/>
  <c r="B6719" i="106"/>
  <c r="D6719" i="106" s="1"/>
  <c r="B6758" i="106"/>
  <c r="D6758" i="106" s="1"/>
  <c r="B7668" i="106"/>
  <c r="D7668" i="106" s="1"/>
  <c r="B7247" i="106"/>
  <c r="D7247" i="106" s="1"/>
  <c r="B5426" i="106"/>
  <c r="D5426" i="106" s="1"/>
  <c r="D188" i="5"/>
  <c r="B6720" i="106"/>
  <c r="D6720" i="106" s="1"/>
  <c r="F144" i="34"/>
  <c r="B6653" i="106"/>
  <c r="D6653" i="106" s="1"/>
  <c r="D72" i="36"/>
  <c r="B2757" i="106"/>
  <c r="D2757" i="106" s="1"/>
  <c r="B948" i="106"/>
  <c r="D948" i="106" s="1"/>
  <c r="B7678" i="106"/>
  <c r="D7678" i="106" s="1"/>
  <c r="K53" i="4"/>
  <c r="B3703" i="106" s="1"/>
  <c r="D3703" i="106" s="1"/>
  <c r="B3699" i="106"/>
  <c r="D3699" i="106" s="1"/>
  <c r="B4889" i="106"/>
  <c r="D4889" i="106" s="1"/>
  <c r="B6135" i="106"/>
  <c r="D6135" i="106" s="1"/>
  <c r="B930" i="106"/>
  <c r="D930" i="106" s="1"/>
  <c r="B6390" i="106"/>
  <c r="D6390" i="106" s="1"/>
  <c r="B5354" i="106"/>
  <c r="D5354" i="106" s="1"/>
  <c r="B5068" i="106"/>
  <c r="D5068" i="106" s="1"/>
  <c r="B4334" i="106"/>
  <c r="D4334" i="106" s="1"/>
  <c r="B900" i="106"/>
  <c r="D900" i="106" s="1"/>
  <c r="B7061" i="106"/>
  <c r="D7061" i="106" s="1"/>
  <c r="B961" i="106"/>
  <c r="D961" i="106" s="1"/>
  <c r="J47" i="29"/>
  <c r="B6925" i="106" s="1"/>
  <c r="D6925" i="106" s="1"/>
  <c r="B6919" i="106"/>
  <c r="D6919" i="106" s="1"/>
  <c r="B3484" i="106"/>
  <c r="D3484" i="106" s="1"/>
  <c r="B5085" i="106"/>
  <c r="D5085" i="106" s="1"/>
  <c r="B6850" i="106"/>
  <c r="D6850" i="106" s="1"/>
  <c r="B6937" i="106"/>
  <c r="D6937" i="106" s="1"/>
  <c r="B7683" i="106"/>
  <c r="D7683" i="106" s="1"/>
  <c r="B323" i="106"/>
  <c r="D323" i="106" s="1"/>
  <c r="D68" i="36"/>
  <c r="H44" i="4"/>
  <c r="B7753" i="106"/>
  <c r="D7753" i="106" s="1"/>
  <c r="F153" i="34"/>
  <c r="B6801" i="106"/>
  <c r="D6801" i="106" s="1"/>
  <c r="B7693" i="106"/>
  <c r="D7693" i="106" s="1"/>
  <c r="B5082" i="106"/>
  <c r="D5082" i="106" s="1"/>
  <c r="B6864" i="106"/>
  <c r="D6864" i="106" s="1"/>
  <c r="K252" i="29"/>
  <c r="B7090" i="106" s="1"/>
  <c r="D7090" i="106" s="1"/>
  <c r="B7089" i="106"/>
  <c r="D7089" i="106" s="1"/>
  <c r="B6870" i="106"/>
  <c r="D6870" i="106" s="1"/>
  <c r="B4797" i="106"/>
  <c r="D4797" i="106" s="1"/>
  <c r="B787" i="106"/>
  <c r="D787" i="106" s="1"/>
  <c r="E12" i="5"/>
  <c r="B5509" i="106"/>
  <c r="D5509" i="106" s="1"/>
  <c r="B6" i="7"/>
  <c r="D6" i="7" s="1"/>
  <c r="B1762" i="106" s="1"/>
  <c r="D1762" i="106" s="1"/>
  <c r="B6786" i="106"/>
  <c r="D6786" i="106" s="1"/>
  <c r="B6326" i="106"/>
  <c r="D6326" i="106" s="1"/>
  <c r="B7684" i="106"/>
  <c r="D7684" i="106" s="1"/>
  <c r="B4309" i="106"/>
  <c r="D4309" i="106" s="1"/>
  <c r="B892" i="106"/>
  <c r="D892" i="106" s="1"/>
  <c r="B6854" i="106"/>
  <c r="D6854" i="106" s="1"/>
  <c r="B3376" i="106"/>
  <c r="D3376" i="106" s="1"/>
  <c r="B1014" i="106"/>
  <c r="D1014" i="106" s="1"/>
  <c r="B7267" i="106"/>
  <c r="B7131" i="106"/>
  <c r="D7131" i="106" s="1"/>
  <c r="F32" i="34"/>
  <c r="B5459" i="106"/>
  <c r="D5459" i="106" s="1"/>
  <c r="F72" i="29"/>
  <c r="B927" i="106" s="1"/>
  <c r="D927" i="106" s="1"/>
  <c r="B920" i="106"/>
  <c r="D920" i="106" s="1"/>
  <c r="B5330" i="106"/>
  <c r="D5330" i="106" s="1"/>
  <c r="B986" i="106"/>
  <c r="D986" i="106" s="1"/>
  <c r="B6868" i="106"/>
  <c r="D6868" i="106" s="1"/>
  <c r="B7073" i="106"/>
  <c r="D7073" i="106" s="1"/>
  <c r="K216" i="29"/>
  <c r="B7074" i="106" s="1"/>
  <c r="D7074" i="106" s="1"/>
  <c r="B1528" i="106"/>
  <c r="D1528" i="106" s="1"/>
  <c r="B1537" i="106"/>
  <c r="D1537" i="106" s="1"/>
  <c r="F303" i="29"/>
  <c r="B6983" i="106"/>
  <c r="D6983" i="106" s="1"/>
  <c r="K86" i="29"/>
  <c r="B6984" i="106" s="1"/>
  <c r="D6984" i="106" s="1"/>
  <c r="C303" i="29"/>
  <c r="B1519" i="106"/>
  <c r="D1519" i="106" s="1"/>
  <c r="K301" i="29"/>
  <c r="D47" i="29"/>
  <c r="B789" i="106" s="1"/>
  <c r="D789" i="106" s="1"/>
  <c r="B786" i="106"/>
  <c r="D786" i="106" s="1"/>
  <c r="B7148" i="106"/>
  <c r="D7148" i="106" s="1"/>
  <c r="K188" i="29"/>
  <c r="B2989" i="106"/>
  <c r="D2989" i="106" s="1"/>
  <c r="E194" i="29"/>
  <c r="B6865" i="106"/>
  <c r="D6865" i="106" s="1"/>
  <c r="B6765" i="106"/>
  <c r="D6765" i="106" s="1"/>
  <c r="B4864" i="106"/>
  <c r="D4864" i="106" s="1"/>
  <c r="B4337" i="106"/>
  <c r="D4337" i="106" s="1"/>
  <c r="B3295" i="106"/>
  <c r="D3295" i="106" s="1"/>
  <c r="B6776" i="106"/>
  <c r="D6776" i="106" s="1"/>
  <c r="B6619" i="106"/>
  <c r="D6619" i="106" s="1"/>
  <c r="H252" i="5"/>
  <c r="B6702" i="106"/>
  <c r="D6702" i="106" s="1"/>
  <c r="H42" i="29"/>
  <c r="B1011" i="106"/>
  <c r="D1011" i="106" s="1"/>
  <c r="B4332" i="106"/>
  <c r="D4332" i="106" s="1"/>
  <c r="B6906" i="106"/>
  <c r="D6906" i="106" s="1"/>
  <c r="B3485" i="106"/>
  <c r="D3485" i="106" s="1"/>
  <c r="B2758" i="106"/>
  <c r="D2758" i="106" s="1"/>
  <c r="B6755" i="106"/>
  <c r="D6755" i="106" s="1"/>
  <c r="B6309" i="106"/>
  <c r="D6309" i="106" s="1"/>
  <c r="B6644" i="106"/>
  <c r="D6644" i="106" s="1"/>
  <c r="B6782" i="106"/>
  <c r="D6782" i="106" s="1"/>
  <c r="B5375" i="106"/>
  <c r="D5375" i="106" s="1"/>
  <c r="B6189" i="106"/>
  <c r="D6189" i="106" s="1"/>
  <c r="B6688" i="106"/>
  <c r="D6688" i="106" s="1"/>
  <c r="B5095" i="106"/>
  <c r="D5095" i="106" s="1"/>
  <c r="D257" i="29"/>
  <c r="B1424" i="106" s="1"/>
  <c r="D1424" i="106" s="1"/>
  <c r="K245" i="29"/>
  <c r="B1422" i="106"/>
  <c r="D1422" i="106" s="1"/>
  <c r="B925" i="106"/>
  <c r="D925" i="106" s="1"/>
  <c r="B1022" i="106"/>
  <c r="D1022" i="106" s="1"/>
  <c r="H53" i="29"/>
  <c r="B1024" i="106" s="1"/>
  <c r="D1024" i="106" s="1"/>
  <c r="B5075" i="106"/>
  <c r="D5075" i="106" s="1"/>
  <c r="B6934" i="106"/>
  <c r="D6934" i="106" s="1"/>
  <c r="B6757" i="106"/>
  <c r="D6757" i="106" s="1"/>
  <c r="B4344" i="106"/>
  <c r="D4344" i="106" s="1"/>
  <c r="B4420" i="106"/>
  <c r="D4420" i="106" s="1"/>
  <c r="B6829" i="106"/>
  <c r="D6829" i="106" s="1"/>
  <c r="B6345" i="106"/>
  <c r="D6345" i="106" s="1"/>
  <c r="B957" i="106"/>
  <c r="D957" i="106" s="1"/>
  <c r="B4343" i="106"/>
  <c r="D4343" i="106" s="1"/>
  <c r="B7783" i="106"/>
  <c r="D7783" i="106" s="1"/>
  <c r="K282" i="29"/>
  <c r="D285" i="29"/>
  <c r="B3722" i="106" s="1"/>
  <c r="D3722" i="106" s="1"/>
  <c r="B5917" i="106"/>
  <c r="D5917" i="106" s="1"/>
  <c r="F133" i="34"/>
  <c r="B6622" i="106"/>
  <c r="D6622" i="106" s="1"/>
  <c r="B7039" i="106"/>
  <c r="D7039" i="106" s="1"/>
  <c r="B928" i="106"/>
  <c r="D928" i="106" s="1"/>
  <c r="K94" i="29"/>
  <c r="B6999" i="106" s="1"/>
  <c r="D6999" i="106" s="1"/>
  <c r="B6998" i="106"/>
  <c r="D6998" i="106" s="1"/>
  <c r="G204" i="5"/>
  <c r="B5803" i="106" s="1"/>
  <c r="D5803" i="106" s="1"/>
  <c r="B5790" i="106"/>
  <c r="D5790" i="106" s="1"/>
  <c r="B7016" i="106"/>
  <c r="D7016" i="106" s="1"/>
  <c r="K111" i="29"/>
  <c r="B7017" i="106" s="1"/>
  <c r="D7017" i="106" s="1"/>
  <c r="K246" i="29"/>
  <c r="B1487" i="106" s="1"/>
  <c r="D1487" i="106" s="1"/>
  <c r="B1423" i="106"/>
  <c r="D1423" i="106" s="1"/>
  <c r="B3389" i="106"/>
  <c r="D3389" i="106" s="1"/>
  <c r="K228" i="29"/>
  <c r="B3392" i="106" s="1"/>
  <c r="D3392" i="106" s="1"/>
  <c r="K108" i="5"/>
  <c r="B5999" i="106" s="1"/>
  <c r="D5999" i="106" s="1"/>
  <c r="B5996" i="106"/>
  <c r="D5996" i="106" s="1"/>
  <c r="B6190" i="106"/>
  <c r="D6190" i="106" s="1"/>
  <c r="B4321" i="106"/>
  <c r="D4321" i="106" s="1"/>
  <c r="B7751" i="106"/>
  <c r="D7751" i="106" s="1"/>
  <c r="F44" i="4"/>
  <c r="B2829" i="106"/>
  <c r="D2829" i="106" s="1"/>
  <c r="B76" i="106"/>
  <c r="D76" i="106" s="1"/>
  <c r="B7030" i="106"/>
  <c r="D7030" i="106" s="1"/>
  <c r="B5822" i="106"/>
  <c r="D5822" i="106" s="1"/>
  <c r="B958" i="106"/>
  <c r="D958" i="106" s="1"/>
  <c r="B983" i="106"/>
  <c r="D983" i="106" s="1"/>
  <c r="B2762" i="106"/>
  <c r="D2762" i="106" s="1"/>
  <c r="J65" i="29"/>
  <c r="B6962" i="106" s="1"/>
  <c r="D6962" i="106" s="1"/>
  <c r="B6951" i="106"/>
  <c r="D6951" i="106" s="1"/>
  <c r="B1338" i="106"/>
  <c r="D1338" i="106" s="1"/>
  <c r="K183" i="29"/>
  <c r="B1380" i="106" s="1"/>
  <c r="D1380" i="106" s="1"/>
  <c r="B4948" i="106"/>
  <c r="D4948" i="106" s="1"/>
  <c r="B5077" i="106"/>
  <c r="D5077" i="106" s="1"/>
  <c r="B6096" i="106"/>
  <c r="D6096" i="106" s="1"/>
  <c r="B6253" i="106"/>
  <c r="D6253" i="106" s="1"/>
  <c r="B4918" i="106"/>
  <c r="D4918" i="106" s="1"/>
  <c r="B2760" i="106"/>
  <c r="D2760" i="106" s="1"/>
  <c r="B7197" i="106"/>
  <c r="D7197" i="106" s="1"/>
  <c r="B7109" i="106"/>
  <c r="D7109" i="106" s="1"/>
  <c r="B6715" i="106"/>
  <c r="D6715" i="106" s="1"/>
  <c r="B4796" i="106"/>
  <c r="D4796" i="106" s="1"/>
  <c r="B6656" i="106"/>
  <c r="D6656" i="106" s="1"/>
  <c r="B7814" i="106"/>
  <c r="D7814" i="106" s="1"/>
  <c r="B4447" i="106"/>
  <c r="D4447" i="106" s="1"/>
  <c r="B4881" i="106"/>
  <c r="D4881" i="106" s="1"/>
  <c r="B730" i="106"/>
  <c r="D730" i="106" s="1"/>
  <c r="K46" i="29"/>
  <c r="B1118" i="106" s="1"/>
  <c r="D1118" i="106" s="1"/>
  <c r="B1023" i="106"/>
  <c r="D1023" i="106" s="1"/>
  <c r="B6300" i="106"/>
  <c r="D6300" i="106" s="1"/>
  <c r="F161" i="34"/>
  <c r="B4415" i="106"/>
  <c r="D4415" i="106" s="1"/>
  <c r="B6693" i="106"/>
  <c r="D6693" i="106" s="1"/>
  <c r="B801" i="106"/>
  <c r="D801" i="106" s="1"/>
  <c r="B7175" i="106"/>
  <c r="D7175" i="106" s="1"/>
  <c r="B6753" i="106"/>
  <c r="D6753" i="106" s="1"/>
  <c r="F147" i="34"/>
  <c r="B6240" i="106"/>
  <c r="D6240" i="106" s="1"/>
  <c r="H19" i="118"/>
  <c r="H14" i="118"/>
  <c r="E37" i="4"/>
  <c r="B6285" i="106" s="1"/>
  <c r="D6285" i="106" s="1"/>
  <c r="B4378" i="106"/>
  <c r="D4378" i="106" s="1"/>
  <c r="B5091" i="106"/>
  <c r="D5091" i="106" s="1"/>
  <c r="B6790" i="106"/>
  <c r="D6790" i="106" s="1"/>
  <c r="B956" i="106"/>
  <c r="D956" i="106" s="1"/>
  <c r="B6821" i="106"/>
  <c r="D6821" i="106" s="1"/>
  <c r="B840" i="106"/>
  <c r="D840" i="106" s="1"/>
  <c r="B5883" i="106"/>
  <c r="D5883" i="106" s="1"/>
  <c r="K83" i="29"/>
  <c r="B2978" i="106" s="1"/>
  <c r="D2978" i="106" s="1"/>
  <c r="B2954" i="106"/>
  <c r="D2954" i="106" s="1"/>
  <c r="B6404" i="106"/>
  <c r="D6404" i="106" s="1"/>
  <c r="B1268" i="106"/>
  <c r="D1268" i="106" s="1"/>
  <c r="H147" i="29"/>
  <c r="H149" i="29" s="1"/>
  <c r="B1272" i="106" s="1"/>
  <c r="D1272" i="106" s="1"/>
  <c r="K142" i="29"/>
  <c r="I47" i="4"/>
  <c r="B7748" i="106"/>
  <c r="D7748" i="106" s="1"/>
  <c r="C44" i="4"/>
  <c r="B981" i="106"/>
  <c r="D981" i="106" s="1"/>
  <c r="B5078" i="106"/>
  <c r="D5078" i="106" s="1"/>
  <c r="B6310" i="106"/>
  <c r="D6310" i="106" s="1"/>
  <c r="B6954" i="106"/>
  <c r="D6954" i="106" s="1"/>
  <c r="B4360" i="106"/>
  <c r="D4360" i="106" s="1"/>
  <c r="B804" i="106"/>
  <c r="D804" i="106" s="1"/>
  <c r="D72" i="29"/>
  <c r="B811" i="106" s="1"/>
  <c r="D811" i="106" s="1"/>
  <c r="B5735" i="106"/>
  <c r="D5735" i="106" s="1"/>
  <c r="B6330" i="106"/>
  <c r="D6330" i="106" s="1"/>
  <c r="B6787" i="106"/>
  <c r="D6787" i="106" s="1"/>
  <c r="B6874" i="106"/>
  <c r="D6874" i="106" s="1"/>
  <c r="B4345" i="106"/>
  <c r="D4345" i="106" s="1"/>
  <c r="F18" i="34"/>
  <c r="B5564" i="106"/>
  <c r="D5564" i="106" s="1"/>
  <c r="B2840" i="106"/>
  <c r="D2840" i="106" s="1"/>
  <c r="B844" i="106"/>
  <c r="D844" i="106" s="1"/>
  <c r="E47" i="29"/>
  <c r="B847" i="106" s="1"/>
  <c r="D847" i="106" s="1"/>
  <c r="B7254" i="106"/>
  <c r="D7254" i="106" s="1"/>
  <c r="K361" i="29"/>
  <c r="B7239" i="106" s="1"/>
  <c r="D7239" i="106" s="1"/>
  <c r="B7238" i="106"/>
  <c r="D7238" i="106" s="1"/>
  <c r="B5135" i="106"/>
  <c r="D5135" i="106" s="1"/>
  <c r="B4379" i="106"/>
  <c r="D4379" i="106" s="1"/>
  <c r="B1344" i="106"/>
  <c r="D1344" i="106" s="1"/>
  <c r="B4418" i="106"/>
  <c r="D4418" i="106" s="1"/>
  <c r="F164" i="34"/>
  <c r="B7812" i="106"/>
  <c r="D7812" i="106" s="1"/>
  <c r="B1522" i="106"/>
  <c r="D1522" i="106" s="1"/>
  <c r="K302" i="29"/>
  <c r="B1558" i="106" s="1"/>
  <c r="D1558" i="106" s="1"/>
  <c r="B5" i="7"/>
  <c r="B5328" i="106"/>
  <c r="D5328" i="106" s="1"/>
  <c r="D12" i="5"/>
  <c r="B5929" i="106"/>
  <c r="D5929" i="106" s="1"/>
  <c r="B4806" i="106"/>
  <c r="D4806" i="106" s="1"/>
  <c r="B1432" i="106"/>
  <c r="D1432" i="106" s="1"/>
  <c r="K267" i="29"/>
  <c r="B1496" i="106" s="1"/>
  <c r="D1496" i="106" s="1"/>
  <c r="B706" i="106"/>
  <c r="D706" i="106" s="1"/>
  <c r="K16" i="29"/>
  <c r="B1094" i="106" s="1"/>
  <c r="D1094" i="106" s="1"/>
  <c r="B6683" i="106"/>
  <c r="D6683" i="106" s="1"/>
  <c r="B2798" i="106"/>
  <c r="D2798" i="106" s="1"/>
  <c r="B972" i="106"/>
  <c r="D972" i="106" s="1"/>
  <c r="K240" i="29"/>
  <c r="B1418" i="106"/>
  <c r="D1418" i="106" s="1"/>
  <c r="D243" i="29"/>
  <c r="B1421" i="106" s="1"/>
  <c r="D1421" i="106" s="1"/>
  <c r="B7035" i="106"/>
  <c r="D7035" i="106" s="1"/>
  <c r="K164" i="29"/>
  <c r="B1325" i="106" s="1"/>
  <c r="D1325" i="106" s="1"/>
  <c r="B1311" i="106"/>
  <c r="D1311" i="106" s="1"/>
  <c r="B108" i="106"/>
  <c r="D108" i="106" s="1"/>
  <c r="B7130" i="106"/>
  <c r="D7130" i="106" s="1"/>
  <c r="B7149" i="106"/>
  <c r="D7149" i="106" s="1"/>
  <c r="B4802" i="106"/>
  <c r="D4802" i="106" s="1"/>
  <c r="J53" i="29"/>
  <c r="B6943" i="106" s="1"/>
  <c r="D6943" i="106" s="1"/>
  <c r="B6927" i="106"/>
  <c r="D6927" i="106" s="1"/>
  <c r="B2092" i="106"/>
  <c r="D2092" i="106" s="1"/>
  <c r="K138" i="29"/>
  <c r="B2094" i="106" s="1"/>
  <c r="D2094" i="106" s="1"/>
  <c r="E42" i="29"/>
  <c r="B837" i="106"/>
  <c r="D837" i="106" s="1"/>
  <c r="H330" i="29"/>
  <c r="B7123" i="106"/>
  <c r="D7123" i="106" s="1"/>
  <c r="B6971" i="106"/>
  <c r="D6971" i="106" s="1"/>
  <c r="B5888" i="106"/>
  <c r="D5888" i="106" s="1"/>
  <c r="K223" i="29"/>
  <c r="B1472" i="106" s="1"/>
  <c r="D1472" i="106" s="1"/>
  <c r="B1408" i="106"/>
  <c r="D1408" i="106" s="1"/>
  <c r="B6363" i="106"/>
  <c r="D6363" i="106" s="1"/>
  <c r="B6767" i="106"/>
  <c r="D6767" i="106" s="1"/>
  <c r="B6846" i="106"/>
  <c r="D6846" i="106" s="1"/>
  <c r="B7702" i="106"/>
  <c r="D7702" i="106" s="1"/>
  <c r="E84" i="29"/>
  <c r="K78" i="29"/>
  <c r="B2973" i="106" s="1"/>
  <c r="D2973" i="106" s="1"/>
  <c r="B2949" i="106"/>
  <c r="D2949" i="106" s="1"/>
  <c r="B6295" i="106"/>
  <c r="D6295" i="106" s="1"/>
  <c r="B1044" i="106"/>
  <c r="D1044" i="106" s="1"/>
  <c r="B5727" i="106"/>
  <c r="D5727" i="106" s="1"/>
  <c r="B5723" i="106"/>
  <c r="D5723" i="106" s="1"/>
  <c r="B16" i="7"/>
  <c r="B3446" i="106" s="1"/>
  <c r="D3446" i="106" s="1"/>
  <c r="B953" i="106"/>
  <c r="D953" i="106" s="1"/>
  <c r="G42" i="29"/>
  <c r="I303" i="29"/>
  <c r="B7099" i="106"/>
  <c r="D7099" i="106" s="1"/>
  <c r="B865" i="106"/>
  <c r="D865" i="106" s="1"/>
  <c r="B6324" i="106"/>
  <c r="D6324" i="106" s="1"/>
  <c r="B7670" i="106"/>
  <c r="D7670" i="106" s="1"/>
  <c r="B1645" i="106"/>
  <c r="D1645" i="106" s="1"/>
  <c r="B6735" i="106"/>
  <c r="D6735" i="106" s="1"/>
  <c r="K337" i="29"/>
  <c r="H340" i="29"/>
  <c r="B7214" i="106" s="1"/>
  <c r="D7214" i="106" s="1"/>
  <c r="B7208" i="106"/>
  <c r="D7208" i="106" s="1"/>
  <c r="B6394" i="106"/>
  <c r="D6394" i="106" s="1"/>
  <c r="B1369" i="106"/>
  <c r="D1369" i="106" s="1"/>
  <c r="B1450" i="106"/>
  <c r="D1450" i="106" s="1"/>
  <c r="K289" i="29"/>
  <c r="B1513" i="106" s="1"/>
  <c r="D1513" i="106" s="1"/>
  <c r="B904" i="106"/>
  <c r="D904" i="106" s="1"/>
  <c r="B5274" i="106"/>
  <c r="D5274" i="106" s="1"/>
  <c r="C217" i="5"/>
  <c r="B5286" i="106" s="1"/>
  <c r="D5286" i="106" s="1"/>
  <c r="B1008" i="106"/>
  <c r="D1008" i="106" s="1"/>
  <c r="B619" i="106"/>
  <c r="D619" i="106" s="1"/>
  <c r="B809" i="106"/>
  <c r="D809" i="106" s="1"/>
  <c r="B6862" i="106"/>
  <c r="D6862" i="106" s="1"/>
  <c r="B728" i="106"/>
  <c r="D728" i="106" s="1"/>
  <c r="C47" i="29"/>
  <c r="B731" i="106" s="1"/>
  <c r="D731" i="106" s="1"/>
  <c r="K44" i="29"/>
  <c r="B1116" i="106" s="1"/>
  <c r="D1116" i="106" s="1"/>
  <c r="B7694" i="106"/>
  <c r="D7694" i="106" s="1"/>
  <c r="B7121" i="106"/>
  <c r="D7121" i="106" s="1"/>
  <c r="F330" i="29"/>
  <c r="B784" i="106"/>
  <c r="D784" i="106" s="1"/>
  <c r="B5352" i="106"/>
  <c r="D5352" i="106" s="1"/>
  <c r="H175" i="5"/>
  <c r="B4950" i="106" s="1"/>
  <c r="D4950" i="106" s="1"/>
  <c r="B4365" i="106"/>
  <c r="D4365" i="106" s="1"/>
  <c r="C122" i="5"/>
  <c r="B5132" i="106" s="1"/>
  <c r="D5132" i="106" s="1"/>
  <c r="B5126" i="106"/>
  <c r="D5126" i="106" s="1"/>
  <c r="B166" i="106"/>
  <c r="D166" i="106" s="1"/>
  <c r="B7768" i="106"/>
  <c r="D7768" i="106" s="1"/>
  <c r="B6718" i="106"/>
  <c r="D6718" i="106" s="1"/>
  <c r="B3253" i="106"/>
  <c r="D3253" i="106" s="1"/>
  <c r="B4380" i="106"/>
  <c r="D4380" i="106" s="1"/>
  <c r="D71" i="36"/>
  <c r="B5012" i="106"/>
  <c r="D5012" i="106" s="1"/>
  <c r="B6376" i="106"/>
  <c r="D6376" i="106" s="1"/>
  <c r="B7692" i="106"/>
  <c r="D7692" i="106" s="1"/>
  <c r="B4446" i="106"/>
  <c r="D4446" i="106" s="1"/>
  <c r="B7685" i="106"/>
  <c r="D7685" i="106" s="1"/>
  <c r="B6085" i="106"/>
  <c r="D6085" i="106" s="1"/>
  <c r="B6165" i="106"/>
  <c r="D6165" i="106" s="1"/>
  <c r="D42" i="29"/>
  <c r="B779" i="106"/>
  <c r="D779" i="106" s="1"/>
  <c r="B7190" i="106"/>
  <c r="D7190" i="106" s="1"/>
  <c r="K327" i="29"/>
  <c r="B7198" i="106" s="1"/>
  <c r="D7198" i="106" s="1"/>
  <c r="K272" i="29"/>
  <c r="D277" i="29"/>
  <c r="B1444" i="106" s="1"/>
  <c r="D1444" i="106" s="1"/>
  <c r="B1437" i="106"/>
  <c r="D1437" i="106" s="1"/>
  <c r="B7185" i="106"/>
  <c r="D7185" i="106" s="1"/>
  <c r="B11" i="7"/>
  <c r="B6298" i="106"/>
  <c r="D6298" i="106" s="1"/>
  <c r="J12" i="5"/>
  <c r="I330" i="29"/>
  <c r="B7124" i="106"/>
  <c r="D7124" i="106" s="1"/>
  <c r="B1036" i="106"/>
  <c r="D1036" i="106" s="1"/>
  <c r="H72" i="29"/>
  <c r="B1043" i="106" s="1"/>
  <c r="D1043" i="106" s="1"/>
  <c r="B4312" i="106"/>
  <c r="D4312" i="106" s="1"/>
  <c r="B1029" i="106"/>
  <c r="D1029" i="106" s="1"/>
  <c r="B6334" i="106"/>
  <c r="D6334" i="106" s="1"/>
  <c r="B3638" i="106"/>
  <c r="D3638" i="106" s="1"/>
  <c r="F350" i="29"/>
  <c r="K51" i="29"/>
  <c r="B2718" i="106"/>
  <c r="D2718" i="106" s="1"/>
  <c r="B7687" i="106"/>
  <c r="D7687" i="106" s="1"/>
  <c r="F122" i="5"/>
  <c r="B5599" i="106" s="1"/>
  <c r="D5599" i="106" s="1"/>
  <c r="B5593" i="106"/>
  <c r="D5593" i="106" s="1"/>
  <c r="K323" i="29"/>
  <c r="B7162" i="106" s="1"/>
  <c r="D7162" i="106" s="1"/>
  <c r="B7154" i="106"/>
  <c r="D7154" i="106" s="1"/>
  <c r="B3366" i="106"/>
  <c r="D3366" i="106" s="1"/>
  <c r="K8" i="29"/>
  <c r="B3380" i="106" s="1"/>
  <c r="D3380" i="106" s="1"/>
  <c r="B6242" i="106"/>
  <c r="D6242" i="106" s="1"/>
  <c r="E100" i="29"/>
  <c r="B7011" i="106" s="1"/>
  <c r="D7011" i="106" s="1"/>
  <c r="K99" i="29"/>
  <c r="B7010" i="106" s="1"/>
  <c r="D7010" i="106" s="1"/>
  <c r="B7008" i="106"/>
  <c r="D7008" i="106" s="1"/>
  <c r="B5732" i="106"/>
  <c r="D5732" i="106" s="1"/>
  <c r="B6769" i="106"/>
  <c r="D6769" i="106" s="1"/>
  <c r="F149" i="34"/>
  <c r="B7704" i="106"/>
  <c r="D7704" i="106" s="1"/>
  <c r="B6339" i="106"/>
  <c r="D6339" i="106" s="1"/>
  <c r="B6876" i="106"/>
  <c r="D6876" i="106" s="1"/>
  <c r="K20" i="29"/>
  <c r="K159" i="29"/>
  <c r="B7782" i="106" s="1"/>
  <c r="D7782" i="106" s="1"/>
  <c r="B7781" i="106"/>
  <c r="D7781" i="106" s="1"/>
  <c r="B7653" i="106"/>
  <c r="D7653" i="106" s="1"/>
  <c r="B6823" i="106"/>
  <c r="D6823" i="106" s="1"/>
  <c r="C12" i="5"/>
  <c r="B5061" i="106"/>
  <c r="D5061" i="106" s="1"/>
  <c r="B4" i="7"/>
  <c r="B6649" i="106"/>
  <c r="D6649" i="106" s="1"/>
  <c r="D34" i="3"/>
  <c r="B122" i="106" s="1"/>
  <c r="D122" i="106" s="1"/>
  <c r="B6126" i="106"/>
  <c r="D6126" i="106" s="1"/>
  <c r="K36" i="29"/>
  <c r="B721" i="106"/>
  <c r="D721" i="106" s="1"/>
  <c r="C42" i="29"/>
  <c r="B7661" i="106"/>
  <c r="D7661" i="106" s="1"/>
  <c r="K260" i="29"/>
  <c r="B1490" i="106" s="1"/>
  <c r="D1490" i="106" s="1"/>
  <c r="B1426" i="106"/>
  <c r="D1426" i="106" s="1"/>
  <c r="B6910" i="106"/>
  <c r="D6910" i="106" s="1"/>
  <c r="K68" i="29"/>
  <c r="B747" i="106"/>
  <c r="D747" i="106" s="1"/>
  <c r="B4355" i="106"/>
  <c r="D4355" i="106" s="1"/>
  <c r="B6090" i="106"/>
  <c r="D6090" i="106" s="1"/>
  <c r="B5581" i="106"/>
  <c r="D5581" i="106" s="1"/>
  <c r="B5853" i="106"/>
  <c r="D5853" i="106" s="1"/>
  <c r="B7260" i="106"/>
  <c r="D7260" i="106" s="1"/>
  <c r="B6358" i="106"/>
  <c r="D6358" i="106" s="1"/>
  <c r="K220" i="29"/>
  <c r="F69" i="34" s="1"/>
  <c r="B7077" i="106"/>
  <c r="D7077" i="106" s="1"/>
  <c r="B1240" i="106"/>
  <c r="D1240" i="106" s="1"/>
  <c r="B6965" i="106"/>
  <c r="D6965" i="106" s="1"/>
  <c r="B6245" i="106"/>
  <c r="D6245" i="106" s="1"/>
  <c r="B3579" i="106"/>
  <c r="D3579" i="106" s="1"/>
  <c r="B1357" i="106"/>
  <c r="D1357" i="106" s="1"/>
  <c r="B864" i="106"/>
  <c r="D864" i="106" s="1"/>
  <c r="I184" i="29"/>
  <c r="B7063" i="106" s="1"/>
  <c r="D7063" i="106" s="1"/>
  <c r="B7059" i="106"/>
  <c r="D7059" i="106" s="1"/>
  <c r="F148" i="34"/>
  <c r="B6761" i="106"/>
  <c r="D6761" i="106" s="1"/>
  <c r="B5177" i="106"/>
  <c r="D5177" i="106" s="1"/>
  <c r="B4375" i="106"/>
  <c r="D4375" i="106" s="1"/>
  <c r="B5361" i="106"/>
  <c r="D5361" i="106" s="1"/>
  <c r="D122" i="5"/>
  <c r="B5367" i="106" s="1"/>
  <c r="D5367" i="106" s="1"/>
  <c r="B1244" i="106"/>
  <c r="D1244" i="106" s="1"/>
  <c r="B741" i="106"/>
  <c r="D741" i="106" s="1"/>
  <c r="K62" i="29"/>
  <c r="B6333" i="106"/>
  <c r="D6333" i="106" s="1"/>
  <c r="B6319" i="106"/>
  <c r="D6319" i="106" s="1"/>
  <c r="J108" i="5"/>
  <c r="B6351" i="106" s="1"/>
  <c r="D6351" i="106" s="1"/>
  <c r="I33" i="29"/>
  <c r="B6844" i="106"/>
  <c r="D6844" i="106" s="1"/>
  <c r="K17" i="29"/>
  <c r="B6871" i="106" s="1"/>
  <c r="D6871" i="106" s="1"/>
  <c r="B7263" i="106"/>
  <c r="B5583" i="106"/>
  <c r="D5583" i="106" s="1"/>
  <c r="F108" i="5"/>
  <c r="B5587" i="106" s="1"/>
  <c r="D5587" i="106" s="1"/>
  <c r="B5586" i="106"/>
  <c r="D5586" i="106" s="1"/>
  <c r="B4920" i="106"/>
  <c r="D4920" i="106" s="1"/>
  <c r="B6779" i="106"/>
  <c r="D6779" i="106" s="1"/>
  <c r="B5692" i="106"/>
  <c r="D5692" i="106" s="1"/>
  <c r="B3368" i="106"/>
  <c r="D3368" i="106" s="1"/>
  <c r="B6292" i="106"/>
  <c r="D6292" i="106" s="1"/>
  <c r="B3372" i="106"/>
  <c r="D3372" i="106" s="1"/>
  <c r="B7113" i="106"/>
  <c r="D7113" i="106" s="1"/>
  <c r="B126" i="106"/>
  <c r="D126" i="106" s="1"/>
  <c r="B6643" i="106"/>
  <c r="D6643" i="106" s="1"/>
  <c r="D221" i="5"/>
  <c r="B5488" i="106" s="1"/>
  <c r="D5488" i="106" s="1"/>
  <c r="B5485" i="106"/>
  <c r="D5485" i="106" s="1"/>
  <c r="B3082" i="106"/>
  <c r="D3082" i="106" s="1"/>
  <c r="B7703" i="106"/>
  <c r="D7703" i="106" s="1"/>
  <c r="B4333" i="106"/>
  <c r="D4333" i="106" s="1"/>
  <c r="B944" i="106"/>
  <c r="D944" i="106" s="1"/>
  <c r="B3620" i="106"/>
  <c r="D3620" i="106" s="1"/>
  <c r="K351" i="29"/>
  <c r="B3671" i="106" s="1"/>
  <c r="D3671" i="106" s="1"/>
  <c r="B6861" i="106"/>
  <c r="D6861" i="106" s="1"/>
  <c r="B1413" i="106"/>
  <c r="D1413" i="106" s="1"/>
  <c r="K234" i="29"/>
  <c r="B1477" i="106" s="1"/>
  <c r="D1477" i="106" s="1"/>
  <c r="B6177" i="106"/>
  <c r="D6177" i="106" s="1"/>
  <c r="B6388" i="106"/>
  <c r="D6388" i="106" s="1"/>
  <c r="F118" i="34"/>
  <c r="E67" i="5"/>
  <c r="B5521" i="106" s="1"/>
  <c r="D5521" i="106" s="1"/>
  <c r="B5519" i="106"/>
  <c r="D5519" i="106" s="1"/>
  <c r="B7167" i="106"/>
  <c r="D7167" i="106" s="1"/>
  <c r="B6099" i="106"/>
  <c r="D6099" i="106" s="1"/>
  <c r="B7679" i="106"/>
  <c r="D7679" i="106" s="1"/>
  <c r="B7264" i="106"/>
  <c r="B4322" i="106"/>
  <c r="D4322" i="106" s="1"/>
  <c r="F155" i="34"/>
  <c r="B6817" i="106"/>
  <c r="D6817" i="106" s="1"/>
  <c r="B6698" i="106"/>
  <c r="D6698" i="106" s="1"/>
  <c r="B846" i="106"/>
  <c r="D846" i="106" s="1"/>
  <c r="B5239" i="106"/>
  <c r="D5239" i="106" s="1"/>
  <c r="B7091" i="106"/>
  <c r="D7091" i="106" s="1"/>
  <c r="K253" i="29"/>
  <c r="B7092" i="106" s="1"/>
  <c r="D7092" i="106" s="1"/>
  <c r="B4417" i="106"/>
  <c r="D4417" i="106" s="1"/>
  <c r="B6081" i="106"/>
  <c r="D6081" i="106" s="1"/>
  <c r="K181" i="5"/>
  <c r="B6016" i="106" s="1"/>
  <c r="D6016" i="106" s="1"/>
  <c r="B4816" i="106"/>
  <c r="D4816" i="106" s="1"/>
  <c r="B7187" i="106"/>
  <c r="D7187" i="106" s="1"/>
  <c r="H181" i="5"/>
  <c r="B5908" i="106" s="1"/>
  <c r="D5908" i="106" s="1"/>
  <c r="B5907" i="106"/>
  <c r="D5907" i="106" s="1"/>
  <c r="B7700" i="106"/>
  <c r="D7700" i="106" s="1"/>
  <c r="F65" i="29"/>
  <c r="B919" i="106" s="1"/>
  <c r="D919" i="106" s="1"/>
  <c r="B912" i="106"/>
  <c r="D912" i="106" s="1"/>
  <c r="B1227" i="106"/>
  <c r="D1227" i="106" s="1"/>
  <c r="D127" i="29"/>
  <c r="D129" i="29" s="1"/>
  <c r="B5081" i="106"/>
  <c r="D5081" i="106" s="1"/>
  <c r="B6912" i="106"/>
  <c r="D6912" i="106" s="1"/>
  <c r="B7036" i="106"/>
  <c r="D7036" i="106" s="1"/>
  <c r="B6914" i="106"/>
  <c r="D6914" i="106" s="1"/>
  <c r="B6771" i="106"/>
  <c r="D6771" i="106" s="1"/>
  <c r="F113" i="34"/>
  <c r="B5187" i="106"/>
  <c r="D5187" i="106" s="1"/>
  <c r="B6235" i="106"/>
  <c r="D6235" i="106" s="1"/>
  <c r="B6766" i="106"/>
  <c r="D6766" i="106" s="1"/>
  <c r="B733" i="106"/>
  <c r="D733" i="106" s="1"/>
  <c r="K50" i="29"/>
  <c r="B1121" i="106" s="1"/>
  <c r="D1121" i="106" s="1"/>
  <c r="B880" i="106"/>
  <c r="D880" i="106" s="1"/>
  <c r="B2797" i="106"/>
  <c r="D2797" i="106" s="1"/>
  <c r="K130" i="29"/>
  <c r="B5991" i="106"/>
  <c r="D5991" i="106" s="1"/>
  <c r="B1041" i="106"/>
  <c r="D1041" i="106" s="1"/>
  <c r="B6991" i="106"/>
  <c r="D6991" i="106" s="1"/>
  <c r="K90" i="29"/>
  <c r="B6992" i="106" s="1"/>
  <c r="D6992" i="106" s="1"/>
  <c r="B6711" i="106"/>
  <c r="D6711" i="106" s="1"/>
  <c r="H169" i="5"/>
  <c r="B5899" i="106" s="1"/>
  <c r="D5899" i="106" s="1"/>
  <c r="B6371" i="106"/>
  <c r="D6371" i="106" s="1"/>
  <c r="B6116" i="106"/>
  <c r="D6116" i="106" s="1"/>
  <c r="B5331" i="106"/>
  <c r="D5331" i="106" s="1"/>
  <c r="H310" i="29"/>
  <c r="B7115" i="106" s="1"/>
  <c r="D7115" i="106" s="1"/>
  <c r="B7106" i="106"/>
  <c r="D7106" i="106" s="1"/>
  <c r="B7165" i="106"/>
  <c r="D7165" i="106" s="1"/>
  <c r="B3297" i="106"/>
  <c r="D3297" i="106" s="1"/>
  <c r="E303" i="29"/>
  <c r="B1531" i="106"/>
  <c r="D1531" i="106" s="1"/>
  <c r="B5393" i="106"/>
  <c r="D5393" i="106" s="1"/>
  <c r="B6632" i="106"/>
  <c r="D6632" i="106" s="1"/>
  <c r="B4191" i="106"/>
  <c r="D4191" i="106" s="1"/>
  <c r="B6963" i="106"/>
  <c r="D6963" i="106" s="1"/>
  <c r="I72" i="29"/>
  <c r="B6973" i="106" s="1"/>
  <c r="D6973" i="106" s="1"/>
  <c r="B6884" i="106"/>
  <c r="D6884" i="106" s="1"/>
  <c r="K24" i="29"/>
  <c r="B6813" i="106"/>
  <c r="D6813" i="106" s="1"/>
  <c r="B4180" i="106"/>
  <c r="D4180" i="106" s="1"/>
  <c r="B890" i="106"/>
  <c r="D890" i="106" s="1"/>
  <c r="B184" i="106"/>
  <c r="D184" i="106" s="1"/>
  <c r="B2998" i="106"/>
  <c r="D2998" i="106" s="1"/>
  <c r="B851" i="106"/>
  <c r="D851" i="106" s="1"/>
  <c r="E57" i="29"/>
  <c r="B853" i="106" s="1"/>
  <c r="D853" i="106" s="1"/>
  <c r="B3273" i="106"/>
  <c r="D3273" i="106" s="1"/>
  <c r="B7193" i="106"/>
  <c r="D7193" i="106" s="1"/>
  <c r="B906" i="106"/>
  <c r="D906" i="106" s="1"/>
  <c r="F53" i="29"/>
  <c r="B908" i="106" s="1"/>
  <c r="D908" i="106" s="1"/>
  <c r="B5625" i="106"/>
  <c r="D5625" i="106" s="1"/>
  <c r="B6783" i="106"/>
  <c r="D6783" i="106" s="1"/>
  <c r="B7173" i="106"/>
  <c r="D7173" i="106" s="1"/>
  <c r="K89" i="29"/>
  <c r="B6990" i="106" s="1"/>
  <c r="D6990" i="106" s="1"/>
  <c r="B6989" i="106"/>
  <c r="D6989" i="106" s="1"/>
  <c r="B4381" i="106"/>
  <c r="D4381" i="106" s="1"/>
  <c r="B6857" i="106"/>
  <c r="D6857" i="106" s="1"/>
  <c r="B3056" i="106"/>
  <c r="D3056" i="106" s="1"/>
  <c r="B6855" i="106"/>
  <c r="D6855" i="106" s="1"/>
  <c r="B6739" i="106"/>
  <c r="D6739" i="106" s="1"/>
  <c r="B4804" i="106"/>
  <c r="D4804" i="106" s="1"/>
  <c r="F181" i="5"/>
  <c r="B5658" i="106" s="1"/>
  <c r="D5658" i="106" s="1"/>
  <c r="J175" i="5"/>
  <c r="B6400" i="106" s="1"/>
  <c r="D6400" i="106" s="1"/>
  <c r="B6398" i="106"/>
  <c r="D6398" i="106" s="1"/>
  <c r="B954" i="106"/>
  <c r="D954" i="106" s="1"/>
  <c r="D44" i="4"/>
  <c r="B7749" i="106"/>
  <c r="D7749" i="106" s="1"/>
  <c r="B6673" i="106"/>
  <c r="D6673" i="106" s="1"/>
  <c r="I350" i="29"/>
  <c r="B7226" i="106"/>
  <c r="D7226" i="106" s="1"/>
  <c r="B1265" i="106"/>
  <c r="D1265" i="106" s="1"/>
  <c r="K14" i="29"/>
  <c r="B1106" i="106" s="1"/>
  <c r="D1106" i="106" s="1"/>
  <c r="B718" i="106"/>
  <c r="D718" i="106" s="1"/>
  <c r="J122" i="5"/>
  <c r="B6353" i="106"/>
  <c r="D6353" i="106" s="1"/>
  <c r="B6922" i="106"/>
  <c r="D6922" i="106" s="1"/>
  <c r="F85" i="34"/>
  <c r="B5565" i="106"/>
  <c r="D5565" i="106" s="1"/>
  <c r="B6866" i="106"/>
  <c r="D6866" i="106" s="1"/>
  <c r="B5104" i="106"/>
  <c r="D5104" i="106" s="1"/>
  <c r="B3655" i="106"/>
  <c r="D3655" i="106" s="1"/>
  <c r="G141" i="5"/>
  <c r="B5749" i="106"/>
  <c r="D5749" i="106" s="1"/>
  <c r="B7170" i="106"/>
  <c r="D7170" i="106" s="1"/>
  <c r="K21" i="29"/>
  <c r="B6878" i="106"/>
  <c r="D6878" i="106" s="1"/>
  <c r="B1032" i="106"/>
  <c r="D1032" i="106" s="1"/>
  <c r="B2791" i="106"/>
  <c r="D2791" i="106" s="1"/>
  <c r="K107" i="29"/>
  <c r="B2795" i="106" s="1"/>
  <c r="D2795" i="106" s="1"/>
  <c r="B6128" i="106"/>
  <c r="D6128" i="106" s="1"/>
  <c r="F34" i="3"/>
  <c r="B169" i="106" s="1"/>
  <c r="D169" i="106" s="1"/>
  <c r="B3581" i="106"/>
  <c r="D3581" i="106" s="1"/>
  <c r="B910" i="106"/>
  <c r="D910" i="106" s="1"/>
  <c r="K55" i="29"/>
  <c r="B735" i="106"/>
  <c r="D735" i="106" s="1"/>
  <c r="C57" i="29"/>
  <c r="B737" i="106" s="1"/>
  <c r="D737" i="106" s="1"/>
  <c r="B6342" i="106"/>
  <c r="D6342" i="106" s="1"/>
  <c r="K145" i="29"/>
  <c r="B2811" i="106" s="1"/>
  <c r="D2811" i="106" s="1"/>
  <c r="B2808" i="106"/>
  <c r="D2808" i="106" s="1"/>
  <c r="B4419" i="106"/>
  <c r="D4419" i="106" s="1"/>
  <c r="C198" i="5"/>
  <c r="B6401" i="106"/>
  <c r="D6401" i="106" s="1"/>
  <c r="K233" i="29"/>
  <c r="B1476" i="106" s="1"/>
  <c r="D1476" i="106" s="1"/>
  <c r="B1412" i="106"/>
  <c r="D1412" i="106" s="1"/>
  <c r="K225" i="29"/>
  <c r="B1460" i="106" s="1"/>
  <c r="D1460" i="106" s="1"/>
  <c r="B1396" i="106"/>
  <c r="D1396" i="106" s="1"/>
  <c r="B6808" i="106"/>
  <c r="D6808" i="106" s="1"/>
  <c r="B858" i="106"/>
  <c r="D858" i="106" s="1"/>
  <c r="B7143" i="106"/>
  <c r="D7143" i="106" s="1"/>
  <c r="B6154" i="106"/>
  <c r="D6154" i="106" s="1"/>
  <c r="B652" i="106"/>
  <c r="D652" i="106" s="1"/>
  <c r="B5057" i="106"/>
  <c r="D5057" i="106" s="1"/>
  <c r="B6691" i="106"/>
  <c r="D6691" i="106" s="1"/>
  <c r="B7655" i="106"/>
  <c r="D7655" i="106" s="1"/>
  <c r="B7134" i="106"/>
  <c r="D7134" i="106" s="1"/>
  <c r="J33" i="29"/>
  <c r="B6845" i="106"/>
  <c r="D6845" i="106" s="1"/>
  <c r="B849" i="106"/>
  <c r="D849" i="106" s="1"/>
  <c r="B5560" i="106"/>
  <c r="D5560" i="106" s="1"/>
  <c r="B3369" i="106"/>
  <c r="D3369" i="106" s="1"/>
  <c r="B7681" i="106"/>
  <c r="D7681" i="106" s="1"/>
  <c r="B6119" i="106"/>
  <c r="D6119" i="106" s="1"/>
  <c r="B6106" i="106"/>
  <c r="D6106" i="106" s="1"/>
  <c r="B6179" i="106"/>
  <c r="D6179" i="106" s="1"/>
  <c r="B722" i="106"/>
  <c r="D722" i="106" s="1"/>
  <c r="K37" i="29"/>
  <c r="B1110" i="106" s="1"/>
  <c r="D1110" i="106" s="1"/>
  <c r="B6748" i="106"/>
  <c r="D6748" i="106" s="1"/>
  <c r="B2952" i="106"/>
  <c r="D2952" i="106" s="1"/>
  <c r="K81" i="29"/>
  <c r="B2976" i="106" s="1"/>
  <c r="D2976" i="106" s="1"/>
  <c r="B6294" i="106"/>
  <c r="D6294" i="106" s="1"/>
  <c r="B821" i="106"/>
  <c r="D821" i="106" s="1"/>
  <c r="E33" i="29"/>
  <c r="B836" i="106" s="1"/>
  <c r="D836" i="106" s="1"/>
  <c r="B822" i="106"/>
  <c r="D822" i="106" s="1"/>
  <c r="B6372" i="106"/>
  <c r="D6372" i="106" s="1"/>
  <c r="I169" i="5"/>
  <c r="B6328" i="106"/>
  <c r="D6328" i="106" s="1"/>
  <c r="B1038" i="106"/>
  <c r="D1038" i="106" s="1"/>
  <c r="B5395" i="106"/>
  <c r="D5395" i="106" s="1"/>
  <c r="B7769" i="106"/>
  <c r="D7769" i="106" s="1"/>
  <c r="B6650" i="106"/>
  <c r="D6650" i="106" s="1"/>
  <c r="F137" i="34"/>
  <c r="B7159" i="106"/>
  <c r="D7159" i="106" s="1"/>
  <c r="B841" i="106"/>
  <c r="D841" i="106" s="1"/>
  <c r="B5114" i="106"/>
  <c r="D5114" i="106" s="1"/>
  <c r="B6903" i="106"/>
  <c r="D6903" i="106" s="1"/>
  <c r="B5513" i="106"/>
  <c r="D5513" i="106" s="1"/>
  <c r="B3296" i="106"/>
  <c r="D3296" i="106" s="1"/>
  <c r="H77" i="4"/>
  <c r="B3299" i="106" s="1"/>
  <c r="D3299" i="106" s="1"/>
  <c r="B1104" i="106"/>
  <c r="D1104" i="106" s="1"/>
  <c r="F37" i="34"/>
  <c r="D36" i="108"/>
  <c r="F36" i="108"/>
  <c r="B1137" i="106"/>
  <c r="D1137" i="106" s="1"/>
  <c r="B901" i="106"/>
  <c r="D901" i="106" s="1"/>
  <c r="D16" i="7"/>
  <c r="B3447" i="106" s="1"/>
  <c r="D3447" i="106" s="1"/>
  <c r="B7202" i="106"/>
  <c r="D7202" i="106" s="1"/>
  <c r="F342" i="29"/>
  <c r="B7219" i="106" s="1"/>
  <c r="D7219" i="106" s="1"/>
  <c r="B3673" i="106"/>
  <c r="D3673" i="106" s="1"/>
  <c r="B7792" i="106"/>
  <c r="D7792" i="106" s="1"/>
  <c r="K357" i="29"/>
  <c r="K15" i="4" s="1"/>
  <c r="B3573" i="106" s="1"/>
  <c r="D3573" i="106" s="1"/>
  <c r="B1511" i="106"/>
  <c r="D1511" i="106" s="1"/>
  <c r="G14" i="4"/>
  <c r="B2609" i="106" s="1"/>
  <c r="D2609" i="106" s="1"/>
  <c r="F72" i="34"/>
  <c r="B1127" i="106"/>
  <c r="D1127" i="106" s="1"/>
  <c r="D27" i="108"/>
  <c r="F27" i="108"/>
  <c r="B6916" i="106"/>
  <c r="D6916" i="106" s="1"/>
  <c r="B2105" i="106"/>
  <c r="D2105" i="106" s="1"/>
  <c r="B2789" i="106"/>
  <c r="D2789" i="106" s="1"/>
  <c r="B843" i="106"/>
  <c r="D843" i="106" s="1"/>
  <c r="B6902" i="106"/>
  <c r="D6902" i="106" s="1"/>
  <c r="B7078" i="106"/>
  <c r="D7078" i="106" s="1"/>
  <c r="B1486" i="106"/>
  <c r="D1486" i="106" s="1"/>
  <c r="B1017" i="106"/>
  <c r="D1017" i="106" s="1"/>
  <c r="B2805" i="106"/>
  <c r="D2805" i="106" s="1"/>
  <c r="F56" i="34"/>
  <c r="D14" i="4"/>
  <c r="B2570" i="106" s="1"/>
  <c r="D2570" i="106" s="1"/>
  <c r="B7794" i="106"/>
  <c r="D7794" i="106" s="1"/>
  <c r="B3674" i="106"/>
  <c r="D3674" i="106" s="1"/>
  <c r="B1120" i="106"/>
  <c r="D1120" i="106" s="1"/>
  <c r="B3317" i="106"/>
  <c r="D3317" i="106" s="1"/>
  <c r="B1492" i="106"/>
  <c r="D1492" i="106" s="1"/>
  <c r="E35" i="108"/>
  <c r="B2091" i="106"/>
  <c r="D2091" i="106" s="1"/>
  <c r="F64" i="34"/>
  <c r="B4211" i="106"/>
  <c r="D4211" i="106" s="1"/>
  <c r="B7786" i="106"/>
  <c r="D7786" i="106" s="1"/>
  <c r="K334" i="29"/>
  <c r="F67" i="34"/>
  <c r="D31" i="108"/>
  <c r="F31" i="108"/>
  <c r="F46" i="34"/>
  <c r="B6891" i="106"/>
  <c r="D6891" i="106" s="1"/>
  <c r="K110" i="29"/>
  <c r="F26" i="108"/>
  <c r="D26" i="108"/>
  <c r="E15" i="145"/>
  <c r="B6887" i="106"/>
  <c r="D6887" i="106" s="1"/>
  <c r="F44" i="34"/>
  <c r="A7262" i="106"/>
  <c r="B7047" i="106" l="1"/>
  <c r="D7047" i="106" s="1"/>
  <c r="K270" i="29"/>
  <c r="B1500" i="106" s="1"/>
  <c r="D1500" i="106" s="1"/>
  <c r="E139" i="29"/>
  <c r="B4203" i="106" s="1"/>
  <c r="D4203" i="106" s="1"/>
  <c r="F38" i="34"/>
  <c r="K257" i="29"/>
  <c r="B1488" i="106" s="1"/>
  <c r="D1488" i="106" s="1"/>
  <c r="B1231" i="106"/>
  <c r="D1231" i="106" s="1"/>
  <c r="K84" i="29"/>
  <c r="B2088" i="106" s="1"/>
  <c r="D2088" i="106" s="1"/>
  <c r="E102" i="29"/>
  <c r="B2790" i="106" s="1"/>
  <c r="D2790" i="106" s="1"/>
  <c r="B1136" i="106"/>
  <c r="D1136" i="106" s="1"/>
  <c r="K72" i="29"/>
  <c r="B1141" i="106" s="1"/>
  <c r="D1141" i="106" s="1"/>
  <c r="J74" i="29"/>
  <c r="B6978" i="106" s="1"/>
  <c r="D6978" i="106" s="1"/>
  <c r="I74" i="29"/>
  <c r="I114" i="29" s="1"/>
  <c r="F74" i="29"/>
  <c r="B929" i="106" s="1"/>
  <c r="D929" i="106" s="1"/>
  <c r="H74" i="29"/>
  <c r="B1045" i="106" s="1"/>
  <c r="D1045" i="106" s="1"/>
  <c r="K47" i="29"/>
  <c r="B6917" i="106"/>
  <c r="D6917" i="106" s="1"/>
  <c r="B6883" i="106"/>
  <c r="D6883" i="106" s="1"/>
  <c r="K33" i="29"/>
  <c r="B1746" i="106"/>
  <c r="D1746" i="106" s="1"/>
  <c r="I76" i="4"/>
  <c r="B3318" i="106" s="1"/>
  <c r="D3318" i="106" s="1"/>
  <c r="B5752" i="106"/>
  <c r="D5752" i="106" s="1"/>
  <c r="G169" i="5"/>
  <c r="J170" i="5"/>
  <c r="B6357" i="106"/>
  <c r="D6357" i="106" s="1"/>
  <c r="E34" i="108"/>
  <c r="G34" i="108"/>
  <c r="B1135" i="106"/>
  <c r="D1135" i="106" s="1"/>
  <c r="B7209" i="106"/>
  <c r="D7209" i="106" s="1"/>
  <c r="K340" i="29"/>
  <c r="G74" i="29"/>
  <c r="B959" i="106"/>
  <c r="D959" i="106" s="1"/>
  <c r="C77" i="4"/>
  <c r="B3232" i="106" s="1"/>
  <c r="D3232" i="106" s="1"/>
  <c r="B3229" i="106"/>
  <c r="D3229" i="106" s="1"/>
  <c r="B3252" i="106"/>
  <c r="D3252" i="106" s="1"/>
  <c r="F77" i="4"/>
  <c r="B3255" i="106" s="1"/>
  <c r="D3255" i="106" s="1"/>
  <c r="K194" i="29"/>
  <c r="B3007" i="106"/>
  <c r="D3007" i="106" s="1"/>
  <c r="B1555" i="106"/>
  <c r="D1555" i="106" s="1"/>
  <c r="K303" i="29"/>
  <c r="B5232" i="106"/>
  <c r="D5232" i="106" s="1"/>
  <c r="F123" i="34"/>
  <c r="D5" i="4"/>
  <c r="B3406" i="106" s="1"/>
  <c r="D3406" i="106" s="1"/>
  <c r="B5360" i="106"/>
  <c r="D5360" i="106" s="1"/>
  <c r="J312" i="29"/>
  <c r="B7117" i="106" s="1"/>
  <c r="D7117" i="106" s="1"/>
  <c r="B7104" i="106"/>
  <c r="D7104" i="106" s="1"/>
  <c r="B1529" i="106"/>
  <c r="D1529" i="106" s="1"/>
  <c r="D312" i="29"/>
  <c r="B1530" i="106" s="1"/>
  <c r="D1530" i="106" s="1"/>
  <c r="B7206" i="106"/>
  <c r="D7206" i="106" s="1"/>
  <c r="J342" i="29"/>
  <c r="B7223" i="106" s="1"/>
  <c r="D7223" i="106" s="1"/>
  <c r="B1324" i="106"/>
  <c r="D1324" i="106" s="1"/>
  <c r="K168" i="29"/>
  <c r="B1053" i="106"/>
  <c r="D1053" i="106" s="1"/>
  <c r="H112" i="29"/>
  <c r="B7018" i="106" s="1"/>
  <c r="D7018" i="106" s="1"/>
  <c r="F36" i="34"/>
  <c r="B6858" i="106"/>
  <c r="D6858" i="106" s="1"/>
  <c r="D7" i="7"/>
  <c r="B1763" i="106" s="1"/>
  <c r="D1763" i="106" s="1"/>
  <c r="B1747" i="106"/>
  <c r="D1747" i="106" s="1"/>
  <c r="B3702" i="106"/>
  <c r="D3702" i="106" s="1"/>
  <c r="K76" i="4"/>
  <c r="E266" i="5"/>
  <c r="B6835" i="106"/>
  <c r="D6835" i="106" s="1"/>
  <c r="B5096" i="106"/>
  <c r="D5096" i="106" s="1"/>
  <c r="F94" i="34"/>
  <c r="E16" i="145"/>
  <c r="G16" i="145" s="1"/>
  <c r="B1131" i="106"/>
  <c r="D1131" i="106" s="1"/>
  <c r="B1364" i="106"/>
  <c r="D1364" i="106" s="1"/>
  <c r="G210" i="29"/>
  <c r="H312" i="29"/>
  <c r="B1554" i="106" s="1"/>
  <c r="D1554" i="106" s="1"/>
  <c r="B1553" i="106"/>
  <c r="D1553" i="106" s="1"/>
  <c r="E33" i="108"/>
  <c r="E17" i="145"/>
  <c r="G17" i="145" s="1"/>
  <c r="B1134" i="106"/>
  <c r="D1134" i="106" s="1"/>
  <c r="G33" i="108"/>
  <c r="B1470" i="106"/>
  <c r="D1470" i="106" s="1"/>
  <c r="F70" i="34"/>
  <c r="I267" i="5"/>
  <c r="B4373" i="106"/>
  <c r="D4373" i="106" s="1"/>
  <c r="E174" i="29"/>
  <c r="B1309" i="106" s="1"/>
  <c r="D1309" i="106" s="1"/>
  <c r="B1308" i="106"/>
  <c r="D1308" i="106" s="1"/>
  <c r="B1223" i="106"/>
  <c r="D1223" i="106" s="1"/>
  <c r="C129" i="29"/>
  <c r="B1239" i="106"/>
  <c r="D1239" i="106" s="1"/>
  <c r="E129" i="29"/>
  <c r="G342" i="29"/>
  <c r="B7220" i="106" s="1"/>
  <c r="D7220" i="106" s="1"/>
  <c r="B7203" i="106"/>
  <c r="D7203" i="106" s="1"/>
  <c r="C210" i="29"/>
  <c r="B1340" i="106" s="1"/>
  <c r="D1340" i="106" s="1"/>
  <c r="B1339" i="106"/>
  <c r="D1339" i="106" s="1"/>
  <c r="B3390" i="106"/>
  <c r="D3390" i="106" s="1"/>
  <c r="K229" i="29"/>
  <c r="B5614" i="106"/>
  <c r="D5614" i="106" s="1"/>
  <c r="F169" i="5"/>
  <c r="D13" i="7"/>
  <c r="B3726" i="106" s="1"/>
  <c r="D3726" i="106" s="1"/>
  <c r="B3725" i="106"/>
  <c r="D3725" i="106" s="1"/>
  <c r="K100" i="29"/>
  <c r="B7013" i="106" s="1"/>
  <c r="D7013" i="106" s="1"/>
  <c r="B6997" i="106"/>
  <c r="D6997" i="106" s="1"/>
  <c r="B1130" i="106"/>
  <c r="D1130" i="106" s="1"/>
  <c r="E30" i="108"/>
  <c r="G30" i="108"/>
  <c r="B1383" i="106"/>
  <c r="D1383" i="106" s="1"/>
  <c r="K204" i="29"/>
  <c r="B5178" i="106"/>
  <c r="D5178" i="106" s="1"/>
  <c r="F111" i="34"/>
  <c r="G77" i="4"/>
  <c r="B3261" i="106" s="1"/>
  <c r="D3261" i="106" s="1"/>
  <c r="B3258" i="106"/>
  <c r="D3258" i="106" s="1"/>
  <c r="F266" i="5"/>
  <c r="B5713" i="106" s="1"/>
  <c r="D5713" i="106" s="1"/>
  <c r="B4397" i="106"/>
  <c r="D4397" i="106" s="1"/>
  <c r="B3654" i="106"/>
  <c r="D3654" i="106" s="1"/>
  <c r="H352" i="29"/>
  <c r="B7199" i="106"/>
  <c r="D7199" i="106" s="1"/>
  <c r="C342" i="29"/>
  <c r="B7216" i="106" s="1"/>
  <c r="D7216" i="106" s="1"/>
  <c r="F47" i="34"/>
  <c r="B6893" i="106"/>
  <c r="D6893" i="106" s="1"/>
  <c r="K350" i="29"/>
  <c r="B3668" i="106"/>
  <c r="D3668" i="106" s="1"/>
  <c r="D9" i="7"/>
  <c r="B1767" i="106" s="1"/>
  <c r="D1767" i="106" s="1"/>
  <c r="B1751" i="106"/>
  <c r="D1751" i="106" s="1"/>
  <c r="B1547" i="106"/>
  <c r="D1547" i="106" s="1"/>
  <c r="G312" i="29"/>
  <c r="B1548" i="106" s="1"/>
  <c r="D1548" i="106" s="1"/>
  <c r="B1123" i="106"/>
  <c r="D1123" i="106" s="1"/>
  <c r="K57" i="29"/>
  <c r="I210" i="29"/>
  <c r="F66" i="34" s="1"/>
  <c r="E74" i="29"/>
  <c r="E114" i="29" s="1"/>
  <c r="B873" i="106" s="1"/>
  <c r="D873" i="106" s="1"/>
  <c r="E109" i="5"/>
  <c r="B5246" i="106"/>
  <c r="D5246" i="106" s="1"/>
  <c r="F125" i="34"/>
  <c r="F40" i="34"/>
  <c r="B6879" i="106"/>
  <c r="D6879" i="106" s="1"/>
  <c r="I352" i="29"/>
  <c r="B7230" i="106"/>
  <c r="D7230" i="106" s="1"/>
  <c r="C74" i="29"/>
  <c r="B727" i="106"/>
  <c r="D727" i="106" s="1"/>
  <c r="B5066" i="106"/>
  <c r="D5066" i="106" s="1"/>
  <c r="C109" i="5"/>
  <c r="B2724" i="106"/>
  <c r="D2724" i="106" s="1"/>
  <c r="E13" i="145"/>
  <c r="G13" i="145" s="1"/>
  <c r="B1752" i="106"/>
  <c r="D1752" i="106" s="1"/>
  <c r="D11" i="7"/>
  <c r="B1768" i="106" s="1"/>
  <c r="D1768" i="106" s="1"/>
  <c r="K277" i="29"/>
  <c r="B1508" i="106" s="1"/>
  <c r="D1508" i="106" s="1"/>
  <c r="B1501" i="106"/>
  <c r="D1501" i="106" s="1"/>
  <c r="D74" i="29"/>
  <c r="B785" i="106"/>
  <c r="D785" i="106" s="1"/>
  <c r="B5334" i="106"/>
  <c r="D5334" i="106" s="1"/>
  <c r="D109" i="5"/>
  <c r="B1541" i="106"/>
  <c r="D1541" i="106" s="1"/>
  <c r="F312" i="29"/>
  <c r="B1542" i="106" s="1"/>
  <c r="D1542" i="106" s="1"/>
  <c r="K362" i="29"/>
  <c r="B3675" i="106"/>
  <c r="D3675" i="106" s="1"/>
  <c r="B6238" i="106"/>
  <c r="D6238" i="106" s="1"/>
  <c r="J77" i="4"/>
  <c r="B6262" i="106" s="1"/>
  <c r="D6262" i="106" s="1"/>
  <c r="B1475" i="106"/>
  <c r="D1475" i="106" s="1"/>
  <c r="K238" i="29"/>
  <c r="B5918" i="106"/>
  <c r="D5918" i="106" s="1"/>
  <c r="I109" i="5"/>
  <c r="B6897" i="106"/>
  <c r="D6897" i="106" s="1"/>
  <c r="F49" i="34"/>
  <c r="B1512" i="106"/>
  <c r="D1512" i="106" s="1"/>
  <c r="K293" i="29"/>
  <c r="D37" i="108"/>
  <c r="D41" i="108" s="1"/>
  <c r="E43" i="108" s="1"/>
  <c r="F37" i="108"/>
  <c r="B1139" i="106"/>
  <c r="D1139" i="106" s="1"/>
  <c r="B3633" i="106"/>
  <c r="D3633" i="106" s="1"/>
  <c r="E352" i="29"/>
  <c r="E367" i="29" s="1"/>
  <c r="B3636" i="106" s="1"/>
  <c r="D3636" i="106" s="1"/>
  <c r="B7776" i="106"/>
  <c r="D7776" i="106" s="1"/>
  <c r="K137" i="29"/>
  <c r="B2081" i="106"/>
  <c r="D2081" i="106" s="1"/>
  <c r="H102" i="29"/>
  <c r="B7201" i="106"/>
  <c r="D7201" i="106" s="1"/>
  <c r="E342" i="29"/>
  <c r="B7218" i="106" s="1"/>
  <c r="D7218" i="106" s="1"/>
  <c r="B7034" i="106"/>
  <c r="D7034" i="106" s="1"/>
  <c r="J129" i="29"/>
  <c r="B5987" i="106"/>
  <c r="D5987" i="106" s="1"/>
  <c r="K109" i="5"/>
  <c r="B6899" i="106"/>
  <c r="D6899" i="106" s="1"/>
  <c r="F50" i="34"/>
  <c r="F34" i="34"/>
  <c r="B6848" i="106"/>
  <c r="D6848" i="106" s="1"/>
  <c r="K65" i="29"/>
  <c r="B1133" i="106" s="1"/>
  <c r="D1133" i="106" s="1"/>
  <c r="B1126" i="106"/>
  <c r="D1126" i="106" s="1"/>
  <c r="D18" i="7"/>
  <c r="B4105" i="106" s="1"/>
  <c r="D4105" i="106" s="1"/>
  <c r="B4103" i="106"/>
  <c r="D4103" i="106" s="1"/>
  <c r="B6839" i="106"/>
  <c r="D6839" i="106" s="1"/>
  <c r="J266" i="5"/>
  <c r="J210" i="29"/>
  <c r="B7072" i="106" s="1"/>
  <c r="D7072" i="106" s="1"/>
  <c r="B7064" i="106"/>
  <c r="D7064" i="106" s="1"/>
  <c r="C352" i="29"/>
  <c r="B3619" i="106"/>
  <c r="D3619" i="106" s="1"/>
  <c r="F95" i="34"/>
  <c r="B5102" i="106"/>
  <c r="D5102" i="106" s="1"/>
  <c r="E44" i="4"/>
  <c r="B5534" i="106"/>
  <c r="D5534" i="106" s="1"/>
  <c r="E170" i="5"/>
  <c r="D77" i="4"/>
  <c r="B3238" i="106" s="1"/>
  <c r="D3238" i="106" s="1"/>
  <c r="B3235" i="106"/>
  <c r="D3235" i="106" s="1"/>
  <c r="K53" i="29"/>
  <c r="E12" i="145"/>
  <c r="G29" i="108"/>
  <c r="E29" i="108"/>
  <c r="B1129" i="106"/>
  <c r="D1129" i="106" s="1"/>
  <c r="F39" i="34"/>
  <c r="B6877" i="106"/>
  <c r="D6877" i="106" s="1"/>
  <c r="F352" i="29"/>
  <c r="B3640" i="106"/>
  <c r="D3640" i="106" s="1"/>
  <c r="B7205" i="106"/>
  <c r="D7205" i="106" s="1"/>
  <c r="I342" i="29"/>
  <c r="B7222" i="106" s="1"/>
  <c r="D7222" i="106" s="1"/>
  <c r="B7784" i="106"/>
  <c r="D7784" i="106" s="1"/>
  <c r="K285" i="29"/>
  <c r="H266" i="5"/>
  <c r="B6838" i="106"/>
  <c r="D6838" i="106" s="1"/>
  <c r="B2823" i="106"/>
  <c r="D2823" i="106" s="1"/>
  <c r="E196" i="29"/>
  <c r="C312" i="29"/>
  <c r="B1524" i="106" s="1"/>
  <c r="D1524" i="106" s="1"/>
  <c r="B1523" i="106"/>
  <c r="D1523" i="106" s="1"/>
  <c r="D266" i="5"/>
  <c r="B4396" i="106"/>
  <c r="D4396" i="106" s="1"/>
  <c r="B7231" i="106"/>
  <c r="D7231" i="106" s="1"/>
  <c r="J352" i="29"/>
  <c r="B3647" i="106"/>
  <c r="D3647" i="106" s="1"/>
  <c r="G352" i="29"/>
  <c r="D210" i="29"/>
  <c r="B1346" i="106" s="1"/>
  <c r="D1346" i="106" s="1"/>
  <c r="B1345" i="106"/>
  <c r="D1345" i="106" s="1"/>
  <c r="B1749" i="106"/>
  <c r="D1749" i="106" s="1"/>
  <c r="D10" i="7"/>
  <c r="B1765" i="106" s="1"/>
  <c r="D1765" i="106" s="1"/>
  <c r="B6853" i="106"/>
  <c r="D6853" i="106" s="1"/>
  <c r="F35" i="34"/>
  <c r="B6895" i="106"/>
  <c r="D6895" i="106" s="1"/>
  <c r="F48" i="34"/>
  <c r="B1247" i="106"/>
  <c r="D1247" i="106" s="1"/>
  <c r="F129" i="29"/>
  <c r="H172" i="29"/>
  <c r="B1314" i="106"/>
  <c r="D1314" i="106" s="1"/>
  <c r="B5369" i="106"/>
  <c r="D5369" i="106" s="1"/>
  <c r="D169" i="5"/>
  <c r="B5557" i="106"/>
  <c r="D5557" i="106" s="1"/>
  <c r="F109" i="5"/>
  <c r="B1753" i="106"/>
  <c r="D1753" i="106" s="1"/>
  <c r="D12" i="7"/>
  <c r="B1769" i="106" s="1"/>
  <c r="D1769" i="106" s="1"/>
  <c r="B4411" i="106"/>
  <c r="D4411" i="106" s="1"/>
  <c r="F127" i="34"/>
  <c r="B5161" i="106"/>
  <c r="D5161" i="106" s="1"/>
  <c r="F106" i="34"/>
  <c r="F41" i="34"/>
  <c r="B6881" i="106"/>
  <c r="D6881" i="106" s="1"/>
  <c r="B3635" i="106"/>
  <c r="D3635" i="106" s="1"/>
  <c r="D3583" i="106"/>
  <c r="G266" i="5"/>
  <c r="B4398" i="106"/>
  <c r="D4398" i="106" s="1"/>
  <c r="H129" i="29"/>
  <c r="B1266" i="106" s="1"/>
  <c r="D1266" i="106" s="1"/>
  <c r="B1264" i="106"/>
  <c r="D1264" i="106" s="1"/>
  <c r="G5" i="4"/>
  <c r="B3409" i="106" s="1"/>
  <c r="D3409" i="106" s="1"/>
  <c r="B5741" i="106"/>
  <c r="D5741" i="106" s="1"/>
  <c r="B1274" i="106"/>
  <c r="D1274" i="106" s="1"/>
  <c r="K127" i="29"/>
  <c r="E26" i="108"/>
  <c r="F15" i="145"/>
  <c r="F19" i="145" s="1"/>
  <c r="G26" i="108"/>
  <c r="D15" i="7"/>
  <c r="B1772" i="106" s="1"/>
  <c r="D1772" i="106" s="1"/>
  <c r="B1756" i="106"/>
  <c r="D1756" i="106" s="1"/>
  <c r="C5" i="4"/>
  <c r="B3405" i="106" s="1"/>
  <c r="D3405" i="106" s="1"/>
  <c r="B5125" i="106"/>
  <c r="D5125" i="106" s="1"/>
  <c r="B1489" i="106"/>
  <c r="D1489" i="106" s="1"/>
  <c r="K261" i="29"/>
  <c r="B1491" i="106" s="1"/>
  <c r="D1491" i="106" s="1"/>
  <c r="B5592" i="106"/>
  <c r="D5592" i="106" s="1"/>
  <c r="F5" i="4"/>
  <c r="B3408" i="106" s="1"/>
  <c r="D3408" i="106" s="1"/>
  <c r="B5725" i="106"/>
  <c r="D5725" i="106" s="1"/>
  <c r="G109" i="5"/>
  <c r="K310" i="29"/>
  <c r="B7107" i="106"/>
  <c r="D7107" i="106" s="1"/>
  <c r="B7126" i="106"/>
  <c r="D7126" i="106" s="1"/>
  <c r="K330" i="29"/>
  <c r="F28" i="108"/>
  <c r="F41" i="108" s="1"/>
  <c r="G43" i="108" s="1"/>
  <c r="E28" i="108"/>
  <c r="B1128" i="106"/>
  <c r="D1128" i="106" s="1"/>
  <c r="B7200" i="106"/>
  <c r="D7200" i="106" s="1"/>
  <c r="D342" i="29"/>
  <c r="B7217" i="106" s="1"/>
  <c r="D7217" i="106" s="1"/>
  <c r="F107" i="34"/>
  <c r="B5165" i="106"/>
  <c r="D5165" i="106" s="1"/>
  <c r="G38" i="108"/>
  <c r="E38" i="108"/>
  <c r="B1142" i="106"/>
  <c r="D1142" i="106" s="1"/>
  <c r="F114" i="29"/>
  <c r="B931" i="106" s="1"/>
  <c r="D931" i="106" s="1"/>
  <c r="B4363" i="106"/>
  <c r="D4363" i="106" s="1"/>
  <c r="I170" i="5"/>
  <c r="F43" i="34"/>
  <c r="B6885" i="106"/>
  <c r="D6885" i="106" s="1"/>
  <c r="B1535" i="106"/>
  <c r="D1535" i="106" s="1"/>
  <c r="E312" i="29"/>
  <c r="B1536" i="106" s="1"/>
  <c r="D1536" i="106" s="1"/>
  <c r="K42" i="29"/>
  <c r="B1109" i="106"/>
  <c r="D1109" i="106" s="1"/>
  <c r="D4" i="7"/>
  <c r="B19" i="7"/>
  <c r="B1759" i="106" s="1"/>
  <c r="D1759" i="106" s="1"/>
  <c r="B1744" i="106"/>
  <c r="D1744" i="106" s="1"/>
  <c r="B6301" i="106"/>
  <c r="D6301" i="106" s="1"/>
  <c r="J109" i="5"/>
  <c r="I312" i="29"/>
  <c r="B7116" i="106" s="1"/>
  <c r="D7116" i="106" s="1"/>
  <c r="B7103" i="106"/>
  <c r="D7103" i="106" s="1"/>
  <c r="B7204" i="106"/>
  <c r="D7204" i="106" s="1"/>
  <c r="H342" i="29"/>
  <c r="B7221" i="106" s="1"/>
  <c r="D7221" i="106" s="1"/>
  <c r="B1482" i="106"/>
  <c r="D1482" i="106" s="1"/>
  <c r="K243" i="29"/>
  <c r="B1485" i="106" s="1"/>
  <c r="D1485" i="106" s="1"/>
  <c r="B1745" i="106"/>
  <c r="D1745" i="106" s="1"/>
  <c r="D5" i="7"/>
  <c r="B1761" i="106" s="1"/>
  <c r="D1761" i="106" s="1"/>
  <c r="K147" i="29"/>
  <c r="B1283" i="106"/>
  <c r="D1283" i="106" s="1"/>
  <c r="F157" i="34"/>
  <c r="B3658" i="106"/>
  <c r="D3658" i="106" s="1"/>
  <c r="H365" i="29"/>
  <c r="B7242" i="106" s="1"/>
  <c r="D7242" i="106" s="1"/>
  <c r="D279" i="29"/>
  <c r="B1417" i="106"/>
  <c r="D1417" i="106" s="1"/>
  <c r="K170" i="5"/>
  <c r="B6006" i="106"/>
  <c r="D6006" i="106" s="1"/>
  <c r="B7033" i="106"/>
  <c r="D7033" i="106" s="1"/>
  <c r="I129" i="29"/>
  <c r="B7076" i="106"/>
  <c r="D7076" i="106" s="1"/>
  <c r="F68" i="34"/>
  <c r="H295" i="29"/>
  <c r="B1454" i="106" s="1"/>
  <c r="D1454" i="106" s="1"/>
  <c r="B1452" i="106"/>
  <c r="D1452" i="106" s="1"/>
  <c r="D14" i="7"/>
  <c r="B1770" i="106" s="1"/>
  <c r="D1770" i="106" s="1"/>
  <c r="B1754" i="106"/>
  <c r="D1754" i="106" s="1"/>
  <c r="E14" i="145"/>
  <c r="G14" i="145" s="1"/>
  <c r="B1124" i="106"/>
  <c r="D1124" i="106" s="1"/>
  <c r="F126" i="34"/>
  <c r="B5260" i="106"/>
  <c r="D5260" i="106" s="1"/>
  <c r="B7778" i="106"/>
  <c r="D7778" i="106" s="1"/>
  <c r="K160" i="29"/>
  <c r="F132" i="34"/>
  <c r="B5304" i="106"/>
  <c r="D5304" i="106" s="1"/>
  <c r="D17" i="7"/>
  <c r="B4104" i="106" s="1"/>
  <c r="D4104" i="106" s="1"/>
  <c r="B4102" i="106"/>
  <c r="D4102" i="106" s="1"/>
  <c r="F51" i="34"/>
  <c r="B6901" i="106"/>
  <c r="D6901" i="106" s="1"/>
  <c r="F71" i="34"/>
  <c r="B1473" i="106"/>
  <c r="D1473" i="106" s="1"/>
  <c r="B1377" i="106"/>
  <c r="D1377" i="106" s="1"/>
  <c r="K184" i="29"/>
  <c r="B6840" i="106"/>
  <c r="D6840" i="106" s="1"/>
  <c r="K266" i="5"/>
  <c r="B6995" i="106"/>
  <c r="D6995" i="106" s="1"/>
  <c r="K92" i="29"/>
  <c r="B2089" i="106" s="1"/>
  <c r="D2089" i="106" s="1"/>
  <c r="B1256" i="106"/>
  <c r="D1256" i="106" s="1"/>
  <c r="G129" i="29"/>
  <c r="B6889" i="106"/>
  <c r="D6889" i="106" s="1"/>
  <c r="F45" i="34"/>
  <c r="D8" i="7"/>
  <c r="B1764" i="106" s="1"/>
  <c r="D1764" i="106" s="1"/>
  <c r="B1748" i="106"/>
  <c r="D1748" i="106" s="1"/>
  <c r="H196" i="29"/>
  <c r="B2828" i="106"/>
  <c r="D2828" i="106" s="1"/>
  <c r="B4156" i="106"/>
  <c r="D4156" i="106" s="1"/>
  <c r="H208" i="29"/>
  <c r="B1375" i="106" s="1"/>
  <c r="D1375" i="106" s="1"/>
  <c r="H170" i="5"/>
  <c r="B5893" i="106"/>
  <c r="D5893" i="106" s="1"/>
  <c r="C169" i="5"/>
  <c r="F105" i="34"/>
  <c r="B5147" i="106"/>
  <c r="D5147" i="106" s="1"/>
  <c r="B5873" i="106"/>
  <c r="D5873" i="106" s="1"/>
  <c r="H109" i="5"/>
  <c r="C266" i="5"/>
  <c r="B4395" i="106"/>
  <c r="D4395" i="106" s="1"/>
  <c r="F124" i="34"/>
  <c r="F52" i="34"/>
  <c r="B1144" i="106"/>
  <c r="D1144" i="106" s="1"/>
  <c r="C14" i="4"/>
  <c r="B2558" i="106" s="1"/>
  <c r="D2558" i="106" s="1"/>
  <c r="E39" i="108"/>
  <c r="G39" i="108"/>
  <c r="D352" i="29"/>
  <c r="B3626" i="106"/>
  <c r="D3626" i="106" s="1"/>
  <c r="B1358" i="106"/>
  <c r="D1358" i="106" s="1"/>
  <c r="F210" i="29"/>
  <c r="B1359" i="106" s="1"/>
  <c r="D1359" i="106" s="1"/>
  <c r="K112" i="29"/>
  <c r="B1151" i="106"/>
  <c r="D1151" i="106" s="1"/>
  <c r="E4" i="4"/>
  <c r="B2630" i="106" s="1"/>
  <c r="D2630" i="106" s="1"/>
  <c r="B5527" i="106"/>
  <c r="D5527" i="106" s="1"/>
  <c r="B7790" i="106"/>
  <c r="D7790" i="106" s="1"/>
  <c r="J15" i="4"/>
  <c r="B7796" i="106" s="1"/>
  <c r="D7796" i="106" s="1"/>
  <c r="F74" i="34"/>
  <c r="B1267" i="106"/>
  <c r="D1267" i="106" s="1"/>
  <c r="H151" i="29"/>
  <c r="B1273" i="106" s="1"/>
  <c r="D1273" i="106" s="1"/>
  <c r="B1119" i="106"/>
  <c r="D1119" i="106" s="1"/>
  <c r="E22" i="108"/>
  <c r="G22" i="108"/>
  <c r="D151" i="29"/>
  <c r="B1234" i="106" s="1"/>
  <c r="D1234" i="106" s="1"/>
  <c r="B1233" i="106"/>
  <c r="D1233" i="106" s="1"/>
  <c r="E19" i="108"/>
  <c r="C12" i="4"/>
  <c r="B2556" i="106" s="1"/>
  <c r="D2556" i="106" s="1"/>
  <c r="B1108" i="106"/>
  <c r="D1108" i="106" s="1"/>
  <c r="G19" i="108"/>
  <c r="J114" i="29"/>
  <c r="B7021" i="106" s="1"/>
  <c r="D7021" i="106" s="1"/>
  <c r="A7263" i="106"/>
  <c r="D7262" i="106"/>
  <c r="B7071" i="106" l="1"/>
  <c r="D7071" i="106" s="1"/>
  <c r="B6977" i="106"/>
  <c r="D6977" i="106" s="1"/>
  <c r="F55" i="34"/>
  <c r="B7020" i="106"/>
  <c r="D7020" i="106" s="1"/>
  <c r="B871" i="106"/>
  <c r="D871" i="106" s="1"/>
  <c r="F267" i="5"/>
  <c r="I77" i="4"/>
  <c r="B3319" i="106" s="1"/>
  <c r="D3319" i="106" s="1"/>
  <c r="H4" i="4"/>
  <c r="B6025" i="106"/>
  <c r="D6025" i="106" s="1"/>
  <c r="B5214" i="106"/>
  <c r="D5214" i="106" s="1"/>
  <c r="C170" i="5"/>
  <c r="B1446" i="106"/>
  <c r="D1446" i="106" s="1"/>
  <c r="D295" i="29"/>
  <c r="B1448" i="106" s="1"/>
  <c r="D1448" i="106" s="1"/>
  <c r="G21" i="108"/>
  <c r="B1115" i="106"/>
  <c r="D1115" i="106" s="1"/>
  <c r="K74" i="29"/>
  <c r="E21" i="108"/>
  <c r="K102" i="29"/>
  <c r="B7207" i="106"/>
  <c r="D7207" i="106" s="1"/>
  <c r="K342" i="29"/>
  <c r="J13" i="4"/>
  <c r="G4" i="4"/>
  <c r="B2603" i="106" s="1"/>
  <c r="D2603" i="106" s="1"/>
  <c r="B6024" i="106"/>
  <c r="D6024" i="106" s="1"/>
  <c r="B5863" i="106"/>
  <c r="D5863" i="106" s="1"/>
  <c r="G267" i="5"/>
  <c r="H174" i="29"/>
  <c r="B1318" i="106" s="1"/>
  <c r="D1318" i="106" s="1"/>
  <c r="B1317" i="106"/>
  <c r="D1317" i="106" s="1"/>
  <c r="B5501" i="106"/>
  <c r="D5501" i="106" s="1"/>
  <c r="D267" i="5"/>
  <c r="F367" i="29"/>
  <c r="B3643" i="106" s="1"/>
  <c r="D3643" i="106" s="1"/>
  <c r="B3642" i="106"/>
  <c r="D3642" i="106" s="1"/>
  <c r="B7041" i="106"/>
  <c r="D7041" i="106" s="1"/>
  <c r="J267" i="5"/>
  <c r="B7038" i="106"/>
  <c r="D7038" i="106" s="1"/>
  <c r="J151" i="29"/>
  <c r="B7052" i="106" s="1"/>
  <c r="D7052" i="106" s="1"/>
  <c r="B1047" i="106"/>
  <c r="D1047" i="106" s="1"/>
  <c r="H114" i="29"/>
  <c r="B1054" i="106" s="1"/>
  <c r="D1054" i="106" s="1"/>
  <c r="B3676" i="106"/>
  <c r="D3676" i="106" s="1"/>
  <c r="K365" i="29"/>
  <c r="C114" i="29"/>
  <c r="B757" i="106" s="1"/>
  <c r="D757" i="106" s="1"/>
  <c r="B755" i="106"/>
  <c r="D755" i="106" s="1"/>
  <c r="F170" i="5"/>
  <c r="B5644" i="106"/>
  <c r="D5644" i="106" s="1"/>
  <c r="B1241" i="106"/>
  <c r="D1241" i="106" s="1"/>
  <c r="E151" i="29"/>
  <c r="B1242" i="106" s="1"/>
  <c r="D1242" i="106" s="1"/>
  <c r="F65" i="34"/>
  <c r="B1365" i="106"/>
  <c r="D1365" i="106" s="1"/>
  <c r="F174" i="34"/>
  <c r="K77" i="4"/>
  <c r="B3587" i="106" s="1"/>
  <c r="D3587" i="106" s="1"/>
  <c r="B3586" i="106"/>
  <c r="D3586" i="106" s="1"/>
  <c r="K172" i="29"/>
  <c r="B1328" i="106"/>
  <c r="D1328" i="106" s="1"/>
  <c r="H13" i="4"/>
  <c r="K312" i="29"/>
  <c r="B1560" i="106" s="1"/>
  <c r="D1560" i="106" s="1"/>
  <c r="B1559" i="106"/>
  <c r="D1559" i="106" s="1"/>
  <c r="B6397" i="106"/>
  <c r="D6397" i="106" s="1"/>
  <c r="J6" i="4"/>
  <c r="B6221" i="106" s="1"/>
  <c r="D6221" i="106" s="1"/>
  <c r="F13" i="4"/>
  <c r="B2596" i="106" s="1"/>
  <c r="D2596" i="106" s="1"/>
  <c r="B1381" i="106"/>
  <c r="D1381" i="106" s="1"/>
  <c r="K149" i="29"/>
  <c r="B7048" i="106"/>
  <c r="D7048" i="106" s="1"/>
  <c r="B4216" i="106"/>
  <c r="D4216" i="106" s="1"/>
  <c r="I6" i="4"/>
  <c r="B5011" i="106" s="1"/>
  <c r="D5011" i="106" s="1"/>
  <c r="B1279" i="106"/>
  <c r="D1279" i="106" s="1"/>
  <c r="K129" i="29"/>
  <c r="D170" i="5"/>
  <c r="B5412" i="106"/>
  <c r="D5412" i="106" s="1"/>
  <c r="F151" i="29"/>
  <c r="B1250" i="106" s="1"/>
  <c r="D1250" i="106" s="1"/>
  <c r="B1249" i="106"/>
  <c r="D1249" i="106" s="1"/>
  <c r="J367" i="29"/>
  <c r="B7245" i="106" s="1"/>
  <c r="D7245" i="106" s="1"/>
  <c r="B7235" i="106"/>
  <c r="D7235" i="106" s="1"/>
  <c r="B3274" i="106"/>
  <c r="D3274" i="106" s="1"/>
  <c r="E77" i="4"/>
  <c r="B3277" i="106" s="1"/>
  <c r="D3277" i="106" s="1"/>
  <c r="B3621" i="106"/>
  <c r="D3621" i="106" s="1"/>
  <c r="C367" i="29"/>
  <c r="B3622" i="106" s="1"/>
  <c r="D3622" i="106" s="1"/>
  <c r="B1515" i="106"/>
  <c r="D1515" i="106" s="1"/>
  <c r="G16" i="4"/>
  <c r="B2611" i="106" s="1"/>
  <c r="D2611" i="106" s="1"/>
  <c r="I268" i="5"/>
  <c r="B5946" i="106" s="1"/>
  <c r="D5946" i="106" s="1"/>
  <c r="B6026" i="106"/>
  <c r="D6026" i="106" s="1"/>
  <c r="I4" i="4"/>
  <c r="C4" i="4"/>
  <c r="B2551" i="106" s="1"/>
  <c r="D2551" i="106" s="1"/>
  <c r="B5121" i="106"/>
  <c r="D5121" i="106" s="1"/>
  <c r="B987" i="106"/>
  <c r="D987" i="106" s="1"/>
  <c r="G114" i="29"/>
  <c r="G170" i="5"/>
  <c r="B5770" i="106"/>
  <c r="D5770" i="106" s="1"/>
  <c r="H6" i="4"/>
  <c r="B2656" i="106" s="1"/>
  <c r="D2656" i="106" s="1"/>
  <c r="B5906" i="106"/>
  <c r="D5906" i="106" s="1"/>
  <c r="H210" i="29"/>
  <c r="B1376" i="106" s="1"/>
  <c r="D1376" i="106" s="1"/>
  <c r="B2830" i="106"/>
  <c r="D2830" i="106" s="1"/>
  <c r="K6" i="4"/>
  <c r="B3570" i="106" s="1"/>
  <c r="D3570" i="106" s="1"/>
  <c r="B6014" i="106"/>
  <c r="D6014" i="106" s="1"/>
  <c r="B6352" i="106"/>
  <c r="D6352" i="106" s="1"/>
  <c r="J4" i="4"/>
  <c r="B6220" i="106" s="1"/>
  <c r="D6220" i="106" s="1"/>
  <c r="B1760" i="106"/>
  <c r="D1760" i="106" s="1"/>
  <c r="D19" i="7"/>
  <c r="B1775" i="106" s="1"/>
  <c r="D1775" i="106" s="1"/>
  <c r="B4441" i="106"/>
  <c r="D4441" i="106" s="1"/>
  <c r="H267" i="5"/>
  <c r="G12" i="145"/>
  <c r="E19" i="145"/>
  <c r="K4" i="4"/>
  <c r="B6028" i="106"/>
  <c r="D6028" i="106" s="1"/>
  <c r="B2093" i="106"/>
  <c r="D2093" i="106" s="1"/>
  <c r="K139" i="29"/>
  <c r="B813" i="106"/>
  <c r="D813" i="106" s="1"/>
  <c r="D114" i="29"/>
  <c r="B815" i="106" s="1"/>
  <c r="D815" i="106" s="1"/>
  <c r="B7234" i="106"/>
  <c r="D7234" i="106" s="1"/>
  <c r="I367" i="29"/>
  <c r="B7244" i="106" s="1"/>
  <c r="D7244" i="106" s="1"/>
  <c r="K352" i="29"/>
  <c r="B3670" i="106"/>
  <c r="D3670" i="106" s="1"/>
  <c r="G12" i="4"/>
  <c r="B2607" i="106" s="1"/>
  <c r="D2607" i="106" s="1"/>
  <c r="B1474" i="106"/>
  <c r="D1474" i="106" s="1"/>
  <c r="B1225" i="106"/>
  <c r="D1225" i="106" s="1"/>
  <c r="C151" i="29"/>
  <c r="B1226" i="106" s="1"/>
  <c r="D1226" i="106" s="1"/>
  <c r="B7215" i="106"/>
  <c r="D7215" i="106" s="1"/>
  <c r="J16" i="4"/>
  <c r="B6226" i="106" s="1"/>
  <c r="D6226" i="106" s="1"/>
  <c r="B3628" i="106"/>
  <c r="D3628" i="106" s="1"/>
  <c r="D367" i="29"/>
  <c r="B3629" i="106" s="1"/>
  <c r="D3629" i="106" s="1"/>
  <c r="C267" i="5"/>
  <c r="B5320" i="106"/>
  <c r="D5320" i="106" s="1"/>
  <c r="B1258" i="106"/>
  <c r="D1258" i="106" s="1"/>
  <c r="G151" i="29"/>
  <c r="B4442" i="106"/>
  <c r="D4442" i="106" s="1"/>
  <c r="K267" i="5"/>
  <c r="E15" i="4"/>
  <c r="B2633" i="106" s="1"/>
  <c r="D2633" i="106" s="1"/>
  <c r="F60" i="34"/>
  <c r="B7037" i="106"/>
  <c r="D7037" i="106" s="1"/>
  <c r="I151" i="29"/>
  <c r="B2102" i="106"/>
  <c r="D2102" i="106" s="1"/>
  <c r="H15" i="4"/>
  <c r="B2660" i="106" s="1"/>
  <c r="D2660" i="106" s="1"/>
  <c r="B5588" i="106"/>
  <c r="D5588" i="106" s="1"/>
  <c r="F4" i="4"/>
  <c r="B2591" i="106" s="1"/>
  <c r="D2591" i="106" s="1"/>
  <c r="B3649" i="106"/>
  <c r="D3649" i="106" s="1"/>
  <c r="G367" i="29"/>
  <c r="B3650" i="106" s="1"/>
  <c r="D3650" i="106" s="1"/>
  <c r="E210" i="29"/>
  <c r="B1353" i="106" s="1"/>
  <c r="D1353" i="106" s="1"/>
  <c r="B1352" i="106"/>
  <c r="D1352" i="106" s="1"/>
  <c r="F73" i="34"/>
  <c r="G15" i="4"/>
  <c r="B6032" i="106" s="1"/>
  <c r="D6032" i="106" s="1"/>
  <c r="B3724" i="106"/>
  <c r="D3724" i="106" s="1"/>
  <c r="B1122" i="106"/>
  <c r="D1122" i="106" s="1"/>
  <c r="G23" i="108"/>
  <c r="E23" i="108"/>
  <c r="B5544" i="106"/>
  <c r="D5544" i="106" s="1"/>
  <c r="E6" i="4"/>
  <c r="B2631" i="106" s="1"/>
  <c r="D2631" i="106" s="1"/>
  <c r="K279" i="29"/>
  <c r="B1481" i="106"/>
  <c r="D1481" i="106" s="1"/>
  <c r="D4" i="4"/>
  <c r="B2564" i="106" s="1"/>
  <c r="D2564" i="106" s="1"/>
  <c r="B5356" i="106"/>
  <c r="D5356" i="106" s="1"/>
  <c r="E24" i="108"/>
  <c r="B1125" i="106"/>
  <c r="D1125" i="106" s="1"/>
  <c r="G24" i="108"/>
  <c r="B3656" i="106"/>
  <c r="D3656" i="106" s="1"/>
  <c r="H367" i="29"/>
  <c r="B3660" i="106" s="1"/>
  <c r="D3660" i="106" s="1"/>
  <c r="B4157" i="106"/>
  <c r="D4157" i="106" s="1"/>
  <c r="K208" i="29"/>
  <c r="I7" i="4"/>
  <c r="B4444" i="106" s="1"/>
  <c r="D4444" i="106" s="1"/>
  <c r="B4435" i="106"/>
  <c r="D4435" i="106" s="1"/>
  <c r="B7747" i="106"/>
  <c r="D7747" i="106" s="1"/>
  <c r="E267" i="5"/>
  <c r="K196" i="29"/>
  <c r="B2837" i="106"/>
  <c r="D2837" i="106" s="1"/>
  <c r="G15" i="145"/>
  <c r="C16" i="4"/>
  <c r="B2560" i="106" s="1"/>
  <c r="D2560" i="106" s="1"/>
  <c r="B7019" i="106"/>
  <c r="D7019" i="106" s="1"/>
  <c r="A7264" i="106"/>
  <c r="D7263" i="106"/>
  <c r="B5719" i="106" l="1"/>
  <c r="D5719" i="106" s="1"/>
  <c r="F7" i="4"/>
  <c r="B2594" i="106" s="1"/>
  <c r="D2594" i="106" s="1"/>
  <c r="K295" i="29"/>
  <c r="G13" i="4"/>
  <c r="B1510" i="106"/>
  <c r="D1510" i="106" s="1"/>
  <c r="B3672" i="106"/>
  <c r="D3672" i="106" s="1"/>
  <c r="K13" i="4"/>
  <c r="K367" i="29"/>
  <c r="B3678" i="106" s="1"/>
  <c r="D3678" i="106" s="1"/>
  <c r="H7" i="4"/>
  <c r="B2657" i="106" s="1"/>
  <c r="D2657" i="106" s="1"/>
  <c r="B5914" i="106"/>
  <c r="D5914" i="106" s="1"/>
  <c r="D268" i="5"/>
  <c r="B5421" i="106"/>
  <c r="D5421" i="106" s="1"/>
  <c r="D6" i="4"/>
  <c r="B5653" i="106"/>
  <c r="D5653" i="106" s="1"/>
  <c r="F6" i="4"/>
  <c r="F268" i="5"/>
  <c r="C15" i="4"/>
  <c r="B2559" i="106" s="1"/>
  <c r="D2559" i="106" s="1"/>
  <c r="B1145" i="106"/>
  <c r="D1145" i="106" s="1"/>
  <c r="F53" i="34"/>
  <c r="G41" i="108"/>
  <c r="G44" i="108" s="1"/>
  <c r="G45" i="108" s="1"/>
  <c r="K210" i="29"/>
  <c r="B1382" i="106"/>
  <c r="D1382" i="106" s="1"/>
  <c r="F15" i="4"/>
  <c r="F63" i="34"/>
  <c r="F17" i="11"/>
  <c r="F59" i="34"/>
  <c r="B7051" i="106"/>
  <c r="D7051" i="106" s="1"/>
  <c r="K7" i="4"/>
  <c r="B3718" i="106" s="1"/>
  <c r="D3718" i="106" s="1"/>
  <c r="B6022" i="106"/>
  <c r="D6022" i="106" s="1"/>
  <c r="B1282" i="106"/>
  <c r="D1282" i="106" s="1"/>
  <c r="F57" i="34"/>
  <c r="D15" i="4"/>
  <c r="B2571" i="106" s="1"/>
  <c r="D2571" i="106" s="1"/>
  <c r="B3569" i="106"/>
  <c r="D3569" i="106" s="1"/>
  <c r="G6" i="4"/>
  <c r="G268" i="5"/>
  <c r="B5778" i="106"/>
  <c r="D5778" i="106" s="1"/>
  <c r="D13" i="4"/>
  <c r="B1281" i="106"/>
  <c r="D1281" i="106" s="1"/>
  <c r="K151" i="29"/>
  <c r="H17" i="4"/>
  <c r="B2659" i="106"/>
  <c r="D2659" i="106" s="1"/>
  <c r="J268" i="5"/>
  <c r="J7" i="4"/>
  <c r="B7054" i="106"/>
  <c r="D7054" i="106" s="1"/>
  <c r="D7" i="4"/>
  <c r="B2567" i="106" s="1"/>
  <c r="D2567" i="106" s="1"/>
  <c r="B5507" i="106"/>
  <c r="D5507" i="106" s="1"/>
  <c r="G7" i="4"/>
  <c r="B2605" i="106" s="1"/>
  <c r="D2605" i="106" s="1"/>
  <c r="B5869" i="106"/>
  <c r="D5869" i="106" s="1"/>
  <c r="B7042" i="106"/>
  <c r="D7042" i="106" s="1"/>
  <c r="J17" i="4"/>
  <c r="E41" i="108"/>
  <c r="E44" i="108" s="1"/>
  <c r="E45" i="108" s="1"/>
  <c r="B4434" i="106"/>
  <c r="D4434" i="106" s="1"/>
  <c r="E268" i="5"/>
  <c r="E7" i="4"/>
  <c r="F16" i="4"/>
  <c r="B2599" i="106" s="1"/>
  <c r="D2599" i="106" s="1"/>
  <c r="B1387" i="106"/>
  <c r="D1387" i="106" s="1"/>
  <c r="B5326" i="106"/>
  <c r="D5326" i="106" s="1"/>
  <c r="C7" i="4"/>
  <c r="B989" i="106"/>
  <c r="D989" i="106" s="1"/>
  <c r="F54" i="34"/>
  <c r="I8" i="4"/>
  <c r="B3225" i="106"/>
  <c r="D3225" i="106" s="1"/>
  <c r="B1287" i="106"/>
  <c r="D1287" i="106" s="1"/>
  <c r="D16" i="4"/>
  <c r="B2572" i="106" s="1"/>
  <c r="D2572" i="106" s="1"/>
  <c r="F13" i="34"/>
  <c r="B7224" i="106"/>
  <c r="D7224" i="106" s="1"/>
  <c r="B1143" i="106"/>
  <c r="D1143" i="106" s="1"/>
  <c r="C13" i="4"/>
  <c r="K114" i="29"/>
  <c r="H268" i="5"/>
  <c r="B1259" i="106"/>
  <c r="D1259" i="106" s="1"/>
  <c r="F58" i="34"/>
  <c r="K268" i="5"/>
  <c r="G19" i="145"/>
  <c r="J20" i="145" s="1"/>
  <c r="K174" i="29"/>
  <c r="E16" i="4"/>
  <c r="B1331" i="106"/>
  <c r="D1331" i="106" s="1"/>
  <c r="B7243" i="106"/>
  <c r="D7243" i="106" s="1"/>
  <c r="K16" i="4"/>
  <c r="B3574" i="106" s="1"/>
  <c r="D3574" i="106" s="1"/>
  <c r="B5223" i="106"/>
  <c r="D5223" i="106" s="1"/>
  <c r="C6" i="4"/>
  <c r="C268" i="5"/>
  <c r="B2655" i="106"/>
  <c r="D2655" i="106" s="1"/>
  <c r="H8" i="4"/>
  <c r="A7265" i="106"/>
  <c r="D7264" i="106"/>
  <c r="K8" i="4" l="1"/>
  <c r="K115" i="29"/>
  <c r="B1153" i="106" s="1"/>
  <c r="D1153" i="106" s="1"/>
  <c r="B5327" i="106"/>
  <c r="D5327" i="106" s="1"/>
  <c r="B2553" i="106"/>
  <c r="D2553" i="106" s="1"/>
  <c r="C8" i="4"/>
  <c r="B6023" i="106"/>
  <c r="D6023" i="106" s="1"/>
  <c r="K368" i="29"/>
  <c r="B3681" i="106" s="1"/>
  <c r="D3681" i="106" s="1"/>
  <c r="B1152" i="106"/>
  <c r="D1152" i="106" s="1"/>
  <c r="F8" i="34"/>
  <c r="E8" i="146"/>
  <c r="E10" i="146" s="1"/>
  <c r="I20" i="4"/>
  <c r="I10" i="4"/>
  <c r="B4128" i="106" s="1"/>
  <c r="D4128" i="106" s="1"/>
  <c r="B3226" i="106"/>
  <c r="D3226" i="106" s="1"/>
  <c r="B5552" i="106"/>
  <c r="D5552" i="106" s="1"/>
  <c r="K175" i="29"/>
  <c r="B1333" i="106" s="1"/>
  <c r="D1333" i="106" s="1"/>
  <c r="D17" i="4"/>
  <c r="B2569" i="106"/>
  <c r="D2569" i="106" s="1"/>
  <c r="H10" i="4"/>
  <c r="B4127" i="106" s="1"/>
  <c r="D4127" i="106" s="1"/>
  <c r="H20" i="4"/>
  <c r="B2658" i="106"/>
  <c r="D2658" i="106" s="1"/>
  <c r="E17" i="4"/>
  <c r="B2634" i="106"/>
  <c r="D2634" i="106" s="1"/>
  <c r="C17" i="4"/>
  <c r="B2557" i="106"/>
  <c r="D2557" i="106" s="1"/>
  <c r="H19" i="4"/>
  <c r="B4141" i="106" s="1"/>
  <c r="D4141" i="106" s="1"/>
  <c r="B2661" i="106"/>
  <c r="D2661" i="106" s="1"/>
  <c r="B3571" i="106"/>
  <c r="D3571" i="106" s="1"/>
  <c r="K10" i="4"/>
  <c r="B4130" i="106" s="1"/>
  <c r="D4130" i="106" s="1"/>
  <c r="B7624" i="106"/>
  <c r="I17" i="11"/>
  <c r="F11" i="34"/>
  <c r="B1388" i="106"/>
  <c r="D1388" i="106" s="1"/>
  <c r="D8" i="4"/>
  <c r="B2566" i="106"/>
  <c r="D2566" i="106" s="1"/>
  <c r="B1332" i="106"/>
  <c r="D1332" i="106" s="1"/>
  <c r="F10" i="34"/>
  <c r="J8" i="4"/>
  <c r="B6222" i="106"/>
  <c r="D6222" i="106" s="1"/>
  <c r="B1288" i="106"/>
  <c r="D1288" i="106" s="1"/>
  <c r="F9" i="34"/>
  <c r="B5870" i="106"/>
  <c r="D5870" i="106" s="1"/>
  <c r="K296" i="29"/>
  <c r="B1518" i="106" s="1"/>
  <c r="D1518" i="106" s="1"/>
  <c r="B5720" i="106"/>
  <c r="D5720" i="106" s="1"/>
  <c r="K211" i="29"/>
  <c r="B1389" i="106" s="1"/>
  <c r="D1389" i="106" s="1"/>
  <c r="G17" i="4"/>
  <c r="B2608" i="106"/>
  <c r="D2608" i="106" s="1"/>
  <c r="B5915" i="106"/>
  <c r="D5915" i="106" s="1"/>
  <c r="K313" i="29"/>
  <c r="B1561" i="106" s="1"/>
  <c r="D1561" i="106" s="1"/>
  <c r="B2554" i="106"/>
  <c r="D2554" i="106" s="1"/>
  <c r="D10" i="171"/>
  <c r="D19" i="171" s="1"/>
  <c r="D32" i="171" s="1"/>
  <c r="D49" i="171" s="1"/>
  <c r="E8" i="4"/>
  <c r="B4443" i="106"/>
  <c r="D4443" i="106" s="1"/>
  <c r="B6227" i="106"/>
  <c r="D6227" i="106" s="1"/>
  <c r="J19" i="4"/>
  <c r="B6229" i="106" s="1"/>
  <c r="D6229" i="106" s="1"/>
  <c r="K343" i="29"/>
  <c r="B7225" i="106" s="1"/>
  <c r="D7225" i="106" s="1"/>
  <c r="B7055" i="106"/>
  <c r="D7055" i="106" s="1"/>
  <c r="B2604" i="106"/>
  <c r="D2604" i="106" s="1"/>
  <c r="G8" i="4"/>
  <c r="B2598" i="106"/>
  <c r="D2598" i="106" s="1"/>
  <c r="F17" i="4"/>
  <c r="F76" i="34"/>
  <c r="B2593" i="106"/>
  <c r="D2593" i="106" s="1"/>
  <c r="F8" i="4"/>
  <c r="K152" i="29"/>
  <c r="B1289" i="106" s="1"/>
  <c r="D1289" i="106" s="1"/>
  <c r="B5508" i="106"/>
  <c r="D5508" i="106" s="1"/>
  <c r="K17" i="4"/>
  <c r="B3572" i="106"/>
  <c r="D3572" i="106" s="1"/>
  <c r="B1517" i="106"/>
  <c r="D1517" i="106" s="1"/>
  <c r="F12" i="34"/>
  <c r="A7266" i="106"/>
  <c r="D7265" i="106"/>
  <c r="K19" i="4" l="1"/>
  <c r="B4144" i="106" s="1"/>
  <c r="D4144" i="106" s="1"/>
  <c r="K20" i="4"/>
  <c r="B3575" i="106"/>
  <c r="D3575" i="106" s="1"/>
  <c r="G10" i="4"/>
  <c r="B4126" i="106" s="1"/>
  <c r="D4126" i="106" s="1"/>
  <c r="B2606" i="106"/>
  <c r="D2606" i="106" s="1"/>
  <c r="G20" i="4"/>
  <c r="G19" i="4"/>
  <c r="B4140" i="106" s="1"/>
  <c r="D4140" i="106" s="1"/>
  <c r="B2612" i="106"/>
  <c r="D2612" i="106" s="1"/>
  <c r="J10" i="4"/>
  <c r="B6225" i="106" s="1"/>
  <c r="D6225" i="106" s="1"/>
  <c r="J20" i="4"/>
  <c r="B6223" i="106"/>
  <c r="D6223" i="106" s="1"/>
  <c r="B2568" i="106"/>
  <c r="D2568" i="106" s="1"/>
  <c r="C8" i="146"/>
  <c r="D10" i="4"/>
  <c r="B4123" i="106" s="1"/>
  <c r="D4123" i="106" s="1"/>
  <c r="D20" i="4"/>
  <c r="E19" i="4"/>
  <c r="B4138" i="106" s="1"/>
  <c r="D4138" i="106" s="1"/>
  <c r="B2635" i="106"/>
  <c r="D2635" i="106" s="1"/>
  <c r="F14" i="34"/>
  <c r="F77" i="34" s="1"/>
  <c r="B8" i="146"/>
  <c r="H13" i="118"/>
  <c r="C20" i="4"/>
  <c r="B2555" i="106"/>
  <c r="D2555" i="106" s="1"/>
  <c r="H18" i="118"/>
  <c r="C10" i="4"/>
  <c r="B4122" i="106" s="1"/>
  <c r="D4122" i="106" s="1"/>
  <c r="D16" i="37"/>
  <c r="D9" i="146"/>
  <c r="B2600" i="106"/>
  <c r="D2600" i="106" s="1"/>
  <c r="F19" i="4"/>
  <c r="B4139" i="106" s="1"/>
  <c r="D4139" i="106" s="1"/>
  <c r="B2573" i="106"/>
  <c r="D2573" i="106" s="1"/>
  <c r="C9" i="146"/>
  <c r="D19" i="4"/>
  <c r="B4137" i="106" s="1"/>
  <c r="D4137" i="106" s="1"/>
  <c r="D8" i="146"/>
  <c r="F20" i="4"/>
  <c r="F10" i="4"/>
  <c r="B4125" i="106" s="1"/>
  <c r="D4125" i="106" s="1"/>
  <c r="B2595" i="106"/>
  <c r="D2595" i="106" s="1"/>
  <c r="E10" i="4"/>
  <c r="B4124" i="106" s="1"/>
  <c r="D4124" i="106" s="1"/>
  <c r="E20" i="4"/>
  <c r="B2632" i="106"/>
  <c r="D2632" i="106" s="1"/>
  <c r="B9" i="146"/>
  <c r="F9" i="146" s="1"/>
  <c r="H17" i="118"/>
  <c r="C19" i="4"/>
  <c r="B4136" i="106" s="1"/>
  <c r="D4136" i="106" s="1"/>
  <c r="F16" i="37"/>
  <c r="B2561" i="106"/>
  <c r="D2561" i="106" s="1"/>
  <c r="H78" i="4"/>
  <c r="B2662" i="106"/>
  <c r="D2662" i="106" s="1"/>
  <c r="B3227" i="106"/>
  <c r="D3227" i="106" s="1"/>
  <c r="I78" i="4"/>
  <c r="I18" i="11"/>
  <c r="B7625" i="106"/>
  <c r="A7267" i="106"/>
  <c r="D7266" i="106"/>
  <c r="F176" i="34" l="1"/>
  <c r="B7631" i="106"/>
  <c r="B3300" i="106"/>
  <c r="D3300" i="106" s="1"/>
  <c r="H81" i="4"/>
  <c r="K17" i="118"/>
  <c r="H25" i="118"/>
  <c r="K24" i="118" s="1"/>
  <c r="O23" i="118" s="1"/>
  <c r="O25" i="118" s="1"/>
  <c r="I81" i="4"/>
  <c r="B3320" i="106"/>
  <c r="D3320" i="106" s="1"/>
  <c r="B10" i="146"/>
  <c r="F8" i="146"/>
  <c r="F10" i="146" s="1"/>
  <c r="D78" i="4"/>
  <c r="B2574" i="106"/>
  <c r="D2574" i="106" s="1"/>
  <c r="D10" i="146"/>
  <c r="F175" i="34"/>
  <c r="F79" i="34"/>
  <c r="B6230" i="106"/>
  <c r="D6230" i="106" s="1"/>
  <c r="J78" i="4"/>
  <c r="G78" i="4"/>
  <c r="B2613" i="106"/>
  <c r="D2613" i="106" s="1"/>
  <c r="K78" i="4"/>
  <c r="B3576" i="106"/>
  <c r="D3576" i="106" s="1"/>
  <c r="B2636" i="106"/>
  <c r="D2636" i="106" s="1"/>
  <c r="E78" i="4"/>
  <c r="B2601" i="106"/>
  <c r="D2601" i="106" s="1"/>
  <c r="F78" i="4"/>
  <c r="H16" i="37"/>
  <c r="C78" i="4"/>
  <c r="B2562" i="106"/>
  <c r="D2562" i="106" s="1"/>
  <c r="C10" i="146"/>
  <c r="A7268" i="106"/>
  <c r="D7267" i="106"/>
  <c r="F177" i="34" l="1"/>
  <c r="F179" i="34" s="1"/>
  <c r="B3256" i="106"/>
  <c r="D3256" i="106" s="1"/>
  <c r="F81" i="4"/>
  <c r="J81" i="4"/>
  <c r="B6263" i="106"/>
  <c r="D6263" i="106" s="1"/>
  <c r="B3588" i="106"/>
  <c r="D3588" i="106" s="1"/>
  <c r="K81" i="4"/>
  <c r="B1700" i="106"/>
  <c r="D1700" i="106" s="1"/>
  <c r="H82" i="4"/>
  <c r="B3262" i="106"/>
  <c r="D3262" i="106" s="1"/>
  <c r="G81" i="4"/>
  <c r="B3233" i="106"/>
  <c r="D3233" i="106" s="1"/>
  <c r="C81" i="4"/>
  <c r="E81" i="4"/>
  <c r="B3278" i="106"/>
  <c r="D3278" i="106" s="1"/>
  <c r="B3239" i="106"/>
  <c r="D3239" i="106" s="1"/>
  <c r="D81" i="4"/>
  <c r="I82" i="4"/>
  <c r="E11" i="146"/>
  <c r="B3323" i="106"/>
  <c r="D3323" i="106" s="1"/>
  <c r="K20" i="118"/>
  <c r="J20" i="118"/>
  <c r="O16" i="118"/>
  <c r="A7269" i="106"/>
  <c r="D7268" i="106"/>
  <c r="O17" i="118" l="1"/>
  <c r="O20" i="118" s="1"/>
  <c r="D63" i="36"/>
  <c r="B2912" i="106"/>
  <c r="D2912" i="106" s="1"/>
  <c r="I41" i="3"/>
  <c r="G82" i="4"/>
  <c r="B1686" i="106"/>
  <c r="D1686" i="106" s="1"/>
  <c r="D62" i="36"/>
  <c r="B212" i="106"/>
  <c r="D212" i="106" s="1"/>
  <c r="H41" i="3"/>
  <c r="B6266" i="106"/>
  <c r="D6266" i="106" s="1"/>
  <c r="J82" i="4"/>
  <c r="I83" i="4"/>
  <c r="B6282" i="106" s="1"/>
  <c r="D6282" i="106" s="1"/>
  <c r="B6273" i="106"/>
  <c r="D6273" i="106" s="1"/>
  <c r="B1658" i="106"/>
  <c r="D1658" i="106" s="1"/>
  <c r="E82" i="4"/>
  <c r="K82" i="4"/>
  <c r="B3591" i="106"/>
  <c r="D3591" i="106" s="1"/>
  <c r="D11" i="146"/>
  <c r="F82" i="4"/>
  <c r="B1672" i="106"/>
  <c r="D1672" i="106" s="1"/>
  <c r="B1644" i="106"/>
  <c r="D1644" i="106" s="1"/>
  <c r="D82" i="4"/>
  <c r="C11" i="146"/>
  <c r="J16" i="37"/>
  <c r="B4269" i="106" s="1"/>
  <c r="D4269" i="106" s="1"/>
  <c r="B1630" i="106"/>
  <c r="D1630" i="106" s="1"/>
  <c r="C82" i="4"/>
  <c r="B11" i="146"/>
  <c r="H12" i="118"/>
  <c r="K12" i="118" s="1"/>
  <c r="O11" i="118" s="1"/>
  <c r="O13" i="118" s="1"/>
  <c r="H83" i="4"/>
  <c r="B6281" i="106" s="1"/>
  <c r="D6281" i="106" s="1"/>
  <c r="B6272" i="106"/>
  <c r="D6272" i="106" s="1"/>
  <c r="A7270" i="106"/>
  <c r="D7269" i="106"/>
  <c r="O35" i="118" l="1"/>
  <c r="O37" i="118" s="1"/>
  <c r="B6267" i="106"/>
  <c r="D6267" i="106" s="1"/>
  <c r="C83" i="4"/>
  <c r="B6276" i="106" s="1"/>
  <c r="D6276" i="106" s="1"/>
  <c r="F11" i="146"/>
  <c r="F41" i="3"/>
  <c r="D60" i="36"/>
  <c r="B170" i="106"/>
  <c r="D170" i="106" s="1"/>
  <c r="J83" i="4"/>
  <c r="B6283" i="106" s="1"/>
  <c r="D6283" i="106" s="1"/>
  <c r="B6274" i="106"/>
  <c r="D6274" i="106" s="1"/>
  <c r="B189" i="106"/>
  <c r="D189" i="106" s="1"/>
  <c r="D61" i="36"/>
  <c r="G41" i="3"/>
  <c r="B6268" i="106"/>
  <c r="D6268" i="106" s="1"/>
  <c r="D83" i="4"/>
  <c r="B6277" i="106" s="1"/>
  <c r="D6277" i="106" s="1"/>
  <c r="D65" i="36"/>
  <c r="K41" i="3"/>
  <c r="B3567" i="106"/>
  <c r="D3567" i="106" s="1"/>
  <c r="D59" i="36"/>
  <c r="E41" i="3"/>
  <c r="B140" i="106"/>
  <c r="D140" i="106" s="1"/>
  <c r="N21" i="3"/>
  <c r="B2913" i="106"/>
  <c r="D2913" i="106" s="1"/>
  <c r="D50" i="36"/>
  <c r="F83" i="4"/>
  <c r="B6279" i="106" s="1"/>
  <c r="D6279" i="106" s="1"/>
  <c r="B6270" i="106"/>
  <c r="D6270" i="106" s="1"/>
  <c r="K83" i="4"/>
  <c r="B6284" i="106" s="1"/>
  <c r="D6284" i="106" s="1"/>
  <c r="B6275" i="106"/>
  <c r="D6275" i="106" s="1"/>
  <c r="D64" i="36"/>
  <c r="J41" i="3"/>
  <c r="B6215" i="106"/>
  <c r="D6215" i="106" s="1"/>
  <c r="D57" i="36"/>
  <c r="C41" i="3"/>
  <c r="B92" i="106"/>
  <c r="D92" i="106" s="1"/>
  <c r="D76" i="36"/>
  <c r="D58" i="36"/>
  <c r="B123" i="106"/>
  <c r="D123" i="106" s="1"/>
  <c r="D41" i="3"/>
  <c r="E83" i="4"/>
  <c r="B6278" i="106" s="1"/>
  <c r="D6278" i="106" s="1"/>
  <c r="B6269" i="106"/>
  <c r="D6269" i="106" s="1"/>
  <c r="B213" i="106"/>
  <c r="D213" i="106" s="1"/>
  <c r="D49" i="36"/>
  <c r="G83" i="4"/>
  <c r="B6280" i="106" s="1"/>
  <c r="D6280" i="106" s="1"/>
  <c r="B6271" i="106"/>
  <c r="D6271" i="106" s="1"/>
  <c r="A7271" i="106"/>
  <c r="D7270" i="106"/>
  <c r="B124" i="106" l="1"/>
  <c r="D124" i="106" s="1"/>
  <c r="D45" i="36"/>
  <c r="B6216" i="106"/>
  <c r="D6216" i="106" s="1"/>
  <c r="D51" i="36"/>
  <c r="N23" i="3"/>
  <c r="B282" i="106"/>
  <c r="D282" i="106" s="1"/>
  <c r="D47" i="36"/>
  <c r="B171" i="106"/>
  <c r="D171" i="106" s="1"/>
  <c r="D44" i="36"/>
  <c r="B93" i="106"/>
  <c r="D93" i="106" s="1"/>
  <c r="D52" i="36"/>
  <c r="B3568" i="106"/>
  <c r="D3568" i="106" s="1"/>
  <c r="D48" i="36"/>
  <c r="B190" i="106"/>
  <c r="D190" i="106" s="1"/>
  <c r="C12" i="146"/>
  <c r="D29" i="36"/>
  <c r="J24" i="24" s="1"/>
  <c r="D46" i="36"/>
  <c r="B141" i="106"/>
  <c r="D141" i="106" s="1"/>
  <c r="A7272" i="106"/>
  <c r="D7271" i="106"/>
  <c r="B284" i="106" l="1"/>
  <c r="D284" i="106" s="1"/>
  <c r="D55" i="36"/>
  <c r="A7273" i="106"/>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<sst xmlns="http://schemas.openxmlformats.org/spreadsheetml/2006/main" count="5589" uniqueCount="2249">
  <si>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</si>
  <si>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</si>
  <si>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</si>
  <si>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</si>
  <si>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</si>
  <si>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</si>
  <si>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</si>
  <si>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</si>
  <si>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</si>
  <si>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</si>
  <si>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</si>
  <si>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</si>
  <si>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</si>
  <si>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</si>
  <si>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</si>
  <si>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</si>
  <si>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</si>
  <si>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</si>
  <si>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</si>
  <si>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</si>
  <si>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</si>
  <si>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</si>
  <si>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</si>
  <si>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</si>
  <si>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</si>
  <si>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</si>
  <si>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</si>
  <si>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</si>
  <si>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</si>
  <si>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</si>
  <si>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</si>
  <si>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</si>
  <si>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</si>
  <si>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</si>
  <si>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</si>
  <si>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</si>
  <si>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</si>
  <si>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</si>
  <si>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</si>
  <si>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</si>
  <si>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</si>
  <si>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</si>
  <si>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</si>
  <si>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</si>
  <si>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</si>
  <si>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</si>
  <si>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</si>
  <si>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</si>
  <si>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</si>
  <si>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</si>
  <si>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</si>
  <si>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</si>
  <si>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</si>
  <si>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</si>
  <si>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</si>
  <si>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</si>
  <si>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</si>
  <si>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</si>
  <si>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</si>
  <si>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</si>
  <si>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</si>
  <si>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</si>
  <si>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</si>
  <si>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</si>
  <si>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</si>
  <si>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</si>
  <si>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</si>
  <si>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</si>
  <si>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</si>
  <si>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</si>
  <si>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</si>
  <si>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</si>
  <si>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</si>
  <si>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</si>
  <si>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</si>
  <si>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</si>
  <si>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</si>
  <si>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</si>
  <si>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</si>
  <si>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</si>
  <si>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</si>
  <si>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</si>
  <si>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</si>
  <si>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</si>
  <si>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</si>
  <si>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</si>
  <si>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</si>
  <si>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</si>
  <si>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</si>
  <si>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</si>
  <si>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</si>
  <si>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</si>
  <si>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</si>
  <si>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</si>
  <si>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</si>
  <si>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</si>
  <si>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</si>
  <si>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</si>
  <si>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</si>
  <si>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</si>
  <si>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</si>
  <si>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</si>
  <si>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</si>
  <si>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</si>
  <si>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</si>
  <si>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</si>
  <si>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</si>
  <si>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</si>
  <si>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</si>
  <si>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</si>
  <si>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</si>
  <si>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</si>
  <si>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</si>
  <si>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</si>
  <si>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</si>
  <si>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</si>
  <si>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</si>
  <si>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</si>
  <si>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</si>
  <si>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</si>
  <si>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</si>
  <si>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</si>
  <si>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</si>
  <si>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</si>
  <si>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</si>
  <si>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</si>
  <si>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</si>
  <si>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</si>
  <si>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</si>
  <si>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</si>
  <si>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</si>
  <si>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</si>
  <si>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</si>
  <si>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</si>
  <si>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</si>
  <si>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</si>
  <si>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</si>
  <si>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</si>
  <si>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</si>
  <si>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</si>
  <si>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</si>
  <si>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</si>
  <si>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</si>
  <si>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</si>
  <si>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</si>
  <si>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</si>
  <si>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</si>
  <si>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</si>
  <si>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</si>
  <si>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</si>
  <si>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</si>
  <si>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</si>
  <si>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</si>
  <si>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</si>
  <si>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</si>
  <si>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</si>
  <si>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</si>
  <si>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</si>
  <si>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</si>
  <si>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</si>
  <si>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</si>
  <si>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</si>
  <si>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</si>
  <si>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</si>
  <si>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</si>
  <si>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</si>
  <si>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</si>
  <si>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</si>
  <si>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</si>
  <si>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</si>
  <si>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</si>
  <si>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</si>
  <si>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</si>
  <si>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</si>
  <si>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</si>
  <si>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</si>
  <si>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</si>
  <si>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</si>
  <si>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</si>
  <si>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</si>
  <si>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</si>
  <si>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</si>
  <si>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</si>
  <si>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</si>
  <si>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</si>
  <si>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</si>
  <si>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</si>
  <si>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</si>
  <si>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</si>
  <si>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</si>
  <si>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</si>
  <si>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</si>
  <si>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</si>
  <si>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</si>
  <si>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</si>
  <si>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</si>
  <si>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</si>
  <si>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</si>
  <si>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</si>
  <si>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</si>
  <si>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</si>
  <si>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</si>
  <si>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</si>
  <si>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</si>
  <si>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</si>
  <si>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</si>
  <si>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</si>
  <si>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</si>
  <si>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</si>
  <si>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</si>
  <si>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</si>
  <si>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</si>
  <si>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</si>
  <si>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</si>
  <si>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</si>
  <si>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</si>
  <si>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</si>
  <si>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</si>
  <si>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</si>
  <si>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</si>
  <si>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</si>
  <si>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</si>
  <si>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</si>
  <si>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</si>
  <si>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</si>
  <si>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</si>
  <si>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</si>
  <si>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</si>
  <si>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</si>
  <si>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</si>
  <si>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</si>
  <si>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</si>
  <si>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</si>
  <si>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</si>
  <si>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</si>
  <si>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</si>
  <si>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</si>
  <si>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</si>
  <si>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</si>
  <si>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</si>
  <si>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</si>
  <si>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</si>
  <si>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</si>
  <si>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</si>
  <si>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</si>
  <si>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</si>
  <si>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</si>
  <si>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</si>
  <si>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</si>
  <si>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</si>
  <si>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</si>
  <si>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</si>
  <si>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</si>
  <si>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</si>
  <si>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</si>
  <si>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</si>
  <si>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</si>
  <si>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</si>
  <si>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</si>
  <si>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</si>
  <si>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</si>
  <si>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</si>
  <si>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</si>
  <si>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</si>
  <si>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</si>
  <si>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</si>
  <si>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</si>
  <si>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</si>
  <si>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</si>
  <si>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</si>
  <si>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</si>
  <si>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</si>
  <si>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</si>
  <si>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</si>
  <si>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</si>
  <si>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</si>
  <si>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</si>
  <si>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</si>
  <si>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</si>
  <si>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</si>
  <si>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</si>
  <si>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</si>
  <si>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</si>
  <si>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</si>
  <si>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</si>
  <si>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</si>
  <si>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</si>
  <si>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</si>
  <si>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</si>
  <si>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</si>
  <si>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</si>
  <si>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</si>
  <si>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</si>
  <si>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</si>
  <si>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</si>
  <si>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</si>
  <si>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</si>
  <si>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</si>
  <si>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</si>
  <si>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</si>
  <si>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</si>
  <si>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</si>
  <si>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</si>
  <si>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</si>
  <si>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</si>
  <si>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</si>
  <si>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</si>
  <si>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</si>
  <si>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</si>
  <si>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</si>
  <si>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</si>
  <si>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</si>
  <si>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</si>
  <si>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</si>
  <si>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</si>
  <si>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</si>
  <si>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</si>
  <si>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</si>
  <si>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</si>
  <si>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</si>
  <si>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</si>
  <si>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</si>
  <si>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</si>
  <si>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</si>
  <si>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</si>
  <si>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</si>
  <si>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</si>
  <si>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</si>
  <si>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</si>
  <si>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</si>
  <si>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</si>
  <si>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</si>
  <si>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</si>
  <si>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</si>
  <si>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</si>
  <si>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</si>
  <si>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</si>
  <si>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</si>
  <si>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</si>
  <si>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</si>
  <si>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</si>
  <si>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</si>
  <si>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</si>
  <si>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</si>
  <si>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</si>
  <si>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</si>
  <si>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</si>
  <si>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</si>
  <si>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</si>
  <si>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</si>
  <si>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</si>
  <si>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</si>
  <si>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</si>
  <si>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</si>
  <si>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</si>
  <si>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</si>
  <si>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</si>
  <si>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</si>
  <si>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</si>
  <si>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</si>
  <si>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</si>
  <si>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</si>
  <si>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</si>
  <si>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</si>
  <si>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</si>
  <si>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</si>
  <si>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</si>
  <si>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</si>
  <si>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</si>
  <si>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</si>
  <si>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</si>
  <si>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</si>
  <si>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</si>
  <si>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</si>
  <si>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</si>
  <si>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</si>
  <si>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</si>
  <si>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</si>
  <si>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</si>
  <si>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</si>
  <si>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</si>
  <si>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</si>
  <si>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</si>
  <si>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</si>
  <si>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</si>
  <si>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</si>
  <si>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</si>
  <si>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</si>
  <si>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</si>
  <si>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</si>
  <si>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</si>
  <si>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</si>
  <si>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</si>
  <si>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</si>
  <si>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</si>
  <si>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</si>
  <si>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</si>
  <si>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</si>
  <si>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</si>
  <si>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</si>
  <si>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</si>
  <si>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</si>
  <si>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</si>
  <si>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</si>
  <si>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</si>
  <si>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</si>
  <si>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</si>
  <si>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</si>
  <si>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</si>
  <si>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</si>
  <si>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</si>
  <si>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</si>
  <si>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</si>
  <si>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</si>
  <si>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</si>
  <si>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</si>
  <si>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</si>
  <si>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</si>
  <si>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</si>
  <si>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</si>
  <si>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</si>
  <si>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</si>
  <si>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</si>
  <si>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</si>
  <si>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</si>
  <si>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</si>
  <si>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</si>
  <si>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</si>
  <si>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</si>
  <si>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</si>
  <si>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</si>
  <si>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</si>
  <si>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</si>
  <si>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</si>
  <si>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</si>
  <si>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</si>
  <si>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</si>
  <si>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</si>
  <si>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</si>
  <si>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</si>
  <si>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</si>
  <si>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</si>
  <si>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</si>
  <si>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</si>
  <si>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</si>
  <si>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</si>
  <si>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</si>
  <si>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</si>
  <si>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</si>
  <si>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</si>
  <si>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</si>
  <si>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</si>
  <si>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</si>
  <si>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</si>
  <si>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</si>
  <si>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</si>
  <si>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</si>
  <si>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</si>
  <si>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</si>
  <si>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</si>
  <si>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</si>
  <si>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</si>
  <si>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</si>
  <si>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</si>
  <si>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</si>
  <si>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</si>
  <si>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</si>
  <si>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</si>
  <si>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</si>
  <si>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</si>
  <si>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</si>
  <si>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</si>
  <si>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</si>
  <si>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</si>
  <si>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</si>
  <si>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</si>
  <si>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</si>
  <si>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</si>
  <si>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</si>
  <si>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</si>
  <si>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</si>
  <si>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</si>
  <si>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</si>
  <si>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</si>
  <si>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</si>
  <si>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</si>
  <si>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</si>
  <si>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</si>
  <si>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</si>
  <si>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</si>
  <si>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</si>
  <si>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</si>
  <si>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</si>
  <si>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</si>
  <si>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</si>
  <si>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</si>
  <si>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</si>
  <si>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</si>
  <si>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</si>
  <si>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</si>
  <si>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</si>
  <si>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</si>
  <si>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</si>
  <si>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</si>
  <si>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</si>
  <si>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</si>
  <si>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</si>
  <si>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</si>
  <si>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</si>
  <si>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</si>
  <si>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</si>
  <si>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</si>
  <si>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</si>
  <si>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</si>
  <si>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</si>
  <si>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</si>
  <si>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</si>
  <si>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</si>
  <si>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</si>
  <si>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</si>
  <si>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</si>
  <si>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</si>
  <si>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</si>
  <si>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</si>
  <si>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</si>
  <si>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</si>
  <si>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</si>
  <si>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</si>
  <si>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</si>
  <si>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</si>
  <si>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</si>
  <si>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</si>
  <si>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</si>
  <si>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</si>
  <si>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</si>
  <si>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</si>
  <si>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</si>
  <si>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</si>
  <si>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</si>
  <si>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</si>
  <si>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</si>
  <si>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</si>
  <si>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</si>
  <si>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</si>
  <si>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</si>
  <si>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</si>
  <si>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</si>
  <si>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</si>
  <si>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</si>
  <si>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</si>
  <si>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</si>
  <si>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</si>
  <si>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</si>
  <si>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</si>
  <si>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</si>
  <si>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</si>
  <si>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</si>
  <si>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</si>
  <si>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</si>
  <si>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</si>
  <si>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</si>
  <si>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</si>
  <si>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</si>
  <si>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</si>
  <si>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</si>
  <si>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</si>
  <si>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</si>
  <si>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</si>
  <si>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</si>
  <si>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</si>
  <si>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</si>
  <si>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</si>
  <si>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</si>
  <si>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</si>
  <si>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</si>
  <si>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</si>
  <si>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</si>
  <si>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</si>
  <si>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</si>
  <si>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</si>
  <si>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</si>
  <si>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</si>
  <si>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</si>
  <si>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</si>
  <si>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</si>
  <si>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</si>
  <si>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</si>
  <si>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</si>
  <si>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</si>
  <si>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</si>
  <si>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</si>
  <si>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</si>
  <si>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</si>
  <si>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</si>
  <si>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</si>
  <si>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</si>
  <si>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</si>
  <si>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</si>
  <si>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</si>
  <si>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</si>
  <si>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</si>
  <si>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</si>
  <si>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</si>
  <si>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</si>
  <si>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</si>
  <si>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</si>
  <si>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</si>
  <si>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</si>
  <si>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</si>
  <si>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</si>
  <si>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</si>
  <si>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</si>
  <si>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</si>
  <si>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</si>
  <si>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</si>
  <si>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</si>
  <si>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</si>
  <si>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</si>
  <si>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</si>
  <si>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</si>
  <si>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</si>
  <si>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</si>
  <si>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</si>
  <si>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</si>
  <si>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</si>
  <si>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</si>
  <si>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</si>
  <si>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</si>
  <si>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</si>
  <si>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</si>
  <si>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</si>
  <si>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</si>
  <si>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</si>
  <si>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</si>
  <si>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</si>
  <si>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</si>
  <si>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</si>
  <si>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</si>
  <si>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</si>
  <si>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</si>
  <si>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</si>
  <si>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</si>
  <si>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</si>
  <si>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</si>
  <si>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</si>
  <si>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</si>
  <si>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</si>
  <si>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</si>
  <si>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</si>
  <si>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</si>
  <si>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</si>
  <si>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</si>
  <si>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</si>
  <si>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</si>
  <si>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</si>
  <si>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</si>
  <si>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</si>
  <si>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</si>
  <si>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</si>
  <si>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</si>
  <si>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</si>
  <si>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</si>
  <si>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</si>
  <si>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</si>
  <si>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</si>
  <si>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</si>
  <si>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</si>
  <si>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</si>
  <si>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</si>
  <si>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</si>
  <si>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</si>
  <si>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</si>
  <si>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</si>
  <si>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</si>
  <si>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</si>
  <si>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</si>
  <si>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</si>
  <si>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</si>
  <si>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</si>
  <si>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</si>
  <si>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</si>
  <si>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</si>
  <si>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</si>
  <si>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</si>
  <si>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</si>
  <si>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</si>
  <si>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</si>
  <si>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</si>
  <si>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</si>
  <si>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</si>
  <si>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</si>
  <si>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</si>
  <si>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</si>
  <si>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</si>
  <si>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</si>
  <si>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</si>
  <si>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</si>
  <si>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</si>
  <si>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</si>
  <si>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</si>
  <si>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</si>
  <si>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</si>
  <si>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</si>
  <si>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</si>
  <si>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</si>
  <si>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</si>
  <si>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</si>
  <si>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</si>
  <si>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</si>
  <si>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</si>
  <si>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</si>
  <si>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</si>
  <si>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</si>
  <si>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</si>
  <si>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</si>
  <si>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</si>
  <si>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</si>
  <si>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</si>
  <si>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</si>
  <si>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</si>
  <si>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</si>
  <si>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</si>
  <si>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</si>
  <si>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</si>
  <si>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</si>
  <si>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</si>
  <si>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</si>
  <si>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</si>
  <si>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</si>
  <si>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</si>
  <si>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</si>
  <si>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</si>
  <si>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</si>
  <si>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</si>
  <si>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</si>
  <si>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</si>
  <si>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</si>
  <si>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</si>
  <si>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</si>
  <si>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</si>
  <si>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</si>
  <si>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</si>
  <si>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</si>
  <si>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</si>
  <si>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</si>
  <si>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</si>
  <si>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</si>
  <si>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</si>
  <si>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</si>
  <si>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</si>
  <si>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</si>
  <si>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</si>
  <si>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</si>
  <si>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</si>
  <si>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</si>
  <si>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</si>
  <si>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</si>
  <si>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</si>
  <si>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</si>
  <si>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</si>
  <si>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</si>
  <si>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</si>
  <si>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</si>
  <si>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</si>
  <si>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</si>
  <si>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</si>
  <si>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</si>
  <si>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</si>
  <si>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</si>
  <si>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</si>
  <si>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</si>
  <si>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</si>
  <si>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</si>
  <si>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</si>
  <si>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</si>
  <si>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</si>
  <si>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</si>
  <si>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</si>
  <si>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</si>
  <si>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</si>
  <si>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</si>
  <si>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</si>
  <si>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</si>
  <si>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</si>
  <si>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</si>
  <si>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</si>
  <si>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</si>
  <si>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</si>
  <si>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</si>
  <si>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</si>
  <si>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</si>
  <si>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</si>
  <si>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</si>
  <si>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</si>
  <si>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</si>
  <si>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</si>
  <si>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</si>
  <si>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</si>
  <si>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</si>
  <si>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</si>
  <si>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</si>
  <si>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</si>
  <si>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</si>
  <si>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</si>
  <si>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</si>
  <si>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</si>
  <si>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</si>
  <si>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</si>
  <si>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</si>
  <si>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</si>
  <si>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</si>
  <si>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</si>
  <si>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</si>
  <si>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</si>
  <si>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</si>
  <si>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</si>
  <si>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</si>
  <si>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</si>
  <si>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</si>
  <si>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</si>
  <si>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</si>
  <si>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</si>
  <si>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</si>
  <si>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</si>
  <si>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</si>
  <si>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</si>
  <si>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</si>
  <si>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</si>
  <si>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</si>
  <si>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</si>
  <si>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</si>
  <si>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</si>
  <si>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</si>
  <si>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</si>
  <si>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</si>
  <si>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</si>
  <si>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</si>
  <si>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</si>
  <si>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</si>
  <si>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</si>
  <si>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</si>
  <si>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</si>
  <si>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</si>
  <si>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</si>
  <si>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</si>
  <si>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</si>
  <si>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</si>
  <si>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</si>
  <si>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</si>
  <si>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</si>
  <si>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</si>
  <si>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</si>
  <si>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</si>
  <si>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</si>
  <si>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</si>
  <si>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</si>
  <si>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</si>
  <si>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</si>
  <si>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</si>
  <si>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</si>
  <si>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</si>
  <si>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</si>
  <si>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</si>
  <si>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</si>
  <si>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</si>
  <si>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</si>
  <si>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</si>
  <si>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</si>
  <si>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</si>
  <si>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</si>
  <si>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</si>
  <si>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</si>
  <si>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</si>
  <si>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</si>
  <si>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</si>
  <si>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</si>
  <si>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</si>
  <si>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</si>
  <si>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</si>
  <si>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</si>
  <si>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</si>
  <si>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</si>
  <si>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</si>
  <si>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</si>
  <si>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</si>
  <si>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</si>
  <si>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</si>
  <si>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</si>
  <si>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</si>
  <si>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</si>
  <si>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</si>
  <si>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</si>
  <si>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</si>
  <si>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</si>
  <si>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</si>
  <si>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</si>
  <si>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</si>
  <si>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</si>
  <si>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</si>
  <si>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</si>
  <si>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</si>
  <si>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</si>
  <si>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</si>
  <si>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</si>
  <si>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</si>
  <si>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</si>
  <si>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</si>
  <si>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</si>
  <si>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</si>
  <si>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</si>
  <si>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</si>
  <si>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</si>
  <si>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</si>
  <si>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</si>
  <si>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</si>
  <si>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</si>
  <si>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</si>
  <si>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</si>
  <si>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</si>
  <si>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</si>
  <si>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</si>
  <si>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</si>
  <si>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</si>
  <si>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</si>
  <si>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</si>
  <si>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</si>
  <si>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</si>
  <si>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</si>
  <si>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</si>
  <si>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</si>
  <si>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</si>
  <si>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</si>
  <si>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</si>
  <si>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</si>
  <si>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</si>
  <si>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</si>
  <si>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</si>
  <si>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</si>
  <si>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</si>
  <si>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</si>
  <si>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</si>
  <si>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</si>
  <si>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</si>
  <si>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</si>
  <si>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</si>
  <si>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</si>
  <si>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</si>
  <si>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</si>
  <si>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</si>
  <si>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</si>
  <si>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</si>
  <si>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</si>
  <si>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</si>
  <si>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</si>
  <si>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</si>
  <si>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</si>
  <si>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</si>
  <si>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</si>
  <si>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</si>
  <si>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</si>
  <si>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</si>
  <si>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</si>
  <si>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</si>
  <si>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</si>
  <si>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</si>
  <si>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</si>
  <si>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</si>
  <si>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</si>
  <si>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</si>
  <si>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</si>
  <si>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</si>
  <si>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</si>
  <si>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</si>
  <si>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</si>
  <si>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</si>
  <si>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</si>
  <si>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</si>
  <si>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</si>
  <si>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</si>
  <si>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</si>
  <si>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</si>
  <si>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</si>
  <si>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</si>
  <si>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</si>
  <si>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</si>
  <si>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</si>
  <si>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</si>
  <si>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</si>
  <si>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</si>
  <si>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</si>
  <si>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</si>
  <si>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</si>
  <si>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</si>
  <si>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</si>
  <si>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</si>
  <si>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</si>
  <si>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</si>
  <si>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</si>
  <si>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</si>
  <si>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</si>
  <si>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</si>
  <si>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</si>
  <si>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</si>
  <si>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</si>
  <si>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</si>
  <si>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</si>
  <si>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</si>
  <si>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</si>
  <si>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</si>
  <si>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</si>
  <si>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</si>
  <si>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</si>
  <si>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</si>
  <si>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</si>
  <si>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</si>
  <si>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</si>
  <si>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</si>
  <si>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</si>
  <si>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</si>
  <si>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</si>
  <si>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</si>
  <si>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</si>
  <si>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</si>
  <si>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</si>
  <si>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</si>
  <si>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</si>
  <si>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</si>
  <si>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</si>
  <si>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</si>
  <si>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</si>
  <si>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</si>
  <si>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</si>
  <si>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</si>
  <si>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</si>
  <si>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</si>
  <si>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</si>
  <si>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</si>
  <si>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</si>
  <si>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</si>
  <si>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</si>
  <si>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</si>
  <si>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</si>
  <si>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</si>
  <si>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</si>
  <si>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</si>
  <si>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</si>
  <si>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</si>
  <si>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</si>
  <si>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</si>
  <si>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</si>
  <si>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</si>
  <si>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</si>
  <si>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</si>
  <si>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</si>
  <si>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</si>
  <si>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</si>
  <si>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</si>
  <si>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</si>
  <si>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</si>
  <si>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</si>
  <si>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</si>
  <si>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</si>
  <si>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</si>
  <si>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</si>
  <si>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</si>
  <si>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</si>
  <si>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</si>
  <si>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</si>
  <si>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</si>
  <si>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</si>
  <si>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</si>
  <si>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</si>
  <si>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</si>
  <si>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</si>
  <si>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</si>
  <si>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</si>
  <si>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</si>
  <si>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</si>
  <si>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</si>
  <si>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</si>
  <si>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</si>
  <si>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</si>
  <si>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</si>
  <si>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</si>
  <si>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</si>
  <si>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</si>
  <si>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</si>
  <si>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</si>
  <si>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</si>
  <si>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</si>
  <si>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</si>
  <si>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</si>
  <si>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</si>
  <si>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</si>
  <si>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</si>
  <si>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</si>
  <si>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</si>
  <si>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</si>
  <si>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</si>
  <si>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</si>
  <si>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</si>
  <si>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</si>
  <si>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</si>
  <si>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</si>
  <si>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</si>
  <si>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</si>
  <si>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</si>
  <si>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</si>
  <si>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</si>
  <si>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</si>
  <si>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</si>
  <si>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</si>
  <si>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</si>
  <si>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</si>
  <si>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</si>
  <si>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</si>
  <si>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</si>
  <si>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</si>
  <si>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</si>
  <si>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</si>
  <si>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</si>
  <si>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</si>
  <si>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</si>
  <si>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</si>
  <si>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</si>
  <si>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</si>
  <si>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</si>
  <si>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</si>
  <si>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</si>
  <si>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</si>
  <si>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</si>
  <si>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</si>
  <si>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</si>
  <si>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</si>
  <si>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</si>
  <si>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</si>
  <si>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</si>
  <si>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</si>
  <si>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</si>
  <si>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</si>
  <si>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</si>
  <si>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</si>
  <si>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</si>
  <si>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</si>
  <si>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</si>
  <si>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</si>
  <si>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</si>
  <si>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</si>
  <si>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</si>
  <si>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</si>
  <si>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</si>
  <si>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</si>
  <si>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</si>
  <si>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</si>
  <si>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</si>
  <si>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</si>
  <si>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</si>
  <si>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</si>
  <si>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</si>
  <si>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</si>
  <si>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</si>
  <si>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</si>
  <si>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</si>
  <si>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</si>
  <si>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</si>
  <si>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</si>
  <si>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</si>
  <si>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</si>
  <si>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</si>
  <si>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</si>
  <si>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</si>
  <si>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</si>
  <si>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</si>
  <si>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</si>
  <si>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</si>
  <si>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</si>
  <si>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</si>
  <si>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</si>
  <si>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</si>
  <si>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</si>
  <si>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</si>
  <si>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</si>
  <si>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</si>
  <si>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</si>
  <si>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</si>
  <si>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</si>
  <si>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</si>
  <si>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</si>
  <si>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</si>
  <si>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</si>
  <si>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</si>
  <si>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</si>
  <si>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</si>
  <si>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</si>
  <si>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</si>
  <si>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</si>
  <si>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</si>
  <si>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</si>
  <si>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</si>
  <si>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</si>
  <si>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</si>
  <si>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</si>
  <si>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</si>
  <si>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</si>
  <si>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</si>
  <si>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</si>
  <si>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</si>
  <si>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</si>
  <si>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</si>
  <si>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</si>
  <si>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</si>
  <si>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</si>
  <si>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</si>
  <si>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</si>
  <si>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</si>
  <si>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</si>
  <si>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</si>
  <si>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</si>
  <si>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</si>
  <si>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</si>
  <si>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</si>
  <si>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</si>
  <si>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</si>
  <si>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</si>
  <si>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</si>
  <si>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</si>
  <si>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</si>
  <si>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</si>
  <si>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</si>
  <si>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</si>
  <si>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</si>
  <si>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</si>
  <si>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</si>
  <si>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</si>
  <si>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</si>
  <si>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</si>
  <si>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</si>
  <si>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</si>
  <si>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</si>
  <si>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</si>
  <si>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</si>
  <si>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</si>
  <si>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</si>
  <si>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</si>
  <si>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</si>
  <si>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</si>
  <si>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</si>
  <si>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</si>
  <si>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</si>
  <si>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</si>
  <si>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</si>
  <si>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</si>
  <si>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</si>
  <si>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</si>
  <si>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</si>
  <si>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</si>
  <si>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</si>
  <si>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</si>
  <si>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</si>
  <si>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</si>
  <si>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</si>
  <si>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</si>
  <si>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</si>
  <si>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</si>
  <si>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</si>
  <si>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</si>
  <si>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</si>
  <si>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</si>
  <si>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</si>
  <si>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</si>
  <si>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</si>
  <si>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</si>
  <si>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</si>
  <si>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</si>
  <si>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</si>
  <si>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</si>
  <si>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</si>
  <si>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</si>
  <si>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</si>
  <si>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</si>
  <si>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</si>
  <si>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</si>
  <si>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</si>
  <si>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</si>
  <si>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</si>
  <si>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</si>
  <si>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</si>
  <si>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</si>
  <si>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</si>
  <si>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</si>
  <si>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</si>
  <si>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</si>
  <si>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</si>
  <si>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</si>
  <si>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</si>
  <si>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</si>
  <si>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</si>
  <si>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</si>
  <si>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</si>
  <si>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</si>
  <si>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</si>
  <si>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</si>
  <si>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</si>
  <si>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</si>
  <si>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</si>
  <si>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</si>
  <si>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</si>
  <si>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</si>
  <si>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</si>
  <si>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</si>
  <si>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</si>
  <si>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</si>
  <si>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</si>
  <si>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</si>
  <si>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</si>
  <si>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</si>
  <si>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</si>
  <si>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</si>
  <si>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</si>
  <si>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</si>
  <si>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</si>
  <si>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</si>
  <si>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</si>
  <si>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</si>
  <si>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</si>
  <si>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</si>
  <si>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</si>
  <si>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</si>
  <si>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</si>
  <si>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</si>
  <si>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</si>
  <si>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</si>
  <si>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</si>
  <si>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</si>
  <si>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</si>
  <si>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</si>
  <si>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</si>
  <si>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</si>
  <si>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</si>
  <si>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</si>
  <si>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</si>
  <si>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</si>
  <si>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</si>
  <si>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</si>
  <si>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</si>
  <si>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</si>
  <si>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</si>
  <si>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</si>
  <si>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</si>
  <si>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</si>
  <si>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</si>
  <si>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</si>
  <si>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</si>
  <si>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</si>
  <si>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</si>
  <si>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</si>
  <si>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</si>
  <si>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</si>
  <si>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</si>
  <si>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</si>
  <si>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</si>
  <si>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</si>
  <si>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</si>
  <si>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</si>
  <si>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</si>
  <si>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</si>
  <si>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</si>
  <si>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</si>
  <si>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</si>
  <si>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</si>
  <si>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</si>
  <si>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</si>
  <si>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</si>
  <si>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</si>
  <si>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</si>
  <si>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</si>
  <si>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</si>
  <si>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</si>
  <si>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</si>
  <si>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</si>
  <si>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</si>
  <si>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</si>
  <si>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</si>
  <si>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</si>
  <si>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</si>
  <si>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</si>
  <si>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</si>
  <si>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</si>
  <si>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</si>
  <si>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</si>
  <si>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</si>
  <si>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</si>
  <si>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</si>
  <si>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</si>
  <si>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</si>
  <si>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</si>
  <si>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</si>
  <si>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</si>
  <si>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</si>
  <si>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</si>
  <si>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</si>
  <si>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</si>
  <si>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</si>
  <si>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</si>
  <si>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</si>
  <si>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</si>
  <si>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</si>
  <si>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</si>
  <si>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</si>
  <si>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</si>
  <si>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</si>
  <si>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</si>
  <si>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</si>
  <si>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</si>
  <si>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</si>
  <si>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</si>
  <si>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</si>
  <si>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</si>
  <si>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</si>
  <si>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</si>
  <si>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</si>
  <si>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</si>
  <si>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</si>
  <si>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</si>
  <si>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</si>
  <si>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</si>
  <si>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</si>
  <si>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</si>
  <si>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</si>
  <si>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</si>
  <si>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</si>
  <si>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</si>
  <si>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</si>
  <si>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</si>
  <si>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</si>
  <si>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</si>
  <si>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</si>
  <si>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</si>
  <si>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</si>
  <si>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</si>
  <si>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</si>
  <si>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</si>
  <si>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</si>
  <si>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</si>
  <si>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</si>
  <si>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</si>
  <si>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</si>
  <si>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</si>
  <si>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</si>
  <si>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</si>
  <si>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</si>
  <si>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</si>
  <si>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</si>
  <si>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</si>
  <si>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</si>
  <si>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</si>
  <si>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</si>
  <si>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</si>
  <si>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</si>
  <si>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</si>
  <si>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</si>
  <si>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</si>
  <si>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</si>
  <si>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</si>
  <si>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</si>
  <si>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</si>
  <si>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</si>
  <si>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</si>
  <si>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</si>
  <si>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</si>
  <si>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</si>
  <si>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</si>
  <si>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</si>
  <si>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</si>
  <si>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</si>
  <si>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</si>
  <si>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</si>
  <si>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</si>
  <si>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</si>
  <si>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</si>
  <si>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</si>
  <si>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</si>
  <si>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</si>
  <si>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</si>
  <si>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</si>
  <si>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</si>
  <si>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</si>
  <si>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</si>
  <si>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</si>
  <si>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</si>
  <si>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</si>
  <si>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</si>
  <si>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</si>
  <si>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</si>
  <si>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</si>
  <si>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</si>
  <si>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</si>
  <si>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</si>
  <si>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</si>
  <si>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</si>
  <si>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</si>
  <si>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</si>
  <si>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</si>
  <si>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</si>
  <si>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</si>
  <si>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</si>
  <si>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</si>
  <si>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</si>
  <si>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</si>
  <si>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</si>
  <si>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</si>
  <si>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</si>
  <si>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</si>
  <si>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Are Federal Expenditures greater than $750,000? (1 YES, 2 NO)</t>
  </si>
  <si>
    <t>Is all Single Audit Information completed and attached? (1 YES, 2 NO)</t>
  </si>
  <si>
    <t>*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</si>
  <si>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</si>
  <si>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</si>
  <si>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</si>
  <si>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</si>
  <si>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</si>
  <si>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</si>
  <si>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</si>
  <si>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</si>
  <si>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</si>
  <si>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</si>
  <si>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</si>
  <si>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</si>
  <si>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</si>
  <si>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</si>
  <si>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</si>
  <si>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</si>
  <si>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</si>
  <si>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</si>
  <si>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</si>
  <si>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</si>
  <si>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</si>
  <si>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</si>
  <si>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</si>
  <si>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</si>
  <si>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</si>
  <si>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</si>
  <si>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</si>
  <si>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</si>
  <si>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</si>
  <si>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</si>
  <si>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</si>
  <si>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</si>
  <si>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</si>
  <si>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</si>
  <si>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</si>
  <si>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</si>
  <si>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</si>
  <si>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</si>
  <si>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</si>
  <si>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</si>
  <si>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</si>
  <si>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</si>
  <si>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</si>
  <si>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</si>
  <si>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</si>
  <si>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</si>
  <si>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</si>
  <si>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</si>
  <si>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</si>
  <si>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</si>
  <si>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</si>
  <si>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</si>
  <si>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</si>
  <si>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</si>
  <si>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</si>
  <si>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</si>
  <si>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</si>
  <si>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</si>
  <si>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</si>
  <si>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</si>
  <si>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</si>
  <si>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</si>
  <si>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</si>
  <si>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</si>
  <si>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</si>
  <si>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</si>
  <si>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</si>
  <si>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</si>
  <si>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</si>
  <si>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</si>
  <si>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</si>
  <si>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</si>
  <si>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</si>
  <si>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</si>
  <si>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</si>
  <si>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</si>
  <si>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</si>
  <si>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</si>
  <si>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</si>
  <si>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</si>
  <si>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</si>
  <si>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</si>
  <si>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</si>
  <si>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</si>
  <si>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</si>
  <si>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</si>
  <si>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</si>
  <si>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</si>
  <si>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</si>
  <si>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</si>
  <si>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</si>
  <si>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</si>
  <si>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</si>
  <si>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</si>
  <si>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</si>
  <si>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</si>
  <si>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</si>
  <si>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</si>
  <si>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</si>
  <si>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</si>
  <si>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</si>
  <si>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</si>
  <si>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</si>
  <si>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</si>
  <si>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</si>
  <si>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</si>
  <si>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</si>
  <si>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</si>
  <si>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</si>
  <si>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</si>
  <si>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</si>
  <si>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</si>
  <si>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</si>
  <si>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</si>
  <si>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</si>
  <si>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</si>
  <si>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</si>
  <si>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</si>
  <si>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</si>
  <si>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</si>
  <si>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</si>
  <si>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</si>
  <si>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</si>
  <si>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</si>
  <si>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</si>
  <si>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</si>
  <si>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</si>
  <si>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</si>
  <si>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</si>
  <si>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</si>
  <si>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</si>
  <si>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</si>
  <si>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</si>
  <si>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</si>
  <si>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</si>
  <si>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</si>
  <si>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</si>
  <si>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</si>
  <si>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</si>
  <si>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</si>
  <si>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</si>
  <si>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</si>
  <si>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</si>
  <si>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</si>
  <si>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</si>
  <si>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</si>
  <si>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</si>
  <si>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</si>
  <si>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</si>
  <si>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</si>
  <si>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</si>
  <si>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</si>
  <si>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</si>
  <si>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</si>
  <si>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</si>
  <si>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</si>
  <si>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</si>
  <si>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</si>
  <si>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</si>
  <si>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</si>
  <si>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</si>
  <si>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</si>
  <si>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</si>
  <si>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</si>
  <si>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</si>
  <si>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</si>
  <si>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</si>
  <si>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</si>
  <si>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</si>
  <si>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</si>
  <si>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</si>
  <si>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</si>
  <si>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</si>
  <si>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</si>
  <si>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</si>
  <si>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</si>
  <si>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</si>
  <si>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</si>
  <si>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</si>
  <si>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</si>
  <si>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</si>
  <si>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</si>
  <si>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</si>
  <si>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</si>
  <si>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</si>
  <si>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</si>
  <si>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</si>
  <si>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</si>
  <si>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</si>
  <si>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</si>
  <si>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</si>
  <si>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</si>
  <si>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</si>
  <si>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</si>
  <si>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</si>
  <si>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</si>
  <si>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</si>
  <si>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</si>
  <si>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</si>
  <si>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</si>
  <si>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</si>
  <si>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</si>
  <si>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</si>
  <si>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</si>
  <si>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</si>
  <si>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</si>
  <si>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</si>
  <si>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</si>
  <si>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</si>
  <si>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</si>
  <si>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</si>
  <si>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</si>
  <si>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</si>
  <si>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</si>
  <si>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</si>
  <si>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</si>
  <si>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</si>
  <si>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</si>
  <si>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</si>
  <si>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</si>
  <si>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</si>
  <si>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</si>
  <si>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</si>
  <si>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</si>
  <si>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</si>
  <si>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</si>
  <si>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</si>
  <si>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</si>
  <si>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</si>
  <si>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</si>
  <si>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</si>
  <si>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</si>
  <si>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</si>
  <si>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</si>
  <si>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</si>
  <si>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</si>
  <si>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</si>
  <si>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</si>
  <si>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</si>
  <si>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</si>
  <si>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</si>
  <si>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</si>
  <si>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</si>
  <si>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</si>
  <si>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</si>
  <si>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</si>
  <si>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</si>
  <si>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</si>
  <si>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</si>
  <si>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</si>
  <si>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</si>
  <si>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</si>
  <si>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</si>
  <si>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</si>
  <si>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</si>
  <si>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</si>
  <si>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</si>
  <si>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</si>
  <si>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</si>
  <si>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</si>
  <si>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</si>
  <si>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</si>
  <si>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</si>
  <si>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</si>
  <si>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</si>
  <si>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</si>
  <si>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</si>
  <si>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</si>
  <si>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</si>
  <si>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</si>
  <si>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</si>
  <si>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</si>
  <si>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</si>
  <si>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</si>
  <si>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</si>
  <si>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</si>
  <si>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</si>
  <si>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</si>
  <si>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</si>
  <si>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</si>
  <si>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</si>
  <si>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</si>
  <si>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</si>
  <si>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</si>
  <si>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</si>
  <si>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</si>
  <si>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</si>
  <si>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</si>
  <si>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</si>
  <si>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</si>
  <si>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</si>
  <si>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</si>
  <si>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</si>
  <si>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</si>
  <si>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</si>
  <si>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</si>
  <si>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</si>
  <si>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</si>
  <si>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</si>
  <si>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</si>
  <si>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</si>
  <si>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</si>
  <si>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</si>
  <si>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</si>
  <si>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</si>
  <si>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</si>
  <si>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</si>
  <si>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</si>
  <si>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</si>
  <si>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</si>
  <si>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</si>
  <si>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</si>
  <si>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</si>
  <si>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</si>
  <si>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</si>
  <si>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</si>
  <si>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</si>
  <si>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</si>
  <si>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</si>
  <si>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</si>
  <si>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</si>
  <si>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</si>
  <si>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</si>
  <si>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</si>
  <si>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</si>
  <si>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</si>
  <si>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</si>
  <si>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</si>
  <si>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</si>
  <si>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</si>
  <si>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</si>
  <si>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</si>
  <si>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</si>
  <si>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</si>
  <si>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</si>
  <si>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</si>
  <si>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</si>
  <si>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</si>
  <si>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</si>
  <si>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</si>
  <si>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</si>
  <si>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</si>
  <si>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</si>
  <si>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</si>
  <si>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</si>
  <si>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</si>
  <si>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</si>
  <si>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</si>
  <si>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</si>
  <si>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</si>
  <si>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</si>
  <si>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</si>
  <si>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</si>
  <si>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</si>
  <si>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</si>
  <si>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</si>
  <si>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</si>
  <si>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</si>
  <si>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</si>
  <si>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</si>
  <si>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</si>
  <si>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</si>
  <si>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</si>
  <si>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</si>
  <si>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</si>
  <si>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</si>
  <si>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</si>
  <si>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</si>
  <si>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</si>
  <si>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</si>
  <si>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</si>
  <si>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</si>
  <si>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</si>
  <si>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</si>
  <si>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</si>
  <si>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</si>
  <si>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</si>
  <si>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</si>
  <si>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</si>
  <si>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</si>
  <si>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</si>
  <si>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</si>
  <si>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</si>
  <si>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</si>
  <si>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</si>
  <si>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</si>
  <si>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</si>
  <si>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</si>
  <si>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</si>
  <si>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</si>
  <si>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</si>
  <si>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</si>
  <si>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</si>
  <si>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</si>
  <si>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</si>
  <si>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</si>
  <si>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</si>
  <si>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</si>
  <si>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</si>
  <si>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</si>
  <si>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</si>
  <si>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</si>
  <si>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</si>
  <si>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</si>
  <si>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</si>
  <si>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</si>
  <si>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</si>
  <si>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</si>
  <si>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</si>
  <si>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</si>
  <si>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</si>
  <si>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</si>
  <si>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</si>
  <si>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</si>
  <si>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</si>
  <si>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</si>
  <si>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</si>
  <si>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</si>
  <si>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</si>
  <si>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</si>
  <si>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</si>
  <si>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</si>
  <si>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</si>
  <si>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</si>
  <si>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</si>
  <si>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</si>
  <si>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</si>
  <si>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</si>
  <si>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</si>
  <si>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</si>
  <si>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</si>
  <si>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</si>
  <si>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</si>
  <si>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</si>
  <si>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</si>
  <si>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</si>
  <si>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</si>
  <si>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</si>
  <si>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</si>
  <si>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</si>
  <si>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</si>
  <si>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</si>
  <si>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</si>
  <si>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</si>
  <si>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</si>
  <si>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</si>
  <si>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</si>
  <si>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</si>
  <si>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</si>
  <si>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</si>
  <si>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</si>
  <si>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</si>
  <si>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</si>
  <si>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</si>
  <si>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</si>
  <si>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</si>
  <si>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</si>
  <si>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</si>
  <si>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</si>
  <si>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</si>
  <si>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</si>
  <si>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</si>
  <si>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</si>
  <si>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</si>
  <si>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</si>
  <si>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</si>
  <si>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</si>
  <si>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</si>
  <si>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</si>
  <si>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</si>
  <si>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</si>
  <si>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</si>
  <si>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</si>
  <si>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</si>
  <si>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</si>
  <si>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</si>
  <si>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</si>
  <si>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</si>
  <si>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</si>
  <si>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</si>
  <si>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</si>
  <si>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</si>
  <si>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</si>
  <si>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</si>
  <si>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</si>
  <si>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</si>
  <si>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</si>
  <si>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</si>
  <si>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</si>
  <si>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</si>
  <si>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</si>
  <si>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</si>
  <si>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</si>
  <si>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</si>
  <si>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</si>
  <si>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</si>
  <si>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</si>
  <si>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</si>
  <si>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</si>
  <si>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</si>
  <si>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</si>
  <si>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</si>
  <si>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</si>
  <si>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</si>
  <si>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</si>
  <si>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</si>
  <si>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</si>
  <si>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EDER, CASELLA &amp; CO.</t>
  </si>
  <si>
    <t>5400 WEST ELM STREET, SUITE 203</t>
  </si>
  <si>
    <t>MCHENRY</t>
  </si>
  <si>
    <t>IL</t>
  </si>
  <si>
    <t>815-344-1300</t>
  </si>
  <si>
    <t>815-344-1320</t>
  </si>
  <si>
    <t>066-005142</t>
  </si>
  <si>
    <t>CPAS@EDERCASELLA.COM</t>
  </si>
  <si>
    <t>U.S. Department of Agriculture Passed Through</t>
  </si>
  <si>
    <t>19-4299-00</t>
  </si>
  <si>
    <t xml:space="preserve">    Food Service Management Company:</t>
  </si>
  <si>
    <t xml:space="preserve">    Illinois State Board of Education:</t>
  </si>
  <si>
    <t>Subtotal CFDA "10"</t>
  </si>
  <si>
    <t>18-4210-00</t>
  </si>
  <si>
    <t>18-4220-00</t>
  </si>
  <si>
    <t>19-4210-00</t>
  </si>
  <si>
    <t>19-4220-00</t>
  </si>
  <si>
    <t>N/A</t>
  </si>
  <si>
    <t>Total Child Nutrition Cluster</t>
  </si>
  <si>
    <t>U.S. Department of Education Passed Through</t>
  </si>
  <si>
    <t>Total Special Education Cluster</t>
  </si>
  <si>
    <t>18-4600-00</t>
  </si>
  <si>
    <t>19-4600-00</t>
  </si>
  <si>
    <t>18-4620-00</t>
  </si>
  <si>
    <t>19-4620-00</t>
  </si>
  <si>
    <t xml:space="preserve">        Title IVA - Student Support &amp; Academic Enrichment (1)</t>
  </si>
  <si>
    <t xml:space="preserve">        Title III - Immigrant Education Program (1)</t>
  </si>
  <si>
    <t xml:space="preserve">        Title III - LIPLEP (1)</t>
  </si>
  <si>
    <t>Subtotal CFDA "84"</t>
  </si>
  <si>
    <t>U.S. Department of Health &amp; Human Services</t>
  </si>
  <si>
    <t xml:space="preserve">    Passed Through Illinois Department of </t>
  </si>
  <si>
    <t xml:space="preserve">    Healthcare &amp; Family Services</t>
  </si>
  <si>
    <t xml:space="preserve">        Medicaid Administrative Outreach</t>
  </si>
  <si>
    <t>Subtotal CFDA "93"</t>
  </si>
  <si>
    <t>Total Federal Assistance</t>
  </si>
  <si>
    <t>(1) Project year-end is 8/31</t>
  </si>
  <si>
    <t>(2) Project year-end is 9/30</t>
  </si>
  <si>
    <t>18-4991-00</t>
  </si>
  <si>
    <t>19-4991-00</t>
  </si>
  <si>
    <t xml:space="preserve">        Title II - Teacher Quality (1)</t>
  </si>
  <si>
    <t>18-4905-00</t>
  </si>
  <si>
    <t>19-4905-00</t>
  </si>
  <si>
    <t>18-4909-00</t>
  </si>
  <si>
    <t>19-4909-00</t>
  </si>
  <si>
    <t>18-4932-00</t>
  </si>
  <si>
    <t>19-4932-00</t>
  </si>
  <si>
    <t>18-4300-00</t>
  </si>
  <si>
    <t>19-4300-00</t>
  </si>
  <si>
    <t>18-4400-00</t>
  </si>
  <si>
    <t>19-4400-00</t>
  </si>
  <si>
    <t>19-4331-19</t>
  </si>
  <si>
    <t xml:space="preserve">        Food Donations Program (M)</t>
  </si>
  <si>
    <t xml:space="preserve">        National School Lunch Program (2) (M)</t>
  </si>
  <si>
    <t xml:space="preserve">        School Breakfast Program (2) (M)</t>
  </si>
  <si>
    <t xml:space="preserve">        Title I - Low Income (1) (M)</t>
  </si>
  <si>
    <t xml:space="preserve">        Title I -  School Improvement &amp; Accountability (1) (M)</t>
  </si>
  <si>
    <t xml:space="preserve">        Special Education - Preschool Grants (M)</t>
  </si>
  <si>
    <t xml:space="preserve">        Special Education - Grants to States (M)</t>
  </si>
  <si>
    <t>Rounding</t>
  </si>
  <si>
    <t>06-016-0990-02</t>
  </si>
  <si>
    <t>COOK</t>
  </si>
  <si>
    <t>X</t>
  </si>
  <si>
    <t>5110 WEST 24TH STREET</t>
  </si>
  <si>
    <t>CICERO</t>
  </si>
  <si>
    <t>KEVIN SMITH</t>
  </si>
  <si>
    <t>Page 10, Line 92 - Other Textbook Income</t>
  </si>
  <si>
    <t>Lost Book Money</t>
  </si>
  <si>
    <t>Page 15, Line 41 - Other Support Services - Pupils</t>
  </si>
  <si>
    <t>Occupational &amp; Physical Therapists, Crossing Guards Salaries and Benefits</t>
  </si>
  <si>
    <t>Page 16, Line 73 - Other Support Services</t>
  </si>
  <si>
    <t>Page 16, Line 83 - Other Payments to In-State Govt. Units</t>
  </si>
  <si>
    <t>Refund of Grant Monies to ISBE</t>
  </si>
  <si>
    <t>Page 18, Line 171 - Debt Services - Other</t>
  </si>
  <si>
    <t>Bond Fees</t>
  </si>
  <si>
    <t>Page 19, Line 237 - Other Support Services - Pupils</t>
  </si>
  <si>
    <t>Board Share of IMRF, FICA, and Medicare Expenses</t>
  </si>
  <si>
    <t xml:space="preserve">Reimbursements, Usage Fees, and Miscellaneous Revenue </t>
  </si>
  <si>
    <t>Page 12, Line 168 - Other Restricted Revenue from State Sources</t>
  </si>
  <si>
    <t>State Library Grant</t>
  </si>
  <si>
    <t xml:space="preserve">Title I Related Items </t>
  </si>
  <si>
    <t>Page 20, Line 278 - Other Support Services</t>
  </si>
  <si>
    <t>Miscellaneous IMRF, FICA, and Medicare Expenses</t>
  </si>
  <si>
    <t>Page 8, Line 80 - Other Changes in Fund Balances - Increases (Decreases)</t>
  </si>
  <si>
    <t>Fund Balance Adjustment for Prior Year Revenues Recorded in Current Year</t>
  </si>
  <si>
    <t>NONE NOTED</t>
  </si>
  <si>
    <r>
      <t xml:space="preserve">The following amounts were expended in the form of non-cash assistance by </t>
    </r>
    <r>
      <rPr>
        <b/>
        <sz val="9"/>
        <rFont val="Calibri"/>
        <family val="2"/>
        <scheme val="minor"/>
      </rPr>
      <t>Cicero Public School District No. 99</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</si>
  <si>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Cicero Public School District No. 99</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</si>
  <si>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ADVERSE</t>
  </si>
  <si>
    <t>TITLE I - LOW INCOME</t>
  </si>
  <si>
    <t>CHILD NUTRITION CLUSTER</t>
  </si>
  <si>
    <t>SPECIAL EDUCATION CLUSTER</t>
  </si>
  <si>
    <t>84.173, 84.027</t>
  </si>
  <si>
    <t>10.555, 10.553</t>
  </si>
  <si>
    <t>SCHOOL IMPROVEMENT &amp; ACCOUNTABILITY</t>
  </si>
  <si>
    <t>UNMODIFIED</t>
  </si>
  <si>
    <t>NONE</t>
  </si>
  <si>
    <t>Checks were received prior to year-end, but not deposited and recorded until after year-end.</t>
  </si>
  <si>
    <t xml:space="preserve">District is required to deposit and record checks when received to ensure revenue is recorded in the correct accounting period. </t>
  </si>
  <si>
    <t xml:space="preserve">District received various checks before 6/30/19 and held these receipts. This led to revenues being recorded in the incorrect period. </t>
  </si>
  <si>
    <t>Capital Lease</t>
  </si>
  <si>
    <t>G.O. School Bonds Series 2009A</t>
  </si>
  <si>
    <t>G.O. Limited Bonds 2009C</t>
  </si>
  <si>
    <t xml:space="preserve">G.O. Bonds </t>
  </si>
  <si>
    <t>New Kyocera Capital Lease</t>
  </si>
  <si>
    <t>ED-Support Service Pupil-Purchase Service</t>
  </si>
  <si>
    <t>10-2100-300</t>
  </si>
  <si>
    <t>ACCOUNTABLE HEALTHCARE STAFFING, INC.</t>
  </si>
  <si>
    <t>ED-Instruction-Other</t>
  </si>
  <si>
    <t>ACHIEVEMENT CENTERS, INC</t>
  </si>
  <si>
    <t>O&amp;M-Operation &amp; Main of Plants-Purchase Service</t>
  </si>
  <si>
    <t>20-2540-300</t>
  </si>
  <si>
    <t>AFFILIATED CUSTOMER SERVICE, INC.</t>
  </si>
  <si>
    <t>ED-Support Service Admin-Purchase Service</t>
  </si>
  <si>
    <t>10-2300-300</t>
  </si>
  <si>
    <t>ALFRED G. RONAN, LTD</t>
  </si>
  <si>
    <t>ALL SOURCE RECRUITING GROUP, INC.</t>
  </si>
  <si>
    <t>ED-Support Service Insructional Staff-Purchase Service</t>
  </si>
  <si>
    <t>10-2200-300</t>
  </si>
  <si>
    <t>AMERICAN INSITITUES FOR RESEARCH</t>
  </si>
  <si>
    <t>ED-Planning, Research-Purchase Service</t>
  </si>
  <si>
    <t>10-2620-300</t>
  </si>
  <si>
    <t>TR-Pupil Transportation-Purchase Service</t>
  </si>
  <si>
    <t>40-2550-300</t>
  </si>
  <si>
    <t>BANK OF AMERICA PUB CAPTL CORP</t>
  </si>
  <si>
    <t>BILINGUAL THERAPIES, INC.</t>
  </si>
  <si>
    <t>BRITTEN SCHOOL</t>
  </si>
  <si>
    <t>ED-Instruction-Purchase Service</t>
  </si>
  <si>
    <t>10-1000-300</t>
  </si>
  <si>
    <t>CARNEGIE LEARNING, INC.</t>
  </si>
  <si>
    <t>CHG ALT ED HOLDING CO. INC</t>
  </si>
  <si>
    <t>CHILD'S VOICE SCHOOL</t>
  </si>
  <si>
    <t>Ed-Food Service-Purchase Service</t>
  </si>
  <si>
    <t>10-2560-300</t>
  </si>
  <si>
    <t>COMPREHENSIVE THERAPEUTICS, LTD.</t>
  </si>
  <si>
    <t>CPI</t>
  </si>
  <si>
    <t>ED-Support Service Insructional Staff-Other</t>
  </si>
  <si>
    <t>10-2200-600</t>
  </si>
  <si>
    <t>DISCOVERY EDUCATION</t>
  </si>
  <si>
    <t>DOMO, INC.</t>
  </si>
  <si>
    <t>DON JOHNSTON INCORPORATED</t>
  </si>
  <si>
    <t>EASTER SEALS METROPOLITAN CHICAGO</t>
  </si>
  <si>
    <t>EBS HEALTHCARE</t>
  </si>
  <si>
    <t>ECRA GROUP INCORPORATED</t>
  </si>
  <si>
    <t>ED-Data Processing Service-Purchase Service</t>
  </si>
  <si>
    <t>10-2660-300</t>
  </si>
  <si>
    <t>ELLEVATION INC.</t>
  </si>
  <si>
    <t>GAMMA TEAM SECURITY, INC</t>
  </si>
  <si>
    <t>GIANT STEPS ILLINOIS, INC.</t>
  </si>
  <si>
    <t>GRAND CLASSROOM</t>
  </si>
  <si>
    <t>GRAND PRAIRIE TRANSIT</t>
  </si>
  <si>
    <t>HELPING HAND CENTER</t>
  </si>
  <si>
    <t>TF-Support Service General Ed-Purchase Servie</t>
  </si>
  <si>
    <t>80-2300-300</t>
  </si>
  <si>
    <t>ILLINOIS COUNTIES RISK MANAGEMENT TRUST</t>
  </si>
  <si>
    <t>IMAGINE LEARNING</t>
  </si>
  <si>
    <t>IXL LEARNING INC.</t>
  </si>
  <si>
    <t>ED-Community Service-Purchase Service</t>
  </si>
  <si>
    <t>10-3000-300</t>
  </si>
  <si>
    <t>JIGSAW LEARNING LLC</t>
  </si>
  <si>
    <t>JOSEPH ACADEMY AT MELROSE PARK</t>
  </si>
  <si>
    <t>JUSTINE KING</t>
  </si>
  <si>
    <t>LINGUA HEALTH LLC</t>
  </si>
  <si>
    <t>LITTLE FRIENDS CENTER FOR AUTISM, INC.</t>
  </si>
  <si>
    <t>MASTERYCONNECT, INC.</t>
  </si>
  <si>
    <t>MAXIM HEALTHCARE SERVICE, IN</t>
  </si>
  <si>
    <t>MEDISCAN, INC.</t>
  </si>
  <si>
    <t>MENTA ACADEMY HILLSIDE</t>
  </si>
  <si>
    <t>MESIROW INSURANCE SERVICES INC.</t>
  </si>
  <si>
    <t>NEW HORIZON CENTER FOR THE</t>
  </si>
  <si>
    <t>NORTHWEST EVALUATION ASSOCIATION</t>
  </si>
  <si>
    <t>PRO CARE THERAPY INC</t>
  </si>
  <si>
    <t>RAPTOR TECHNOLOGIES, LLC</t>
  </si>
  <si>
    <t>RUSH DAY SCHOOL</t>
  </si>
  <si>
    <t>S.E.A.L. SOUTH, INC.</t>
  </si>
  <si>
    <t>SCHOOLOGY INC</t>
  </si>
  <si>
    <t>SEAL OF ILLINOIS</t>
  </si>
  <si>
    <t>SHC SERVICES, INC</t>
  </si>
  <si>
    <t>SOLIANT HEALTH INC.</t>
  </si>
  <si>
    <t>SOLUTION TREE</t>
  </si>
  <si>
    <t>ST. GEORGE ORTHODOX CHURCH</t>
  </si>
  <si>
    <t>STREAMWOOD BEHAVIORAL HEALTHCARE SYSTEM</t>
  </si>
  <si>
    <t>STUDENT INSURANCE GROUP LLC</t>
  </si>
  <si>
    <t>STUDYPAD INC.</t>
  </si>
  <si>
    <t>SUNBELT STAFFING LLC</t>
  </si>
  <si>
    <t>THERAPY CARE LTD.</t>
  </si>
  <si>
    <t>THERAPY TRAVELERS</t>
  </si>
  <si>
    <t>TOBII DYNAVOX LLC</t>
  </si>
  <si>
    <t>ED-Support Service School Admin-Purchase Service</t>
  </si>
  <si>
    <t>10-2400-300</t>
  </si>
  <si>
    <t>TTS GROUP INCORPORATED</t>
  </si>
  <si>
    <t>ED-Fiscal Services-Purchase Service</t>
  </si>
  <si>
    <t>10-2520-300</t>
  </si>
  <si>
    <t>TYLER TECHNOLOGIES</t>
  </si>
  <si>
    <t>ED-Staff Services-Purchase Service</t>
  </si>
  <si>
    <t>10-2640-300</t>
  </si>
  <si>
    <t>ED-Operation &amp; Maintenance-Purchase Service</t>
  </si>
  <si>
    <t>10-2540-300</t>
  </si>
  <si>
    <t>WASTE MANAGEMENT OF ILLINOIS, INC</t>
  </si>
  <si>
    <t>Do not hold checks. Deposit checks prior to year-end.</t>
  </si>
  <si>
    <t>District has implemented procedures to ensure receipts are deposited before year-end.</t>
  </si>
  <si>
    <t>20. See Financial Statement findings in Section II of the Single Audit section of this AFR</t>
  </si>
  <si>
    <t>Page 10, Line 107 - Other Local Revenues</t>
  </si>
  <si>
    <t>Page 26, Column H - Accumulated Depreciation Beginning</t>
  </si>
  <si>
    <t xml:space="preserve">Beginning balance changed due to correction to prior year depreciation </t>
  </si>
  <si>
    <t xml:space="preserve">that was calculated incorrectly. Also changed due to project that was </t>
  </si>
  <si>
    <t>finalized in fiscal year 2017, but not capitalized and depreciated until fiscal</t>
  </si>
  <si>
    <t>year 2019.</t>
  </si>
  <si>
    <t>Eder, Casella &amp; Co.</t>
  </si>
  <si>
    <t>Of the federal expenditures presented in the schedule, Cicero Public School District No. 99 provided federal awards to subrecipients as follows:</t>
  </si>
  <si>
    <t>Misstatement of revenues between fiscal years.</t>
  </si>
  <si>
    <t>Checks were received during one fiscal year, but not recorded or deposited until the next fiscal year.</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</si>
  <si>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</si>
  <si>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</si>
  <si>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</si>
  <si>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</si>
  <si>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</si>
  <si>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</si>
  <si>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</si>
  <si>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MeriAnn Besonen</t>
  </si>
  <si>
    <t>Management Response:</t>
  </si>
  <si>
    <t>CICERO SCHOOL DISTRICT 99</t>
  </si>
  <si>
    <r>
      <t>5110 WEST 24</t>
    </r>
    <r>
      <rPr>
        <b/>
        <vertAlign val="superscript"/>
        <sz val="8"/>
        <rFont val="Arial"/>
        <family val="2"/>
      </rPr>
      <t>TH</t>
    </r>
    <r>
      <rPr>
        <b/>
        <sz val="8"/>
        <rFont val="Arial"/>
        <family val="2"/>
      </rPr>
      <t xml:space="preserve"> STREET</t>
    </r>
  </si>
  <si>
    <t>Tel. (708) 863-4856</t>
  </si>
  <si>
    <r>
      <t xml:space="preserve">    </t>
    </r>
    <r>
      <rPr>
        <b/>
        <sz val="8"/>
        <rFont val="Arial"/>
        <family val="2"/>
      </rPr>
      <t>CICERO, ILLINOIS 60804</t>
    </r>
  </si>
  <si>
    <t xml:space="preserve">    Fax (708) 863-1065</t>
  </si>
  <si>
    <t>Cicero SD 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</si>
</sst>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0"/>
      <color rgb="FFFF000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amily val="2"/>
    </font>
    <font>
      <u/>
      <sz val="8"/>
      <color indexed="12"/>
      <name val="Arial"/>
      <family val="2"/>
    </font>
    <font>
      <sz val="10"/>
      <name val="Arial"/>
    </font>
    <font>
      <b/>
      <u/>
      <sz val="8"/>
      <name val="Arial"/>
      <family val="2"/>
    </font>
    <font>
      <b/>
      <vertAlign val="superscript"/>
      <sz val="9"/>
      <name val="Arial"/>
      <family val="2"/>
    </font>
    <font>
      <b/>
      <i/>
      <sz val="10"/>
      <name val="Arial"/>
      <family val="2"/>
    </font>
    <font>
      <u/>
      <sz val="8"/>
      <color indexed="12"/>
      <name val="Arial"/>
    </font>
    <font>
      <sz val="12"/>
      <name val="Times"/>
      <family val="1"/>
    </font>
    <font>
      <sz val="24"/>
      <name val="Arial"/>
      <family val="2"/>
    </font>
    <font>
      <b/>
      <vertAlign val="superscript"/>
      <sz val="8"/>
      <name val="Arial"/>
      <family val="2"/>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8849">
    <xf numFmtId="0" fontId="0" fillId="0" borderId="0"/>
    <xf numFmtId="43" fontId="15" fillId="0" borderId="0" applyFont="0" applyFill="0" applyBorder="0" applyAlignment="0" applyProtection="0"/>
    <xf numFmtId="0" fontId="38" fillId="0" borderId="0" applyNumberFormat="0" applyFill="0" applyBorder="0" applyAlignment="0" applyProtection="0">
      <alignment vertical="top"/>
      <protection locked="0"/>
    </xf>
    <xf numFmtId="0" fontId="15"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xf numFmtId="0" fontId="14" fillId="0" borderId="0"/>
    <xf numFmtId="0" fontId="56" fillId="0" borderId="0" applyNumberFormat="0" applyFill="0" applyBorder="0" applyAlignment="0" applyProtection="0"/>
    <xf numFmtId="0" fontId="13" fillId="0" borderId="0"/>
    <xf numFmtId="0" fontId="12"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5" fillId="0" borderId="0" applyAlignment="0"/>
    <xf numFmtId="181" fontId="151" fillId="0" borderId="0" applyFont="0" applyFill="0" applyBorder="0" applyAlignment="0" applyProtection="0"/>
    <xf numFmtId="182" fontId="151" fillId="0" borderId="0" applyFont="0" applyFill="0" applyBorder="0" applyAlignment="0" applyProtection="0"/>
    <xf numFmtId="43" fontId="15" fillId="0" borderId="0" applyAlignment="0"/>
    <xf numFmtId="0" fontId="7" fillId="0" borderId="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183" fontId="151" fillId="0" borderId="0" applyFont="0" applyFill="0" applyBorder="0" applyAlignment="0" applyProtection="0"/>
    <xf numFmtId="184" fontId="151" fillId="0" borderId="0" applyFont="0" applyFill="0" applyBorder="0" applyAlignment="0" applyProtection="0"/>
    <xf numFmtId="43" fontId="15" fillId="0" borderId="0" applyAlignment="0"/>
    <xf numFmtId="185" fontId="151" fillId="0" borderId="0" applyFont="0" applyFill="0" applyBorder="0" applyAlignment="0" applyProtection="0">
      <alignment horizontal="right"/>
    </xf>
    <xf numFmtId="186" fontId="151" fillId="0" borderId="0" applyFont="0" applyFill="0" applyBorder="0" applyAlignment="0" applyProtection="0"/>
    <xf numFmtId="187" fontId="151" fillId="0" borderId="0" applyFont="0" applyFill="0" applyBorder="0" applyAlignment="0" applyProtection="0">
      <alignment horizontal="right"/>
    </xf>
    <xf numFmtId="188" fontId="151" fillId="0" borderId="0" applyFont="0" applyFill="0" applyBorder="0" applyAlignment="0" applyProtection="0">
      <alignment horizontal="right"/>
    </xf>
    <xf numFmtId="189" fontId="151" fillId="0" borderId="0" applyFont="0" applyFill="0" applyBorder="0" applyAlignment="0" applyProtection="0">
      <alignment horizontal="right"/>
    </xf>
    <xf numFmtId="190" fontId="151" fillId="0" borderId="0" applyFont="0" applyFill="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45" fillId="28" borderId="0" applyNumberFormat="0" applyBorder="0" applyAlignment="0" applyProtection="0"/>
    <xf numFmtId="0" fontId="145" fillId="29" borderId="0" applyNumberFormat="0" applyBorder="0" applyAlignment="0" applyProtection="0"/>
    <xf numFmtId="0" fontId="145" fillId="29" borderId="0" applyNumberFormat="0" applyBorder="0" applyAlignment="0" applyProtection="0"/>
    <xf numFmtId="0" fontId="145" fillId="29" borderId="0" applyNumberFormat="0" applyBorder="0" applyAlignment="0" applyProtection="0"/>
    <xf numFmtId="0" fontId="145" fillId="29" borderId="0" applyNumberFormat="0" applyBorder="0" applyAlignment="0" applyProtection="0"/>
    <xf numFmtId="0" fontId="145" fillId="29" borderId="0" applyNumberFormat="0" applyBorder="0" applyAlignment="0" applyProtection="0"/>
    <xf numFmtId="0" fontId="145" fillId="29" borderId="0" applyNumberFormat="0" applyBorder="0" applyAlignment="0" applyProtection="0"/>
    <xf numFmtId="0" fontId="133" fillId="30" borderId="0" applyNumberFormat="0" applyBorder="0" applyAlignment="0" applyProtection="0"/>
    <xf numFmtId="0" fontId="133" fillId="31" borderId="0" applyNumberFormat="0" applyBorder="0" applyAlignment="0" applyProtection="0"/>
    <xf numFmtId="0" fontId="145" fillId="32"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33" fillId="30" borderId="0" applyNumberFormat="0" applyBorder="0" applyAlignment="0" applyProtection="0"/>
    <xf numFmtId="0" fontId="133" fillId="34" borderId="0" applyNumberFormat="0" applyBorder="0" applyAlignment="0" applyProtection="0"/>
    <xf numFmtId="0" fontId="145" fillId="31" borderId="0" applyNumberFormat="0" applyBorder="0" applyAlignment="0" applyProtection="0"/>
    <xf numFmtId="0" fontId="145" fillId="32" borderId="0" applyNumberFormat="0" applyBorder="0" applyAlignment="0" applyProtection="0"/>
    <xf numFmtId="0" fontId="145" fillId="32" borderId="0" applyNumberFormat="0" applyBorder="0" applyAlignment="0" applyProtection="0"/>
    <xf numFmtId="0" fontId="145" fillId="32" borderId="0" applyNumberFormat="0" applyBorder="0" applyAlignment="0" applyProtection="0"/>
    <xf numFmtId="0" fontId="145" fillId="32" borderId="0" applyNumberFormat="0" applyBorder="0" applyAlignment="0" applyProtection="0"/>
    <xf numFmtId="0" fontId="145" fillId="32" borderId="0" applyNumberFormat="0" applyBorder="0" applyAlignment="0" applyProtection="0"/>
    <xf numFmtId="0" fontId="145" fillId="32" borderId="0" applyNumberFormat="0" applyBorder="0" applyAlignment="0" applyProtection="0"/>
    <xf numFmtId="0" fontId="133" fillId="27" borderId="0" applyNumberFormat="0" applyBorder="0" applyAlignment="0" applyProtection="0"/>
    <xf numFmtId="0" fontId="133" fillId="31" borderId="0" applyNumberFormat="0" applyBorder="0" applyAlignment="0" applyProtection="0"/>
    <xf numFmtId="0" fontId="145" fillId="31" borderId="0" applyNumberFormat="0" applyBorder="0" applyAlignment="0" applyProtection="0"/>
    <xf numFmtId="0" fontId="145" fillId="29" borderId="0" applyNumberFormat="0" applyBorder="0" applyAlignment="0" applyProtection="0"/>
    <xf numFmtId="0" fontId="145" fillId="29" borderId="0" applyNumberFormat="0" applyBorder="0" applyAlignment="0" applyProtection="0"/>
    <xf numFmtId="0" fontId="145" fillId="29" borderId="0" applyNumberFormat="0" applyBorder="0" applyAlignment="0" applyProtection="0"/>
    <xf numFmtId="0" fontId="145" fillId="29" borderId="0" applyNumberFormat="0" applyBorder="0" applyAlignment="0" applyProtection="0"/>
    <xf numFmtId="0" fontId="145" fillId="29" borderId="0" applyNumberFormat="0" applyBorder="0" applyAlignment="0" applyProtection="0"/>
    <xf numFmtId="0" fontId="145" fillId="29" borderId="0" applyNumberFormat="0" applyBorder="0" applyAlignment="0" applyProtection="0"/>
    <xf numFmtId="0" fontId="133" fillId="35" borderId="0" applyNumberFormat="0" applyBorder="0" applyAlignment="0" applyProtection="0"/>
    <xf numFmtId="0" fontId="133" fillId="27" borderId="0" applyNumberFormat="0" applyBorder="0" applyAlignment="0" applyProtection="0"/>
    <xf numFmtId="0" fontId="145" fillId="28" borderId="0" applyNumberFormat="0" applyBorder="0" applyAlignment="0" applyProtection="0"/>
    <xf numFmtId="0" fontId="145" fillId="36" borderId="0" applyNumberFormat="0" applyBorder="0" applyAlignment="0" applyProtection="0"/>
    <xf numFmtId="0" fontId="145" fillId="36" borderId="0" applyNumberFormat="0" applyBorder="0" applyAlignment="0" applyProtection="0"/>
    <xf numFmtId="0" fontId="145" fillId="36" borderId="0" applyNumberFormat="0" applyBorder="0" applyAlignment="0" applyProtection="0"/>
    <xf numFmtId="0" fontId="145" fillId="36" borderId="0" applyNumberFormat="0" applyBorder="0" applyAlignment="0" applyProtection="0"/>
    <xf numFmtId="0" fontId="145" fillId="36" borderId="0" applyNumberFormat="0" applyBorder="0" applyAlignment="0" applyProtection="0"/>
    <xf numFmtId="0" fontId="145" fillId="36" borderId="0" applyNumberFormat="0" applyBorder="0" applyAlignment="0" applyProtection="0"/>
    <xf numFmtId="0" fontId="133" fillId="30" borderId="0" applyNumberFormat="0" applyBorder="0" applyAlignment="0" applyProtection="0"/>
    <xf numFmtId="0" fontId="133" fillId="37" borderId="0" applyNumberFormat="0" applyBorder="0" applyAlignment="0" applyProtection="0"/>
    <xf numFmtId="0" fontId="145" fillId="37"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7" fillId="39" borderId="0" applyNumberFormat="0" applyBorder="0" applyAlignment="0" applyProtection="0"/>
    <xf numFmtId="0" fontId="147" fillId="39" borderId="0" applyNumberFormat="0" applyBorder="0" applyAlignment="0" applyProtection="0"/>
    <xf numFmtId="0" fontId="147" fillId="39" borderId="0" applyNumberFormat="0" applyBorder="0" applyAlignment="0" applyProtection="0"/>
    <xf numFmtId="0" fontId="147" fillId="39" borderId="0" applyNumberFormat="0" applyBorder="0" applyAlignment="0" applyProtection="0"/>
    <xf numFmtId="0" fontId="147" fillId="39" borderId="0" applyNumberFormat="0" applyBorder="0" applyAlignment="0" applyProtection="0"/>
    <xf numFmtId="0" fontId="147" fillId="39" borderId="0" applyNumberFormat="0" applyBorder="0" applyAlignment="0" applyProtection="0"/>
    <xf numFmtId="0" fontId="151" fillId="0" borderId="156" applyNumberFormat="0" applyFill="0" applyAlignment="0" applyProtection="0"/>
    <xf numFmtId="191" fontId="152" fillId="0" borderId="156" applyNumberFormat="0" applyFill="0" applyAlignment="0" applyProtection="0">
      <alignment horizontal="center"/>
    </xf>
    <xf numFmtId="191" fontId="152" fillId="0" borderId="78" applyFill="0" applyAlignment="0" applyProtection="0">
      <alignment horizontal="center"/>
    </xf>
    <xf numFmtId="0" fontId="148" fillId="40" borderId="1" applyNumberFormat="0" applyAlignment="0" applyProtection="0"/>
    <xf numFmtId="0" fontId="148" fillId="40" borderId="1" applyNumberFormat="0" applyAlignment="0" applyProtection="0"/>
    <xf numFmtId="0" fontId="148" fillId="40" borderId="1" applyNumberFormat="0" applyAlignment="0" applyProtection="0"/>
    <xf numFmtId="0" fontId="148" fillId="40" borderId="1" applyNumberFormat="0" applyAlignment="0" applyProtection="0"/>
    <xf numFmtId="0" fontId="148" fillId="40" borderId="1" applyNumberFormat="0" applyAlignment="0" applyProtection="0"/>
    <xf numFmtId="0" fontId="148" fillId="40" borderId="1" applyNumberFormat="0" applyAlignment="0" applyProtection="0"/>
    <xf numFmtId="0" fontId="142" fillId="32" borderId="157" applyNumberFormat="0" applyAlignment="0" applyProtection="0"/>
    <xf numFmtId="0" fontId="142" fillId="32" borderId="157" applyNumberFormat="0" applyAlignment="0" applyProtection="0"/>
    <xf numFmtId="0" fontId="142" fillId="32" borderId="157" applyNumberFormat="0" applyAlignment="0" applyProtection="0"/>
    <xf numFmtId="0" fontId="142" fillId="32" borderId="157" applyNumberFormat="0" applyAlignment="0" applyProtection="0"/>
    <xf numFmtId="0" fontId="142" fillId="32" borderId="157" applyNumberFormat="0" applyAlignment="0" applyProtection="0"/>
    <xf numFmtId="0" fontId="142" fillId="32" borderId="157" applyNumberFormat="0" applyAlignment="0" applyProtection="0"/>
    <xf numFmtId="0" fontId="153" fillId="0" borderId="0" applyProtection="0"/>
    <xf numFmtId="191" fontId="152" fillId="0" borderId="0" applyFill="0" applyBorder="0" applyProtection="0">
      <alignment horizontal="center"/>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3" fillId="0" borderId="0" applyFont="0" applyFill="0" applyBorder="0" applyAlignment="0" applyProtection="0"/>
    <xf numFmtId="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5" fontId="15" fillId="0" borderId="0" applyFont="0" applyFill="0" applyBorder="0" applyAlignment="0" applyProtection="0"/>
    <xf numFmtId="0" fontId="131" fillId="0" borderId="0" applyProtection="0"/>
    <xf numFmtId="192" fontId="151" fillId="0" borderId="0" applyFont="0" applyFill="0" applyBorder="0" applyAlignment="0" applyProtection="0"/>
    <xf numFmtId="191" fontId="152" fillId="0" borderId="158" applyNumberFormat="0" applyFill="0" applyAlignment="0" applyProtection="0"/>
    <xf numFmtId="0" fontId="151" fillId="0" borderId="158" applyNumberFormat="0" applyFill="0" applyAlignment="0" applyProtection="0"/>
    <xf numFmtId="0" fontId="144" fillId="41" borderId="0" applyNumberFormat="0" applyBorder="0" applyAlignment="0" applyProtection="0"/>
    <xf numFmtId="0" fontId="144" fillId="42" borderId="0" applyNumberFormat="0" applyBorder="0" applyAlignment="0" applyProtection="0"/>
    <xf numFmtId="0" fontId="144" fillId="43" borderId="0" applyNumberFormat="0" applyBorder="0" applyAlignment="0" applyProtection="0"/>
    <xf numFmtId="0" fontId="154" fillId="0" borderId="0" applyProtection="0"/>
    <xf numFmtId="0" fontId="16" fillId="0" borderId="0" applyProtection="0"/>
    <xf numFmtId="0" fontId="155" fillId="0" borderId="0" applyProtection="0"/>
    <xf numFmtId="0" fontId="156" fillId="0" borderId="0" applyProtection="0"/>
    <xf numFmtId="0" fontId="157" fillId="0" borderId="0" applyProtection="0"/>
    <xf numFmtId="0" fontId="158" fillId="0" borderId="0" applyProtection="0"/>
    <xf numFmtId="0" fontId="159" fillId="0" borderId="0" applyProtection="0"/>
    <xf numFmtId="2" fontId="131" fillId="0" borderId="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5" fillId="0" borderId="159" applyNumberFormat="0" applyFill="0" applyAlignment="0" applyProtection="0"/>
    <xf numFmtId="0" fontId="135" fillId="0" borderId="159" applyNumberFormat="0" applyFill="0" applyAlignment="0" applyProtection="0"/>
    <xf numFmtId="0" fontId="135" fillId="0" borderId="159" applyNumberFormat="0" applyFill="0" applyAlignment="0" applyProtection="0"/>
    <xf numFmtId="0" fontId="135" fillId="0" borderId="159" applyNumberFormat="0" applyFill="0" applyAlignment="0" applyProtection="0"/>
    <xf numFmtId="0" fontId="135" fillId="0" borderId="159" applyNumberFormat="0" applyFill="0" applyAlignment="0" applyProtection="0"/>
    <xf numFmtId="0" fontId="135" fillId="0" borderId="159" applyNumberFormat="0" applyFill="0" applyAlignment="0" applyProtection="0"/>
    <xf numFmtId="0" fontId="136" fillId="0" borderId="160" applyNumberFormat="0" applyFill="0" applyAlignment="0" applyProtection="0"/>
    <xf numFmtId="0" fontId="136" fillId="0" borderId="160" applyNumberFormat="0" applyFill="0" applyAlignment="0" applyProtection="0"/>
    <xf numFmtId="0" fontId="136" fillId="0" borderId="160" applyNumberFormat="0" applyFill="0" applyAlignment="0" applyProtection="0"/>
    <xf numFmtId="0" fontId="136" fillId="0" borderId="160" applyNumberFormat="0" applyFill="0" applyAlignment="0" applyProtection="0"/>
    <xf numFmtId="0" fontId="136" fillId="0" borderId="160" applyNumberFormat="0" applyFill="0" applyAlignment="0" applyProtection="0"/>
    <xf numFmtId="0" fontId="136" fillId="0" borderId="160" applyNumberFormat="0" applyFill="0" applyAlignment="0" applyProtection="0"/>
    <xf numFmtId="0" fontId="137" fillId="0" borderId="161" applyNumberFormat="0" applyFill="0" applyAlignment="0" applyProtection="0"/>
    <xf numFmtId="0" fontId="137" fillId="0" borderId="161" applyNumberFormat="0" applyFill="0" applyAlignment="0" applyProtection="0"/>
    <xf numFmtId="0" fontId="137" fillId="0" borderId="161" applyNumberFormat="0" applyFill="0" applyAlignment="0" applyProtection="0"/>
    <xf numFmtId="0" fontId="137" fillId="0" borderId="161" applyNumberFormat="0" applyFill="0" applyAlignment="0" applyProtection="0"/>
    <xf numFmtId="0" fontId="137" fillId="0" borderId="161" applyNumberFormat="0" applyFill="0" applyAlignment="0" applyProtection="0"/>
    <xf numFmtId="0" fontId="137" fillId="0" borderId="161" applyNumberFormat="0" applyFill="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60" fillId="0" borderId="0" applyProtection="0"/>
    <xf numFmtId="0" fontId="132" fillId="0" borderId="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193" fontId="151" fillId="0" borderId="0" applyFont="0" applyFill="0" applyBorder="0" applyAlignment="0" applyProtection="0"/>
    <xf numFmtId="0" fontId="140" fillId="37" borderId="1" applyNumberFormat="0" applyAlignment="0" applyProtection="0"/>
    <xf numFmtId="0" fontId="140" fillId="37" borderId="1" applyNumberFormat="0" applyAlignment="0" applyProtection="0"/>
    <xf numFmtId="0" fontId="140" fillId="37" borderId="1" applyNumberFormat="0" applyAlignment="0" applyProtection="0"/>
    <xf numFmtId="0" fontId="140" fillId="37" borderId="1" applyNumberFormat="0" applyAlignment="0" applyProtection="0"/>
    <xf numFmtId="0" fontId="140" fillId="37" borderId="1" applyNumberFormat="0" applyAlignment="0" applyProtection="0"/>
    <xf numFmtId="0" fontId="140" fillId="37" borderId="1" applyNumberFormat="0" applyAlignment="0" applyProtection="0"/>
    <xf numFmtId="0" fontId="149" fillId="0" borderId="162" applyNumberFormat="0" applyFill="0" applyAlignment="0" applyProtection="0"/>
    <xf numFmtId="0" fontId="149" fillId="0" borderId="162" applyNumberFormat="0" applyFill="0" applyAlignment="0" applyProtection="0"/>
    <xf numFmtId="0" fontId="149" fillId="0" borderId="162" applyNumberFormat="0" applyFill="0" applyAlignment="0" applyProtection="0"/>
    <xf numFmtId="0" fontId="149" fillId="0" borderId="162" applyNumberFormat="0" applyFill="0" applyAlignment="0" applyProtection="0"/>
    <xf numFmtId="0" fontId="149" fillId="0" borderId="162" applyNumberFormat="0" applyFill="0" applyAlignment="0" applyProtection="0"/>
    <xf numFmtId="0" fontId="149" fillId="0" borderId="162" applyNumberFormat="0" applyFill="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52" fillId="0" borderId="0" applyNumberFormat="0" applyFill="0" applyAlignment="0" applyProtection="0"/>
    <xf numFmtId="0" fontId="15" fillId="0" borderId="0"/>
    <xf numFmtId="0" fontId="15" fillId="0" borderId="0"/>
    <xf numFmtId="0" fontId="15" fillId="0" borderId="0"/>
    <xf numFmtId="0" fontId="15" fillId="0" borderId="0"/>
    <xf numFmtId="0" fontId="7" fillId="0" borderId="0"/>
    <xf numFmtId="0" fontId="130" fillId="0" borderId="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194" fontId="152" fillId="0" borderId="0" applyFill="0" applyBorder="0" applyProtection="0">
      <alignment horizontal="right"/>
    </xf>
    <xf numFmtId="0" fontId="141" fillId="40" borderId="163" applyNumberFormat="0" applyAlignment="0" applyProtection="0"/>
    <xf numFmtId="0" fontId="141" fillId="40" borderId="163" applyNumberFormat="0" applyAlignment="0" applyProtection="0"/>
    <xf numFmtId="0" fontId="141" fillId="40" borderId="163" applyNumberFormat="0" applyAlignment="0" applyProtection="0"/>
    <xf numFmtId="0" fontId="141" fillId="40" borderId="163" applyNumberFormat="0" applyAlignment="0" applyProtection="0"/>
    <xf numFmtId="0" fontId="141" fillId="40" borderId="163" applyNumberFormat="0" applyAlignment="0" applyProtection="0"/>
    <xf numFmtId="0" fontId="141" fillId="40" borderId="163" applyNumberFormat="0" applyAlignment="0" applyProtection="0"/>
    <xf numFmtId="195" fontId="152" fillId="0" borderId="0" applyProtection="0"/>
    <xf numFmtId="0" fontId="134" fillId="0" borderId="0" applyNumberFormat="0" applyFill="0" applyBorder="0" applyAlignment="0" applyProtection="0"/>
    <xf numFmtId="0" fontId="152" fillId="0" borderId="78" applyNumberFormat="0" applyFill="0" applyAlignment="0" applyProtection="0"/>
    <xf numFmtId="8" fontId="161" fillId="0" borderId="0" applyNumberFormat="0" applyFill="0" applyBorder="0" applyAlignment="0" applyProtection="0"/>
    <xf numFmtId="0" fontId="150" fillId="0" borderId="0" applyNumberFormat="0" applyBorder="0" applyAlignment="0"/>
    <xf numFmtId="0" fontId="162" fillId="0" borderId="0" applyNumberFormat="0" applyBorder="0" applyAlignment="0"/>
    <xf numFmtId="0" fontId="151" fillId="0" borderId="164" applyNumberFormat="0" applyFont="0" applyFill="0" applyAlignment="0" applyProtection="0"/>
    <xf numFmtId="0" fontId="151" fillId="0" borderId="165" applyNumberFormat="0" applyFont="0" applyFill="0" applyAlignment="0" applyProtection="0"/>
    <xf numFmtId="0" fontId="151" fillId="0" borderId="135" applyNumberFormat="0" applyFont="0" applyFill="0" applyAlignment="0" applyProtection="0"/>
    <xf numFmtId="0" fontId="144" fillId="0" borderId="166" applyNumberFormat="0" applyFill="0" applyAlignment="0" applyProtection="0"/>
    <xf numFmtId="0" fontId="144" fillId="0" borderId="166" applyNumberFormat="0" applyFill="0" applyAlignment="0" applyProtection="0"/>
    <xf numFmtId="0" fontId="144" fillId="0" borderId="166" applyNumberFormat="0" applyFill="0" applyAlignment="0" applyProtection="0"/>
    <xf numFmtId="0" fontId="144" fillId="0" borderId="166" applyNumberFormat="0" applyFill="0" applyAlignment="0" applyProtection="0"/>
    <xf numFmtId="0" fontId="144" fillId="0" borderId="166" applyNumberFormat="0" applyFill="0" applyAlignment="0" applyProtection="0"/>
    <xf numFmtId="0" fontId="144" fillId="0" borderId="166" applyNumberFormat="0" applyFill="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6"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7"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0"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1"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5"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2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2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2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33"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33"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33"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32"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32"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32"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29"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29"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29"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36"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36"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36"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38"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38"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38"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47" fillId="39"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47" fillId="39"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47" fillId="39"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48" fillId="40"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48" fillId="40"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48" fillId="40"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32"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32"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32"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34"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34"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34"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35" fillId="0" borderId="159"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35" fillId="0" borderId="159"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35" fillId="0" borderId="159"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36"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36"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36"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37" fillId="0" borderId="161"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37" fillId="0" borderId="161"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37" fillId="0" borderId="161"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37"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37"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37"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37"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37"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37"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4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4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4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69" fillId="0" borderId="162" applyNumberFormat="0" applyFill="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44"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44"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44"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xf numFmtId="0" fontId="7" fillId="0" borderId="0"/>
    <xf numFmtId="0" fontId="130" fillId="0" borderId="0"/>
    <xf numFmtId="0" fontId="15" fillId="0" borderId="0"/>
    <xf numFmtId="0" fontId="15" fillId="0" borderId="0"/>
    <xf numFmtId="0" fontId="15" fillId="0" borderId="0"/>
    <xf numFmtId="0" fontId="15" fillId="0" borderId="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40"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40"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40"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6"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6"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6"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7" fillId="0" borderId="0"/>
    <xf numFmtId="0" fontId="15" fillId="0" borderId="0"/>
    <xf numFmtId="43" fontId="7" fillId="0" borderId="0" applyFont="0" applyFill="0" applyBorder="0" applyAlignment="0" applyProtection="0"/>
    <xf numFmtId="5" fontId="15" fillId="0" borderId="0" applyFont="0" applyFill="0" applyBorder="0" applyAlignment="0" applyProtection="0"/>
    <xf numFmtId="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7" fillId="0" borderId="0"/>
    <xf numFmtId="0" fontId="7" fillId="0" borderId="0"/>
    <xf numFmtId="0" fontId="55" fillId="0" borderId="0"/>
    <xf numFmtId="0" fontId="7" fillId="0" borderId="0"/>
    <xf numFmtId="43" fontId="7" fillId="0" borderId="0" applyFont="0" applyFill="0" applyBorder="0" applyAlignment="0" applyProtection="0"/>
    <xf numFmtId="0" fontId="7" fillId="0" borderId="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8" fillId="40" borderId="1" applyNumberFormat="0" applyAlignment="0" applyProtection="0"/>
    <xf numFmtId="0" fontId="148" fillId="40" borderId="1" applyNumberFormat="0" applyAlignment="0" applyProtection="0"/>
    <xf numFmtId="0" fontId="148" fillId="40" borderId="1" applyNumberFormat="0" applyAlignment="0" applyProtection="0"/>
    <xf numFmtId="0" fontId="148" fillId="40" borderId="1" applyNumberFormat="0" applyAlignment="0" applyProtection="0"/>
    <xf numFmtId="0" fontId="148" fillId="40" borderId="1" applyNumberFormat="0" applyAlignment="0" applyProtection="0"/>
    <xf numFmtId="0" fontId="148" fillId="40" borderId="1" applyNumberFormat="0" applyAlignment="0" applyProtection="0"/>
    <xf numFmtId="0" fontId="140" fillId="37" borderId="1" applyNumberFormat="0" applyAlignment="0" applyProtection="0"/>
    <xf numFmtId="0" fontId="140" fillId="37" borderId="1" applyNumberFormat="0" applyAlignment="0" applyProtection="0"/>
    <xf numFmtId="0" fontId="140" fillId="37" borderId="1" applyNumberFormat="0" applyAlignment="0" applyProtection="0"/>
    <xf numFmtId="0" fontId="140" fillId="37" borderId="1" applyNumberFormat="0" applyAlignment="0" applyProtection="0"/>
    <xf numFmtId="0" fontId="140" fillId="37" borderId="1" applyNumberFormat="0" applyAlignment="0" applyProtection="0"/>
    <xf numFmtId="0" fontId="140" fillId="37" borderId="1" applyNumberForma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40"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40"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40"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48" fillId="40"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48" fillId="40"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48" fillId="40"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37"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37"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37"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44" fillId="0" borderId="166" applyNumberFormat="0" applyFill="0" applyAlignment="0" applyProtection="0"/>
    <xf numFmtId="0" fontId="144" fillId="0" borderId="166" applyNumberFormat="0" applyFill="0" applyAlignment="0" applyProtection="0"/>
    <xf numFmtId="0" fontId="144" fillId="0" borderId="166" applyNumberFormat="0" applyFill="0" applyAlignment="0" applyProtection="0"/>
    <xf numFmtId="0" fontId="144" fillId="0" borderId="166" applyNumberFormat="0" applyFill="0" applyAlignment="0" applyProtection="0"/>
    <xf numFmtId="0" fontId="144" fillId="0" borderId="166" applyNumberFormat="0" applyFill="0" applyAlignment="0" applyProtection="0"/>
    <xf numFmtId="0" fontId="144" fillId="0" borderId="166" applyNumberFormat="0" applyFill="0" applyAlignment="0" applyProtection="0"/>
    <xf numFmtId="0" fontId="151" fillId="0" borderId="135" applyNumberFormat="0" applyFont="0" applyFill="0" applyAlignment="0" applyProtection="0"/>
    <xf numFmtId="0" fontId="141" fillId="40" borderId="163" applyNumberFormat="0" applyAlignment="0" applyProtection="0"/>
    <xf numFmtId="0" fontId="141" fillId="40" borderId="163" applyNumberFormat="0" applyAlignment="0" applyProtection="0"/>
    <xf numFmtId="0" fontId="141" fillId="40" borderId="163" applyNumberFormat="0" applyAlignment="0" applyProtection="0"/>
    <xf numFmtId="0" fontId="141" fillId="40" borderId="163" applyNumberFormat="0" applyAlignment="0" applyProtection="0"/>
    <xf numFmtId="0" fontId="141" fillId="40" borderId="163" applyNumberFormat="0" applyAlignment="0" applyProtection="0"/>
    <xf numFmtId="0" fontId="141" fillId="40"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6"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6"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6"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146" fillId="0" borderId="0" applyNumberFormat="0" applyFill="0" applyBorder="0" applyAlignment="0" applyProtection="0">
      <alignment vertical="top"/>
      <protection locked="0"/>
    </xf>
    <xf numFmtId="0" fontId="7"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71" fillId="0" borderId="0" applyAlignment="0"/>
    <xf numFmtId="43" fontId="171" fillId="0" borderId="0" applyFont="0" applyFill="0" applyBorder="0" applyAlignment="0" applyProtection="0"/>
    <xf numFmtId="43" fontId="5" fillId="0" borderId="0" applyFont="0" applyFill="0" applyBorder="0" applyAlignment="0" applyProtection="0"/>
    <xf numFmtId="43" fontId="171" fillId="0" borderId="0" applyFont="0" applyFill="0" applyBorder="0" applyAlignment="0" applyProtection="0"/>
    <xf numFmtId="3" fontId="171" fillId="0" borderId="0" applyFont="0" applyFill="0" applyBorder="0" applyAlignment="0" applyProtection="0"/>
    <xf numFmtId="44" fontId="171" fillId="0" borderId="0" applyFont="0" applyFill="0" applyBorder="0" applyAlignment="0" applyProtection="0"/>
    <xf numFmtId="5" fontId="171" fillId="0" borderId="0" applyFont="0" applyFill="0" applyBorder="0" applyAlignment="0" applyProtection="0"/>
    <xf numFmtId="0" fontId="172" fillId="0" borderId="0" applyNumberFormat="0" applyFill="0" applyBorder="0" applyAlignment="0" applyProtection="0">
      <alignment vertical="top"/>
      <protection locked="0"/>
    </xf>
    <xf numFmtId="0" fontId="171" fillId="0" borderId="0"/>
    <xf numFmtId="0" fontId="171" fillId="0" borderId="0"/>
    <xf numFmtId="0" fontId="5" fillId="0" borderId="0"/>
    <xf numFmtId="43" fontId="171" fillId="0" borderId="0" applyAlignment="0"/>
    <xf numFmtId="43" fontId="171" fillId="0" borderId="0" applyAlignment="0"/>
    <xf numFmtId="43" fontId="5"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1"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5" fillId="0" borderId="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4" fillId="0" borderId="169" applyNumberFormat="0" applyFill="0" applyAlignment="0" applyProtection="0"/>
    <xf numFmtId="0" fontId="141" fillId="63" borderId="163" applyNumberFormat="0" applyAlignment="0" applyProtection="0"/>
    <xf numFmtId="0" fontId="144" fillId="0" borderId="169" applyNumberFormat="0" applyFill="0" applyAlignment="0" applyProtection="0"/>
    <xf numFmtId="43" fontId="5" fillId="0" borderId="0" applyFont="0" applyFill="0" applyBorder="0" applyAlignment="0" applyProtection="0"/>
    <xf numFmtId="0" fontId="5" fillId="0" borderId="0"/>
    <xf numFmtId="0" fontId="144" fillId="0" borderId="166" applyNumberFormat="0" applyFill="0" applyAlignment="0" applyProtection="0"/>
    <xf numFmtId="0" fontId="144" fillId="0" borderId="166" applyNumberFormat="0" applyFill="0" applyAlignment="0" applyProtection="0"/>
    <xf numFmtId="0" fontId="144" fillId="0" borderId="166" applyNumberFormat="0" applyFill="0" applyAlignment="0" applyProtection="0"/>
    <xf numFmtId="0" fontId="144" fillId="0" borderId="166" applyNumberFormat="0" applyFill="0" applyAlignment="0" applyProtection="0"/>
    <xf numFmtId="0" fontId="144" fillId="0" borderId="166" applyNumberFormat="0" applyFill="0" applyAlignment="0" applyProtection="0"/>
    <xf numFmtId="0" fontId="151" fillId="0" borderId="135" applyNumberFormat="0" applyFon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6"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6"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6"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40" borderId="163" applyNumberFormat="0" applyAlignment="0" applyProtection="0"/>
    <xf numFmtId="0" fontId="141" fillId="40" borderId="163" applyNumberFormat="0" applyAlignment="0" applyProtection="0"/>
    <xf numFmtId="0" fontId="141" fillId="40" borderId="163" applyNumberFormat="0" applyAlignment="0" applyProtection="0"/>
    <xf numFmtId="0" fontId="141" fillId="40" borderId="163" applyNumberFormat="0" applyAlignment="0" applyProtection="0"/>
    <xf numFmtId="0" fontId="141" fillId="40" borderId="163" applyNumberFormat="0" applyAlignment="0" applyProtection="0"/>
    <xf numFmtId="0" fontId="141" fillId="40" borderId="163" applyNumberFormat="0" applyAlignment="0" applyProtection="0"/>
    <xf numFmtId="0" fontId="151" fillId="0" borderId="135" applyNumberFormat="0" applyFont="0" applyFill="0" applyAlignment="0" applyProtection="0"/>
    <xf numFmtId="0" fontId="144" fillId="0" borderId="166" applyNumberFormat="0" applyFill="0" applyAlignment="0" applyProtection="0"/>
    <xf numFmtId="0" fontId="144" fillId="0" borderId="166" applyNumberFormat="0" applyFill="0" applyAlignment="0" applyProtection="0"/>
    <xf numFmtId="0" fontId="144" fillId="0" borderId="166" applyNumberFormat="0" applyFill="0" applyAlignment="0" applyProtection="0"/>
    <xf numFmtId="0" fontId="144" fillId="0" borderId="166" applyNumberFormat="0" applyFill="0" applyAlignment="0" applyProtection="0"/>
    <xf numFmtId="0" fontId="144" fillId="0" borderId="166" applyNumberFormat="0" applyFill="0" applyAlignment="0" applyProtection="0"/>
    <xf numFmtId="0" fontId="144" fillId="0" borderId="166" applyNumberFormat="0" applyFill="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37"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37"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37"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48" fillId="40"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48" fillId="40"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48" fillId="40"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40"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40"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40"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40" fillId="37" borderId="1" applyNumberFormat="0" applyAlignment="0" applyProtection="0"/>
    <xf numFmtId="0" fontId="140" fillId="37" borderId="1" applyNumberFormat="0" applyAlignment="0" applyProtection="0"/>
    <xf numFmtId="0" fontId="140" fillId="37" borderId="1" applyNumberFormat="0" applyAlignment="0" applyProtection="0"/>
    <xf numFmtId="0" fontId="140" fillId="37" borderId="1" applyNumberFormat="0" applyAlignment="0" applyProtection="0"/>
    <xf numFmtId="0" fontId="140" fillId="37" borderId="1" applyNumberFormat="0" applyAlignment="0" applyProtection="0"/>
    <xf numFmtId="0" fontId="140" fillId="37" borderId="1" applyNumberFormat="0" applyAlignment="0" applyProtection="0"/>
    <xf numFmtId="0" fontId="148" fillId="40" borderId="1" applyNumberFormat="0" applyAlignment="0" applyProtection="0"/>
    <xf numFmtId="0" fontId="148" fillId="40" borderId="1" applyNumberFormat="0" applyAlignment="0" applyProtection="0"/>
    <xf numFmtId="0" fontId="148" fillId="40" borderId="1" applyNumberFormat="0" applyAlignment="0" applyProtection="0"/>
    <xf numFmtId="0" fontId="148" fillId="40" borderId="1" applyNumberFormat="0" applyAlignment="0" applyProtection="0"/>
    <xf numFmtId="0" fontId="148" fillId="40" borderId="1" applyNumberFormat="0" applyAlignment="0" applyProtection="0"/>
    <xf numFmtId="0" fontId="148" fillId="40" borderId="1"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6"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6"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6"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40"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40"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40"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43" fontId="5" fillId="0" borderId="0" applyFont="0" applyFill="0" applyBorder="0" applyAlignment="0" applyProtection="0"/>
    <xf numFmtId="0" fontId="5" fillId="0" borderId="0"/>
    <xf numFmtId="0" fontId="5" fillId="0" borderId="0"/>
    <xf numFmtId="0" fontId="141" fillId="40" borderId="163" applyNumberFormat="0" applyAlignment="0" applyProtection="0"/>
    <xf numFmtId="0" fontId="141" fillId="40" borderId="163" applyNumberFormat="0" applyAlignment="0" applyProtection="0"/>
    <xf numFmtId="0" fontId="141" fillId="40" borderId="163" applyNumberFormat="0" applyAlignment="0" applyProtection="0"/>
    <xf numFmtId="0" fontId="141" fillId="40" borderId="163" applyNumberFormat="0" applyAlignment="0" applyProtection="0"/>
    <xf numFmtId="0" fontId="141" fillId="40" borderId="163" applyNumberFormat="0" applyAlignment="0" applyProtection="0"/>
    <xf numFmtId="0" fontId="141" fillId="40" borderId="163" applyNumberForma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144" fillId="0" borderId="166"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3" fillId="0" borderId="0"/>
    <xf numFmtId="0" fontId="173" fillId="0" borderId="0"/>
    <xf numFmtId="43" fontId="1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5" fillId="0" borderId="0" applyAlignment="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3" fontId="15" fillId="0" borderId="0" applyFont="0" applyFill="0" applyBorder="0" applyAlignment="0" applyProtection="0"/>
    <xf numFmtId="44" fontId="15" fillId="0" borderId="0" applyFont="0" applyFill="0" applyBorder="0" applyAlignment="0" applyProtection="0"/>
    <xf numFmtId="5" fontId="15" fillId="0" borderId="0" applyFont="0" applyFill="0" applyBorder="0" applyAlignment="0" applyProtection="0"/>
    <xf numFmtId="0" fontId="38" fillId="0" borderId="0" applyNumberFormat="0" applyFill="0" applyBorder="0" applyAlignment="0" applyProtection="0">
      <alignment vertical="top"/>
      <protection locked="0"/>
    </xf>
    <xf numFmtId="0" fontId="15" fillId="0" borderId="0"/>
    <xf numFmtId="0" fontId="15" fillId="0" borderId="0"/>
    <xf numFmtId="0" fontId="3" fillId="0" borderId="0"/>
    <xf numFmtId="43" fontId="15" fillId="0" borderId="0" applyAlignment="0"/>
    <xf numFmtId="43" fontId="15" fillId="0" borderId="0" applyAlignment="0"/>
    <xf numFmtId="43" fontId="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5"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133" fillId="0" borderId="0" applyFont="0" applyFill="0" applyBorder="0" applyAlignment="0" applyProtection="0"/>
    <xf numFmtId="43" fontId="1" fillId="0" borderId="0" applyFont="0" applyFill="0" applyBorder="0" applyAlignment="0" applyProtection="0"/>
    <xf numFmtId="0" fontId="38"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43" fontId="15" fillId="0" borderId="0" applyFont="0" applyFill="0" applyBorder="0" applyAlignment="0" applyProtection="0"/>
    <xf numFmtId="0" fontId="146" fillId="0" borderId="0" applyNumberFormat="0" applyFill="0" applyBorder="0" applyAlignment="0" applyProtection="0">
      <alignment vertical="top"/>
      <protection locked="0"/>
    </xf>
    <xf numFmtId="0" fontId="1" fillId="0" borderId="0"/>
    <xf numFmtId="0" fontId="15"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5" fillId="0" borderId="0" applyFont="0" applyFill="0" applyBorder="0" applyAlignment="0" applyProtection="0"/>
    <xf numFmtId="0" fontId="1" fillId="0" borderId="0"/>
    <xf numFmtId="0" fontId="1" fillId="0" borderId="0"/>
    <xf numFmtId="9" fontId="15"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5" fillId="0" borderId="0" applyFont="0" applyFill="0" applyBorder="0" applyAlignment="0" applyProtection="0"/>
    <xf numFmtId="44" fontId="15" fillId="0" borderId="0" applyFont="0" applyFill="0" applyBorder="0" applyAlignment="0" applyProtection="0"/>
    <xf numFmtId="0" fontId="1" fillId="0" borderId="0"/>
    <xf numFmtId="0" fontId="15" fillId="0" borderId="0"/>
    <xf numFmtId="9" fontId="1" fillId="0" borderId="0" applyFont="0" applyFill="0" applyBorder="0" applyAlignment="0" applyProtection="0"/>
    <xf numFmtId="9" fontId="15" fillId="0" borderId="0" applyFont="0" applyFill="0" applyBorder="0" applyAlignment="0" applyProtection="0"/>
    <xf numFmtId="0" fontId="15" fillId="0" borderId="0"/>
    <xf numFmtId="0" fontId="1" fillId="0" borderId="0"/>
    <xf numFmtId="0" fontId="1" fillId="0" borderId="0"/>
    <xf numFmtId="0" fontId="5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43" fontId="15" fillId="0" borderId="0" applyAlignment="0"/>
    <xf numFmtId="0" fontId="1" fillId="0" borderId="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73" fillId="0" borderId="0" applyAlignment="0"/>
    <xf numFmtId="43" fontId="15" fillId="0" borderId="0" applyFont="0" applyFill="0" applyBorder="0" applyAlignment="0" applyProtection="0"/>
    <xf numFmtId="43" fontId="15" fillId="0" borderId="0" applyFont="0" applyFill="0" applyBorder="0" applyAlignment="0" applyProtection="0"/>
    <xf numFmtId="43" fontId="173"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73" fillId="0" borderId="0" applyFont="0" applyFill="0" applyBorder="0" applyAlignment="0" applyProtection="0"/>
    <xf numFmtId="43" fontId="15" fillId="0" borderId="0" applyFont="0" applyFill="0" applyBorder="0" applyAlignment="0" applyProtection="0"/>
    <xf numFmtId="3" fontId="173" fillId="0" borderId="0" applyFont="0" applyFill="0" applyBorder="0" applyAlignment="0" applyProtection="0"/>
    <xf numFmtId="44" fontId="15" fillId="0" borderId="0" applyFont="0" applyFill="0" applyBorder="0" applyAlignment="0" applyProtection="0"/>
    <xf numFmtId="44" fontId="173" fillId="0" borderId="0" applyFont="0" applyFill="0" applyBorder="0" applyAlignment="0" applyProtection="0"/>
    <xf numFmtId="44" fontId="15" fillId="0" borderId="0" applyFont="0" applyFill="0" applyBorder="0" applyAlignment="0" applyProtection="0"/>
    <xf numFmtId="5" fontId="173" fillId="0" borderId="0" applyFont="0" applyFill="0" applyBorder="0" applyAlignment="0" applyProtection="0"/>
    <xf numFmtId="0" fontId="177" fillId="0" borderId="0" applyNumberFormat="0" applyFill="0" applyBorder="0" applyAlignment="0" applyProtection="0">
      <alignment vertical="top"/>
      <protection locked="0"/>
    </xf>
    <xf numFmtId="0" fontId="173" fillId="0" borderId="0"/>
    <xf numFmtId="0" fontId="15" fillId="0" borderId="0"/>
    <xf numFmtId="0" fontId="173" fillId="0" borderId="0"/>
    <xf numFmtId="0" fontId="1" fillId="0" borderId="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43" fontId="173" fillId="0" borderId="0" applyAlignment="0"/>
    <xf numFmtId="43" fontId="173" fillId="0" borderId="0" applyAlignment="0"/>
    <xf numFmtId="43" fontId="1"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0" fontId="17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77" fillId="0" borderId="0" applyNumberFormat="0" applyFill="0" applyBorder="0" applyAlignment="0" applyProtection="0">
      <alignment vertical="top"/>
      <protection locked="0"/>
    </xf>
    <xf numFmtId="0" fontId="173" fillId="0" borderId="0"/>
    <xf numFmtId="0" fontId="15" fillId="0" borderId="0"/>
    <xf numFmtId="0" fontId="15" fillId="0" borderId="0"/>
    <xf numFmtId="0" fontId="15" fillId="0" borderId="0"/>
    <xf numFmtId="0" fontId="1" fillId="0" borderId="0"/>
    <xf numFmtId="0" fontId="1" fillId="0" borderId="0"/>
    <xf numFmtId="0" fontId="130" fillId="0" borderId="0"/>
    <xf numFmtId="0" fontId="1" fillId="0" borderId="0"/>
    <xf numFmtId="43" fontId="1" fillId="0" borderId="0" applyFont="0" applyFill="0" applyBorder="0" applyAlignment="0" applyProtection="0"/>
    <xf numFmtId="43" fontId="15" fillId="0" borderId="0" applyFont="0" applyFill="0" applyBorder="0" applyAlignment="0" applyProtection="0"/>
    <xf numFmtId="0" fontId="1" fillId="0" borderId="0"/>
    <xf numFmtId="0" fontId="1" fillId="0" borderId="0"/>
    <xf numFmtId="0" fontId="55" fillId="0" borderId="0"/>
    <xf numFmtId="0" fontId="1" fillId="0" borderId="0"/>
    <xf numFmtId="43" fontId="1" fillId="0" borderId="0" applyFont="0" applyFill="0" applyBorder="0" applyAlignment="0" applyProtection="0"/>
    <xf numFmtId="0" fontId="1" fillId="0" borderId="0"/>
    <xf numFmtId="0" fontId="38"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5"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51" fillId="0" borderId="135" applyNumberFormat="0" applyFon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5" fillId="30" borderId="2" applyNumberFormat="0" applyFont="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5" fillId="30" borderId="2" applyNumberFormat="0" applyFont="0" applyAlignment="0" applyProtection="0"/>
    <xf numFmtId="0" fontId="15" fillId="30" borderId="2" applyNumberFormat="0" applyFont="0" applyAlignment="0" applyProtection="0"/>
    <xf numFmtId="0" fontId="15" fillId="30" borderId="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5"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5" fillId="30" borderId="2" applyNumberFormat="0" applyFont="0" applyAlignment="0" applyProtection="0"/>
    <xf numFmtId="0" fontId="15" fillId="30" borderId="2" applyNumberFormat="0" applyFont="0" applyAlignment="0" applyProtection="0"/>
    <xf numFmtId="43" fontId="133"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46" fillId="0" borderId="0" applyNumberFormat="0" applyFill="0" applyBorder="0" applyAlignment="0" applyProtection="0">
      <alignment vertical="top"/>
      <protection locked="0"/>
    </xf>
    <xf numFmtId="0" fontId="1" fillId="0" borderId="0"/>
    <xf numFmtId="0" fontId="15"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5" fillId="0" borderId="0"/>
    <xf numFmtId="9" fontId="1" fillId="0" borderId="0" applyFont="0" applyFill="0" applyBorder="0" applyAlignment="0" applyProtection="0"/>
    <xf numFmtId="0" fontId="1" fillId="0" borderId="0"/>
    <xf numFmtId="0" fontId="1" fillId="0" borderId="0"/>
    <xf numFmtId="0" fontId="151" fillId="0" borderId="135" applyNumberFormat="0" applyFon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0" fontId="145" fillId="29" borderId="0" applyNumberFormat="0" applyBorder="0" applyAlignment="0" applyProtection="0"/>
    <xf numFmtId="0" fontId="145" fillId="33" borderId="0" applyNumberFormat="0" applyBorder="0" applyAlignment="0" applyProtection="0"/>
    <xf numFmtId="0" fontId="145" fillId="32" borderId="0" applyNumberFormat="0" applyBorder="0" applyAlignment="0" applyProtection="0"/>
    <xf numFmtId="0" fontId="145" fillId="29" borderId="0" applyNumberFormat="0" applyBorder="0" applyAlignment="0" applyProtection="0"/>
    <xf numFmtId="0" fontId="145" fillId="36" borderId="0" applyNumberFormat="0" applyBorder="0" applyAlignment="0" applyProtection="0"/>
    <xf numFmtId="0" fontId="145" fillId="38"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47" fillId="39" borderId="0" applyNumberFormat="0" applyBorder="0" applyAlignment="0" applyProtection="0"/>
    <xf numFmtId="0" fontId="142" fillId="32" borderId="157" applyNumberFormat="0" applyAlignment="0" applyProtection="0"/>
    <xf numFmtId="43" fontId="1" fillId="0" borderId="0" applyFont="0" applyFill="0" applyBorder="0" applyAlignment="0" applyProtection="0"/>
    <xf numFmtId="0" fontId="138" fillId="34" borderId="0" applyNumberFormat="0" applyBorder="0" applyAlignment="0" applyProtection="0"/>
    <xf numFmtId="0" fontId="135" fillId="0" borderId="159" applyNumberFormat="0" applyFill="0" applyAlignment="0" applyProtection="0"/>
    <xf numFmtId="0" fontId="136" fillId="0" borderId="160" applyNumberFormat="0" applyFill="0" applyAlignment="0" applyProtection="0"/>
    <xf numFmtId="0" fontId="137" fillId="0" borderId="161" applyNumberFormat="0" applyFill="0" applyAlignment="0" applyProtection="0"/>
    <xf numFmtId="0" fontId="137" fillId="0" borderId="0" applyNumberFormat="0" applyFill="0" applyBorder="0" applyAlignment="0" applyProtection="0"/>
    <xf numFmtId="0" fontId="149" fillId="0" borderId="162" applyNumberFormat="0" applyFill="0" applyAlignment="0" applyProtection="0"/>
    <xf numFmtId="0" fontId="139" fillId="44" borderId="0" applyNumberFormat="0" applyBorder="0" applyAlignment="0" applyProtection="0"/>
    <xf numFmtId="0" fontId="1" fillId="0" borderId="0"/>
    <xf numFmtId="0" fontId="145" fillId="59" borderId="0" applyNumberFormat="0" applyBorder="0" applyAlignment="0" applyProtection="0"/>
    <xf numFmtId="0" fontId="145" fillId="60" borderId="0" applyNumberFormat="0" applyBorder="0" applyAlignment="0" applyProtection="0"/>
    <xf numFmtId="0" fontId="145" fillId="61" borderId="0" applyNumberFormat="0" applyBorder="0" applyAlignment="0" applyProtection="0"/>
    <xf numFmtId="0" fontId="145" fillId="56" borderId="0" applyNumberFormat="0" applyBorder="0" applyAlignment="0" applyProtection="0"/>
    <xf numFmtId="0" fontId="145" fillId="57" borderId="0" applyNumberFormat="0" applyBorder="0" applyAlignment="0" applyProtection="0"/>
    <xf numFmtId="0" fontId="145" fillId="6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66" borderId="2" applyNumberFormat="0" applyFont="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5"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Alignment="0"/>
    <xf numFmtId="43" fontId="1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5" fillId="0" borderId="0" applyFont="0" applyFill="0" applyBorder="0" applyAlignment="0" applyProtection="0"/>
    <xf numFmtId="0" fontId="1" fillId="0" borderId="0"/>
    <xf numFmtId="0" fontId="15"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Alignment="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5" fillId="0" borderId="0"/>
    <xf numFmtId="0" fontId="15" fillId="0" borderId="0"/>
    <xf numFmtId="0" fontId="15" fillId="0" borderId="0"/>
    <xf numFmtId="0" fontId="1" fillId="0" borderId="0"/>
    <xf numFmtId="0" fontId="15" fillId="0" borderId="0"/>
    <xf numFmtId="43" fontId="1" fillId="0" borderId="0" applyFont="0" applyFill="0" applyBorder="0" applyAlignment="0" applyProtection="0"/>
    <xf numFmtId="5" fontId="15" fillId="0" borderId="0" applyFont="0" applyFill="0" applyBorder="0" applyAlignment="0" applyProtection="0"/>
    <xf numFmtId="3" fontId="15" fillId="0" borderId="0" applyFont="0" applyFill="0" applyBorder="0" applyAlignment="0" applyProtection="0"/>
    <xf numFmtId="43" fontId="15"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69" fillId="0" borderId="162" applyNumberFormat="0" applyFill="0" applyAlignment="0" applyProtection="0"/>
    <xf numFmtId="0" fontId="168" fillId="0" borderId="168" applyNumberFormat="0" applyFill="0" applyAlignment="0" applyProtection="0"/>
    <xf numFmtId="44" fontId="15" fillId="0" borderId="0" applyFont="0" applyFill="0" applyBorder="0" applyAlignment="0" applyProtection="0"/>
    <xf numFmtId="0" fontId="142" fillId="64" borderId="157" applyNumberFormat="0" applyAlignment="0" applyProtection="0"/>
    <xf numFmtId="0" fontId="142" fillId="32" borderId="157" applyNumberFormat="0" applyAlignment="0" applyProtection="0"/>
    <xf numFmtId="43" fontId="1" fillId="0" borderId="0" applyFont="0" applyFill="0" applyBorder="0" applyAlignment="0" applyProtection="0"/>
    <xf numFmtId="0" fontId="147" fillId="39" borderId="0" applyNumberFormat="0" applyBorder="0" applyAlignment="0" applyProtection="0"/>
    <xf numFmtId="0" fontId="147" fillId="39" borderId="0" applyNumberFormat="0" applyBorder="0" applyAlignment="0" applyProtection="0"/>
    <xf numFmtId="0" fontId="145" fillId="38" borderId="0" applyNumberFormat="0" applyBorder="0" applyAlignment="0" applyProtection="0"/>
    <xf numFmtId="0" fontId="145" fillId="36" borderId="0" applyNumberFormat="0" applyBorder="0" applyAlignment="0" applyProtection="0"/>
    <xf numFmtId="0" fontId="145" fillId="57" borderId="0" applyNumberFormat="0" applyBorder="0" applyAlignment="0" applyProtection="0"/>
    <xf numFmtId="0" fontId="145" fillId="56" borderId="0" applyNumberFormat="0" applyBorder="0" applyAlignment="0" applyProtection="0"/>
    <xf numFmtId="0" fontId="145" fillId="32" borderId="0" applyNumberFormat="0" applyBorder="0" applyAlignment="0" applyProtection="0"/>
    <xf numFmtId="0" fontId="145" fillId="32" borderId="0" applyNumberFormat="0" applyBorder="0" applyAlignment="0" applyProtection="0"/>
    <xf numFmtId="0" fontId="145" fillId="32" borderId="0" applyNumberFormat="0" applyBorder="0" applyAlignment="0" applyProtection="0"/>
    <xf numFmtId="0" fontId="145" fillId="61" borderId="0" applyNumberFormat="0" applyBorder="0" applyAlignment="0" applyProtection="0"/>
    <xf numFmtId="0" fontId="133" fillId="54" borderId="0" applyNumberFormat="0" applyBorder="0" applyAlignment="0" applyProtection="0"/>
    <xf numFmtId="0" fontId="133" fillId="51" borderId="0" applyNumberFormat="0" applyBorder="0" applyAlignment="0" applyProtection="0"/>
    <xf numFmtId="0" fontId="144" fillId="0" borderId="166" applyNumberFormat="0" applyFill="0" applyAlignment="0" applyProtection="0"/>
    <xf numFmtId="0" fontId="38" fillId="0" borderId="0" applyNumberFormat="0" applyFill="0" applyBorder="0" applyAlignment="0" applyProtection="0">
      <alignment vertical="top"/>
      <protection locked="0"/>
    </xf>
    <xf numFmtId="0" fontId="137" fillId="0" borderId="161" applyNumberFormat="0" applyFill="0" applyAlignment="0" applyProtection="0"/>
    <xf numFmtId="43" fontId="15" fillId="0" borderId="0" applyFont="0" applyFill="0" applyBorder="0" applyAlignment="0" applyProtection="0"/>
    <xf numFmtId="43" fontId="15" fillId="0" borderId="0" applyFont="0" applyFill="0" applyBorder="0" applyAlignment="0" applyProtection="0"/>
    <xf numFmtId="0" fontId="145" fillId="29" borderId="0" applyNumberFormat="0" applyBorder="0" applyAlignment="0" applyProtection="0"/>
    <xf numFmtId="0" fontId="145" fillId="32" borderId="0" applyNumberFormat="0" applyBorder="0" applyAlignment="0" applyProtection="0"/>
    <xf numFmtId="0" fontId="145" fillId="33" borderId="0" applyNumberFormat="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43" fontId="15" fillId="0" borderId="0" applyFont="0" applyFill="0" applyBorder="0" applyAlignment="0" applyProtection="0"/>
    <xf numFmtId="44" fontId="15" fillId="0" borderId="0" applyFont="0" applyFill="0" applyBorder="0" applyAlignment="0" applyProtection="0"/>
    <xf numFmtId="0" fontId="15" fillId="0" borderId="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69" fillId="0" borderId="162" applyNumberFormat="0" applyFill="0" applyAlignment="0" applyProtection="0"/>
    <xf numFmtId="0" fontId="145" fillId="29" borderId="0" applyNumberFormat="0" applyBorder="0" applyAlignment="0" applyProtection="0"/>
    <xf numFmtId="0" fontId="166" fillId="0" borderId="167" applyNumberFormat="0" applyFill="0" applyAlignment="0" applyProtection="0"/>
    <xf numFmtId="0" fontId="56" fillId="0" borderId="0" applyNumberFormat="0" applyFill="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40" fillId="50" borderId="1" applyNumberFormat="0" applyAlignment="0" applyProtection="0"/>
    <xf numFmtId="0" fontId="137" fillId="0" borderId="0" applyNumberFormat="0" applyFill="0" applyBorder="0" applyAlignment="0" applyProtection="0"/>
    <xf numFmtId="44" fontId="15" fillId="0" borderId="0" applyFont="0" applyFill="0" applyBorder="0" applyAlignment="0" applyProtection="0"/>
    <xf numFmtId="43" fontId="156" fillId="0" borderId="0" applyFont="0" applyFill="0" applyBorder="0" applyAlignment="0" applyProtection="0"/>
    <xf numFmtId="0" fontId="142" fillId="32" borderId="157" applyNumberFormat="0" applyAlignment="0" applyProtection="0"/>
    <xf numFmtId="0" fontId="145" fillId="36"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40" fillId="50" borderId="1" applyNumberFormat="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37" fillId="0" borderId="161" applyNumberFormat="0" applyFill="0" applyAlignment="0" applyProtection="0"/>
    <xf numFmtId="0" fontId="168" fillId="0" borderId="168" applyNumberFormat="0" applyFill="0" applyAlignment="0" applyProtection="0"/>
    <xf numFmtId="0" fontId="168" fillId="0" borderId="168"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3" fillId="46" borderId="0" applyNumberFormat="0" applyBorder="0" applyAlignment="0" applyProtection="0"/>
    <xf numFmtId="0" fontId="147" fillId="39" borderId="0" applyNumberFormat="0" applyBorder="0" applyAlignment="0" applyProtection="0"/>
    <xf numFmtId="0" fontId="163" fillId="46"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0" fillId="50" borderId="1" applyNumberFormat="0" applyAlignment="0" applyProtection="0"/>
    <xf numFmtId="0" fontId="169" fillId="0" borderId="162" applyNumberFormat="0" applyFill="0" applyAlignment="0" applyProtection="0"/>
    <xf numFmtId="0" fontId="149" fillId="0" borderId="162" applyNumberFormat="0" applyFill="0" applyAlignment="0" applyProtection="0"/>
    <xf numFmtId="0" fontId="148" fillId="40" borderId="1" applyNumberFormat="0" applyAlignment="0" applyProtection="0"/>
    <xf numFmtId="0" fontId="163" fillId="46" borderId="0" applyNumberFormat="0" applyBorder="0" applyAlignment="0" applyProtection="0"/>
    <xf numFmtId="0" fontId="166" fillId="0" borderId="167" applyNumberFormat="0" applyFill="0" applyAlignment="0" applyProtection="0"/>
    <xf numFmtId="0" fontId="145" fillId="32" borderId="0" applyNumberFormat="0" applyBorder="0" applyAlignment="0" applyProtection="0"/>
    <xf numFmtId="0" fontId="139" fillId="65" borderId="0" applyNumberFormat="0" applyBorder="0" applyAlignment="0" applyProtection="0"/>
    <xf numFmtId="0" fontId="139" fillId="44" borderId="0" applyNumberFormat="0" applyBorder="0" applyAlignment="0" applyProtection="0"/>
    <xf numFmtId="0" fontId="149" fillId="0" borderId="162" applyNumberFormat="0" applyFill="0" applyAlignment="0" applyProtection="0"/>
    <xf numFmtId="0" fontId="140" fillId="37" borderId="1" applyNumberFormat="0" applyAlignment="0" applyProtection="0"/>
    <xf numFmtId="0" fontId="137" fillId="0" borderId="161" applyNumberFormat="0" applyFill="0" applyAlignment="0" applyProtection="0"/>
    <xf numFmtId="0" fontId="135" fillId="0" borderId="159" applyNumberFormat="0" applyFill="0" applyAlignment="0" applyProtection="0"/>
    <xf numFmtId="44" fontId="15" fillId="0" borderId="0" applyFont="0" applyFill="0" applyBorder="0" applyAlignment="0" applyProtection="0"/>
    <xf numFmtId="43" fontId="15" fillId="0" borderId="0" applyFont="0" applyFill="0" applyBorder="0" applyAlignment="0" applyProtection="0"/>
    <xf numFmtId="0" fontId="142" fillId="32" borderId="157" applyNumberFormat="0" applyAlignment="0" applyProtection="0"/>
    <xf numFmtId="0" fontId="145" fillId="62" borderId="0" applyNumberFormat="0" applyBorder="0" applyAlignment="0" applyProtection="0"/>
    <xf numFmtId="0" fontId="145" fillId="36" borderId="0" applyNumberFormat="0" applyBorder="0" applyAlignment="0" applyProtection="0"/>
    <xf numFmtId="0" fontId="145" fillId="29" borderId="0" applyNumberFormat="0" applyBorder="0" applyAlignment="0" applyProtection="0"/>
    <xf numFmtId="0" fontId="145" fillId="29" borderId="0" applyNumberFormat="0" applyBorder="0" applyAlignment="0" applyProtection="0"/>
    <xf numFmtId="0" fontId="145" fillId="56" borderId="0" applyNumberFormat="0" applyBorder="0" applyAlignment="0" applyProtection="0"/>
    <xf numFmtId="0" fontId="133" fillId="52" borderId="0" applyNumberFormat="0" applyBorder="0" applyAlignment="0" applyProtection="0"/>
    <xf numFmtId="0" fontId="133" fillId="50" borderId="0" applyNumberFormat="0" applyBorder="0" applyAlignment="0" applyProtection="0"/>
    <xf numFmtId="0" fontId="133" fillId="48" borderId="0" applyNumberFormat="0" applyBorder="0" applyAlignment="0" applyProtection="0"/>
    <xf numFmtId="0" fontId="133" fillId="45" borderId="0" applyNumberFormat="0" applyBorder="0" applyAlignment="0" applyProtection="0"/>
    <xf numFmtId="0" fontId="15" fillId="30" borderId="2" applyNumberFormat="0" applyFont="0" applyAlignment="0" applyProtection="0"/>
    <xf numFmtId="0" fontId="15" fillId="0" borderId="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42" fillId="32" borderId="157" applyNumberFormat="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69" fillId="0" borderId="162" applyNumberFormat="0" applyFill="0" applyAlignment="0" applyProtection="0"/>
    <xf numFmtId="0" fontId="169" fillId="0" borderId="162" applyNumberFormat="0" applyFill="0" applyAlignment="0" applyProtection="0"/>
    <xf numFmtId="0" fontId="140" fillId="50" borderId="1" applyNumberFormat="0" applyAlignment="0" applyProtection="0"/>
    <xf numFmtId="0" fontId="140" fillId="37" borderId="1" applyNumberFormat="0" applyAlignment="0" applyProtection="0"/>
    <xf numFmtId="0" fontId="140" fillId="50" borderId="1" applyNumberFormat="0" applyAlignment="0" applyProtection="0"/>
    <xf numFmtId="0" fontId="168" fillId="0" borderId="0" applyNumberFormat="0" applyFill="0" applyBorder="0" applyAlignment="0" applyProtection="0"/>
    <xf numFmtId="0" fontId="137"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168" applyNumberFormat="0" applyFill="0" applyAlignment="0" applyProtection="0"/>
    <xf numFmtId="0" fontId="168" fillId="0" borderId="168" applyNumberFormat="0" applyFill="0" applyAlignment="0" applyProtection="0"/>
    <xf numFmtId="0" fontId="167" fillId="0" borderId="160" applyNumberFormat="0" applyFill="0" applyAlignment="0" applyProtection="0"/>
    <xf numFmtId="0" fontId="136"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38" fillId="34"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142" fillId="64" borderId="157" applyNumberFormat="0" applyAlignment="0" applyProtection="0"/>
    <xf numFmtId="0" fontId="142" fillId="32" borderId="157" applyNumberFormat="0" applyAlignment="0" applyProtection="0"/>
    <xf numFmtId="0" fontId="142" fillId="64" borderId="157" applyNumberFormat="0" applyAlignment="0" applyProtection="0"/>
    <xf numFmtId="0" fontId="142" fillId="64" borderId="157" applyNumberFormat="0" applyAlignment="0" applyProtection="0"/>
    <xf numFmtId="0" fontId="142" fillId="64" borderId="157" applyNumberFormat="0" applyAlignment="0" applyProtection="0"/>
    <xf numFmtId="0" fontId="164" fillId="63" borderId="1" applyNumberFormat="0" applyAlignment="0" applyProtection="0"/>
    <xf numFmtId="0" fontId="164" fillId="63" borderId="1" applyNumberFormat="0" applyAlignment="0" applyProtection="0"/>
    <xf numFmtId="0" fontId="163" fillId="46"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38"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36"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7"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29"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33"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2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30" fillId="0" borderId="0"/>
    <xf numFmtId="43" fontId="133" fillId="0" borderId="0" applyFont="0" applyFill="0" applyBorder="0" applyAlignment="0" applyProtection="0"/>
    <xf numFmtId="0" fontId="15" fillId="30" borderId="2" applyNumberFormat="0" applyFont="0" applyAlignment="0" applyProtection="0"/>
    <xf numFmtId="0" fontId="148" fillId="40" borderId="1" applyNumberFormat="0" applyAlignment="0" applyProtection="0"/>
    <xf numFmtId="0" fontId="145" fillId="38" borderId="0" applyNumberFormat="0" applyBorder="0" applyAlignment="0" applyProtection="0"/>
    <xf numFmtId="0" fontId="145" fillId="29" borderId="0" applyNumberFormat="0" applyBorder="0" applyAlignment="0" applyProtection="0"/>
    <xf numFmtId="0" fontId="145" fillId="33" borderId="0" applyNumberFormat="0" applyBorder="0" applyAlignment="0" applyProtection="0"/>
    <xf numFmtId="0" fontId="1" fillId="0" borderId="0"/>
    <xf numFmtId="0" fontId="143" fillId="0" borderId="0" applyNumberFormat="0" applyFill="0" applyBorder="0" applyAlignment="0" applyProtection="0"/>
    <xf numFmtId="0" fontId="144" fillId="0" borderId="166" applyNumberFormat="0" applyFill="0" applyAlignment="0" applyProtection="0"/>
    <xf numFmtId="9" fontId="15" fillId="0" borderId="0" applyFont="0" applyFill="0" applyBorder="0" applyAlignment="0" applyProtection="0"/>
    <xf numFmtId="9" fontId="1" fillId="0" borderId="0" applyFont="0" applyFill="0" applyBorder="0" applyAlignment="0" applyProtection="0"/>
    <xf numFmtId="0" fontId="141" fillId="40" borderId="163" applyNumberFormat="0" applyAlignment="0" applyProtection="0"/>
    <xf numFmtId="0" fontId="15" fillId="30" borderId="2" applyNumberFormat="0" applyFont="0" applyAlignment="0" applyProtection="0"/>
    <xf numFmtId="0" fontId="15" fillId="0" borderId="0"/>
    <xf numFmtId="0" fontId="15" fillId="0" borderId="0"/>
    <xf numFmtId="0" fontId="15" fillId="0" borderId="0"/>
    <xf numFmtId="0" fontId="139" fillId="44" borderId="0" applyNumberFormat="0" applyBorder="0" applyAlignment="0" applyProtection="0"/>
    <xf numFmtId="0" fontId="169" fillId="0" borderId="162" applyNumberFormat="0" applyFill="0" applyAlignment="0" applyProtection="0"/>
    <xf numFmtId="0" fontId="149" fillId="0" borderId="162" applyNumberFormat="0" applyFill="0" applyAlignment="0" applyProtection="0"/>
    <xf numFmtId="0" fontId="140" fillId="37" borderId="1" applyNumberFormat="0" applyAlignment="0" applyProtection="0"/>
    <xf numFmtId="0" fontId="140" fillId="37" borderId="1" applyNumberFormat="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68" fillId="0" borderId="0" applyNumberFormat="0" applyFill="0" applyBorder="0" applyAlignment="0" applyProtection="0"/>
    <xf numFmtId="0" fontId="168" fillId="0" borderId="168" applyNumberFormat="0" applyFill="0" applyAlignment="0" applyProtection="0"/>
    <xf numFmtId="0" fontId="137" fillId="0" borderId="0" applyNumberFormat="0" applyFill="0" applyBorder="0" applyAlignment="0" applyProtection="0"/>
    <xf numFmtId="0" fontId="137" fillId="0" borderId="161" applyNumberFormat="0" applyFill="0" applyAlignment="0" applyProtection="0"/>
    <xf numFmtId="0" fontId="137" fillId="0" borderId="161" applyNumberFormat="0" applyFill="0" applyAlignment="0" applyProtection="0"/>
    <xf numFmtId="0" fontId="136" fillId="0" borderId="160" applyNumberFormat="0" applyFill="0" applyAlignment="0" applyProtection="0"/>
    <xf numFmtId="0" fontId="167" fillId="0" borderId="160" applyNumberFormat="0" applyFill="0" applyAlignment="0" applyProtection="0"/>
    <xf numFmtId="0" fontId="167" fillId="0" borderId="160" applyNumberFormat="0" applyFill="0" applyAlignment="0" applyProtection="0"/>
    <xf numFmtId="0" fontId="136" fillId="0" borderId="160" applyNumberFormat="0" applyFill="0" applyAlignment="0" applyProtection="0"/>
    <xf numFmtId="0" fontId="136" fillId="0" borderId="160" applyNumberFormat="0" applyFill="0" applyAlignment="0" applyProtection="0"/>
    <xf numFmtId="0" fontId="136" fillId="0" borderId="160" applyNumberFormat="0" applyFill="0" applyAlignment="0" applyProtection="0"/>
    <xf numFmtId="0" fontId="138" fillId="47" borderId="0" applyNumberFormat="0" applyBorder="0" applyAlignment="0" applyProtection="0"/>
    <xf numFmtId="0" fontId="166" fillId="0" borderId="167" applyNumberFormat="0" applyFill="0" applyAlignment="0" applyProtection="0"/>
    <xf numFmtId="0" fontId="135" fillId="0" borderId="159" applyNumberFormat="0" applyFill="0" applyAlignment="0" applyProtection="0"/>
    <xf numFmtId="0" fontId="135" fillId="0" borderId="159" applyNumberFormat="0" applyFill="0" applyAlignment="0" applyProtection="0"/>
    <xf numFmtId="0" fontId="138" fillId="34" borderId="0" applyNumberFormat="0" applyBorder="0" applyAlignment="0" applyProtection="0"/>
    <xf numFmtId="0" fontId="138" fillId="47"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42" fillId="64" borderId="157" applyNumberFormat="0" applyAlignment="0" applyProtection="0"/>
    <xf numFmtId="0" fontId="142" fillId="32" borderId="157" applyNumberFormat="0" applyAlignment="0" applyProtection="0"/>
    <xf numFmtId="0" fontId="164" fillId="63" borderId="1" applyNumberFormat="0" applyAlignment="0" applyProtection="0"/>
    <xf numFmtId="0" fontId="164" fillId="63" borderId="1" applyNumberFormat="0" applyAlignment="0" applyProtection="0"/>
    <xf numFmtId="0" fontId="148" fillId="40" borderId="1" applyNumberFormat="0" applyAlignment="0" applyProtection="0"/>
    <xf numFmtId="0" fontId="148" fillId="40" borderId="1" applyNumberFormat="0" applyAlignment="0" applyProtection="0"/>
    <xf numFmtId="0" fontId="147" fillId="39" borderId="0" applyNumberFormat="0" applyBorder="0" applyAlignment="0" applyProtection="0"/>
    <xf numFmtId="0" fontId="163" fillId="46" borderId="0" applyNumberFormat="0" applyBorder="0" applyAlignment="0" applyProtection="0"/>
    <xf numFmtId="0" fontId="163" fillId="46" borderId="0" applyNumberFormat="0" applyBorder="0" applyAlignment="0" applyProtection="0"/>
    <xf numFmtId="43" fontId="1" fillId="0" borderId="0" applyFont="0" applyFill="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62"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6" borderId="0" applyNumberFormat="0" applyBorder="0" applyAlignment="0" applyProtection="0"/>
    <xf numFmtId="0" fontId="145" fillId="36" borderId="0" applyNumberFormat="0" applyBorder="0" applyAlignment="0" applyProtection="0"/>
    <xf numFmtId="0" fontId="145" fillId="57" borderId="0" applyNumberFormat="0" applyBorder="0" applyAlignment="0" applyProtection="0"/>
    <xf numFmtId="0" fontId="145" fillId="36" borderId="0" applyNumberFormat="0" applyBorder="0" applyAlignment="0" applyProtection="0"/>
    <xf numFmtId="0" fontId="145" fillId="36" borderId="0" applyNumberFormat="0" applyBorder="0" applyAlignment="0" applyProtection="0"/>
    <xf numFmtId="0" fontId="145" fillId="29" borderId="0" applyNumberFormat="0" applyBorder="0" applyAlignment="0" applyProtection="0"/>
    <xf numFmtId="0" fontId="145" fillId="29" borderId="0" applyNumberFormat="0" applyBorder="0" applyAlignment="0" applyProtection="0"/>
    <xf numFmtId="0" fontId="145" fillId="29" borderId="0" applyNumberFormat="0" applyBorder="0" applyAlignment="0" applyProtection="0"/>
    <xf numFmtId="0" fontId="145" fillId="29" borderId="0" applyNumberFormat="0" applyBorder="0" applyAlignment="0" applyProtection="0"/>
    <xf numFmtId="0" fontId="145" fillId="56" borderId="0" applyNumberFormat="0" applyBorder="0" applyAlignment="0" applyProtection="0"/>
    <xf numFmtId="0" fontId="145" fillId="29" borderId="0" applyNumberFormat="0" applyBorder="0" applyAlignment="0" applyProtection="0"/>
    <xf numFmtId="0" fontId="145" fillId="29" borderId="0" applyNumberFormat="0" applyBorder="0" applyAlignment="0" applyProtection="0"/>
    <xf numFmtId="0" fontId="145" fillId="29" borderId="0" applyNumberFormat="0" applyBorder="0" applyAlignment="0" applyProtection="0"/>
    <xf numFmtId="0" fontId="145" fillId="32" borderId="0" applyNumberFormat="0" applyBorder="0" applyAlignment="0" applyProtection="0"/>
    <xf numFmtId="0" fontId="145" fillId="61" borderId="0" applyNumberFormat="0" applyBorder="0" applyAlignment="0" applyProtection="0"/>
    <xf numFmtId="0" fontId="145" fillId="32" borderId="0" applyNumberFormat="0" applyBorder="0" applyAlignment="0" applyProtection="0"/>
    <xf numFmtId="0" fontId="145" fillId="32" borderId="0" applyNumberFormat="0" applyBorder="0" applyAlignment="0" applyProtection="0"/>
    <xf numFmtId="0" fontId="145" fillId="32"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60"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29" borderId="0" applyNumberFormat="0" applyBorder="0" applyAlignment="0" applyProtection="0"/>
    <xf numFmtId="0" fontId="145" fillId="29" borderId="0" applyNumberFormat="0" applyBorder="0" applyAlignment="0" applyProtection="0"/>
    <xf numFmtId="0" fontId="145" fillId="59" borderId="0" applyNumberFormat="0" applyBorder="0" applyAlignment="0" applyProtection="0"/>
    <xf numFmtId="0" fontId="145" fillId="29" borderId="0" applyNumberFormat="0" applyBorder="0" applyAlignment="0" applyProtection="0"/>
    <xf numFmtId="0" fontId="145" fillId="59" borderId="0" applyNumberFormat="0" applyBorder="0" applyAlignment="0" applyProtection="0"/>
    <xf numFmtId="0" fontId="145" fillId="29" borderId="0" applyNumberFormat="0" applyBorder="0" applyAlignment="0" applyProtection="0"/>
    <xf numFmtId="0" fontId="145" fillId="29" borderId="0" applyNumberFormat="0" applyBorder="0" applyAlignment="0" applyProtection="0"/>
    <xf numFmtId="0" fontId="145" fillId="58" borderId="0" applyNumberFormat="0" applyBorder="0" applyAlignment="0" applyProtection="0"/>
    <xf numFmtId="0" fontId="145" fillId="57" borderId="0" applyNumberFormat="0" applyBorder="0" applyAlignment="0" applyProtection="0"/>
    <xf numFmtId="0" fontId="145" fillId="53" borderId="0" applyNumberFormat="0" applyBorder="0" applyAlignment="0" applyProtection="0"/>
    <xf numFmtId="0" fontId="145" fillId="52" borderId="0" applyNumberFormat="0" applyBorder="0" applyAlignment="0" applyProtection="0"/>
    <xf numFmtId="0" fontId="145" fillId="55" borderId="0" applyNumberFormat="0" applyBorder="0" applyAlignment="0" applyProtection="0"/>
    <xf numFmtId="0" fontId="133" fillId="48" borderId="0" applyNumberFormat="0" applyBorder="0" applyAlignment="0" applyProtection="0"/>
    <xf numFmtId="0" fontId="133" fillId="53" borderId="0" applyNumberFormat="0" applyBorder="0" applyAlignment="0" applyProtection="0"/>
    <xf numFmtId="0" fontId="133" fillId="51" borderId="0" applyNumberFormat="0" applyBorder="0" applyAlignment="0" applyProtection="0"/>
    <xf numFmtId="0" fontId="133" fillId="49" borderId="0" applyNumberFormat="0" applyBorder="0" applyAlignment="0" applyProtection="0"/>
    <xf numFmtId="0" fontId="133" fillId="47" borderId="0" applyNumberFormat="0" applyBorder="0" applyAlignment="0" applyProtection="0"/>
    <xf numFmtId="0" fontId="133" fillId="46" borderId="0" applyNumberFormat="0" applyBorder="0" applyAlignment="0" applyProtection="0"/>
    <xf numFmtId="0" fontId="144" fillId="0" borderId="166" applyNumberFormat="0" applyFill="0" applyAlignment="0" applyProtection="0"/>
    <xf numFmtId="0" fontId="141" fillId="40" borderId="163" applyNumberFormat="0" applyAlignment="0" applyProtection="0"/>
    <xf numFmtId="0" fontId="141" fillId="40" borderId="163" applyNumberFormat="0" applyAlignment="0" applyProtection="0"/>
    <xf numFmtId="0" fontId="1" fillId="0" borderId="0"/>
    <xf numFmtId="0" fontId="15" fillId="0" borderId="0"/>
    <xf numFmtId="0" fontId="15" fillId="0" borderId="0"/>
    <xf numFmtId="0" fontId="139" fillId="44" borderId="0" applyNumberFormat="0" applyBorder="0" applyAlignment="0" applyProtection="0"/>
    <xf numFmtId="0" fontId="149" fillId="0" borderId="162" applyNumberFormat="0" applyFill="0" applyAlignment="0" applyProtection="0"/>
    <xf numFmtId="0" fontId="140" fillId="37" borderId="1" applyNumberFormat="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37" fillId="0" borderId="0" applyNumberFormat="0" applyFill="0" applyBorder="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38" fillId="34" borderId="0" applyNumberFormat="0" applyBorder="0" applyAlignment="0" applyProtection="0"/>
    <xf numFmtId="0" fontId="136" fillId="0" borderId="160" applyNumberFormat="0" applyFill="0" applyAlignment="0" applyProtection="0"/>
    <xf numFmtId="44" fontId="15" fillId="0" borderId="0" applyFont="0" applyFill="0" applyBorder="0" applyAlignment="0" applyProtection="0"/>
    <xf numFmtId="44" fontId="15" fillId="0" borderId="0" applyFont="0" applyFill="0" applyBorder="0" applyAlignment="0" applyProtection="0"/>
    <xf numFmtId="44" fontId="13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42" fillId="32" borderId="157" applyNumberFormat="0" applyAlignment="0" applyProtection="0"/>
    <xf numFmtId="43" fontId="15" fillId="0" borderId="0" applyFont="0" applyFill="0" applyBorder="0" applyAlignment="0" applyProtection="0"/>
    <xf numFmtId="0" fontId="148" fillId="40" borderId="1" applyNumberFormat="0" applyAlignment="0" applyProtection="0"/>
    <xf numFmtId="0" fontId="148" fillId="40" borderId="1" applyNumberFormat="0" applyAlignment="0" applyProtection="0"/>
    <xf numFmtId="0" fontId="145" fillId="38" borderId="0" applyNumberFormat="0" applyBorder="0" applyAlignment="0" applyProtection="0"/>
    <xf numFmtId="0" fontId="147" fillId="39" borderId="0" applyNumberFormat="0" applyBorder="0" applyAlignment="0" applyProtection="0"/>
    <xf numFmtId="0" fontId="147" fillId="39" borderId="0" applyNumberFormat="0" applyBorder="0" applyAlignment="0" applyProtection="0"/>
    <xf numFmtId="0" fontId="145" fillId="38" borderId="0" applyNumberFormat="0" applyBorder="0" applyAlignment="0" applyProtection="0"/>
    <xf numFmtId="0" fontId="145" fillId="36" borderId="0" applyNumberFormat="0" applyBorder="0" applyAlignment="0" applyProtection="0"/>
    <xf numFmtId="0" fontId="145" fillId="36" borderId="0" applyNumberFormat="0" applyBorder="0" applyAlignment="0" applyProtection="0"/>
    <xf numFmtId="0" fontId="145" fillId="32" borderId="0" applyNumberFormat="0" applyBorder="0" applyAlignment="0" applyProtection="0"/>
    <xf numFmtId="0" fontId="145" fillId="33" borderId="0" applyNumberFormat="0" applyBorder="0" applyAlignment="0" applyProtection="0"/>
    <xf numFmtId="0" fontId="145" fillId="29" borderId="0" applyNumberFormat="0" applyBorder="0" applyAlignment="0" applyProtection="0"/>
    <xf numFmtId="0" fontId="145" fillId="29" borderId="0" applyNumberFormat="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135" fillId="0" borderId="159" applyNumberFormat="0" applyFill="0" applyAlignment="0" applyProtection="0"/>
    <xf numFmtId="44" fontId="15" fillId="0" borderId="0" applyFont="0" applyFill="0" applyBorder="0" applyAlignment="0" applyProtection="0"/>
    <xf numFmtId="44" fontId="1"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66" borderId="2" applyNumberFormat="0" applyFont="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39" fillId="44" borderId="0" applyNumberFormat="0" applyBorder="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37" fillId="0" borderId="0" applyNumberFormat="0" applyFill="0" applyBorder="0" applyAlignment="0" applyProtection="0"/>
    <xf numFmtId="0" fontId="137" fillId="0" borderId="161" applyNumberFormat="0" applyFill="0" applyAlignment="0" applyProtection="0"/>
    <xf numFmtId="44" fontId="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45" fillId="60" borderId="0" applyNumberFormat="0" applyBorder="0" applyAlignment="0" applyProtection="0"/>
    <xf numFmtId="0" fontId="140" fillId="50" borderId="1" applyNumberFormat="0" applyAlignment="0" applyProtection="0"/>
    <xf numFmtId="0" fontId="168" fillId="0" borderId="168" applyNumberFormat="0" applyFill="0" applyAlignment="0" applyProtection="0"/>
    <xf numFmtId="0" fontId="166" fillId="0" borderId="167" applyNumberFormat="0" applyFill="0" applyAlignment="0" applyProtection="0"/>
    <xf numFmtId="0" fontId="138" fillId="47" borderId="0" applyNumberFormat="0" applyBorder="0" applyAlignment="0" applyProtection="0"/>
    <xf numFmtId="0" fontId="138" fillId="47" borderId="0" applyNumberFormat="0" applyBorder="0" applyAlignment="0" applyProtection="0"/>
    <xf numFmtId="0" fontId="142" fillId="64" borderId="157" applyNumberFormat="0" applyAlignment="0" applyProtection="0"/>
    <xf numFmtId="0" fontId="163" fillId="46" borderId="0" applyNumberFormat="0" applyBorder="0" applyAlignment="0" applyProtection="0"/>
    <xf numFmtId="0" fontId="145" fillId="57" borderId="0" applyNumberFormat="0" applyBorder="0" applyAlignment="0" applyProtection="0"/>
    <xf numFmtId="0" fontId="145" fillId="61" borderId="0" applyNumberFormat="0" applyBorder="0" applyAlignment="0" applyProtection="0"/>
    <xf numFmtId="0" fontId="15" fillId="30" borderId="2" applyNumberFormat="0" applyFont="0" applyAlignment="0" applyProtection="0"/>
    <xf numFmtId="0" fontId="141" fillId="63" borderId="163" applyNumberFormat="0" applyAlignment="0" applyProtection="0"/>
    <xf numFmtId="0" fontId="15" fillId="0" borderId="0"/>
    <xf numFmtId="0" fontId="168" fillId="0" borderId="0" applyNumberFormat="0" applyFill="0" applyBorder="0" applyAlignment="0" applyProtection="0"/>
    <xf numFmtId="0" fontId="166" fillId="0" borderId="167" applyNumberFormat="0" applyFill="0" applyAlignment="0" applyProtection="0"/>
    <xf numFmtId="0" fontId="135" fillId="0" borderId="159" applyNumberFormat="0" applyFill="0" applyAlignment="0" applyProtection="0"/>
    <xf numFmtId="0" fontId="165" fillId="0" borderId="0" applyNumberFormat="0" applyFill="0" applyBorder="0" applyAlignment="0" applyProtection="0"/>
    <xf numFmtId="44" fontId="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38" fillId="47" borderId="0" applyNumberFormat="0" applyBorder="0" applyAlignment="0" applyProtection="0"/>
    <xf numFmtId="0" fontId="1" fillId="0" borderId="0"/>
    <xf numFmtId="43" fontId="1" fillId="0" borderId="0" applyFont="0" applyFill="0" applyBorder="0" applyAlignment="0" applyProtection="0"/>
    <xf numFmtId="0" fontId="147" fillId="39" borderId="0" applyNumberFormat="0" applyBorder="0" applyAlignment="0" applyProtection="0"/>
    <xf numFmtId="0" fontId="148" fillId="40" borderId="1" applyNumberForma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40" fillId="37" borderId="1" applyNumberFormat="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141" fillId="40" borderId="163" applyNumberFormat="0" applyAlignment="0" applyProtection="0"/>
    <xf numFmtId="0" fontId="1" fillId="0" borderId="0"/>
    <xf numFmtId="0" fontId="145" fillId="36" borderId="0" applyNumberFormat="0" applyBorder="0" applyAlignment="0" applyProtection="0"/>
    <xf numFmtId="0" fontId="145" fillId="32" borderId="0" applyNumberFormat="0" applyBorder="0" applyAlignment="0" applyProtection="0"/>
    <xf numFmtId="0" fontId="145" fillId="29" borderId="0" applyNumberFormat="0" applyBorder="0" applyAlignment="0" applyProtection="0"/>
    <xf numFmtId="0" fontId="143" fillId="0" borderId="0" applyNumberFormat="0" applyFill="0" applyBorder="0" applyAlignment="0" applyProtection="0"/>
    <xf numFmtId="0" fontId="144" fillId="0" borderId="166" applyNumberFormat="0" applyFill="0" applyAlignment="0" applyProtection="0"/>
    <xf numFmtId="0" fontId="144" fillId="0" borderId="169" applyNumberFormat="0" applyFill="0" applyAlignment="0" applyProtection="0"/>
    <xf numFmtId="0" fontId="144" fillId="0" borderId="166" applyNumberFormat="0" applyFill="0" applyAlignment="0" applyProtection="0"/>
    <xf numFmtId="0" fontId="170" fillId="0" borderId="0" applyNumberFormat="0" applyFill="0" applyBorder="0" applyAlignment="0" applyProtection="0"/>
    <xf numFmtId="0" fontId="144" fillId="0" borderId="169" applyNumberFormat="0" applyFill="0" applyAlignment="0" applyProtection="0"/>
    <xf numFmtId="0" fontId="141" fillId="40" borderId="163" applyNumberFormat="0" applyAlignment="0" applyProtection="0"/>
    <xf numFmtId="0" fontId="141" fillId="63" borderId="163" applyNumberFormat="0" applyAlignment="0" applyProtection="0"/>
    <xf numFmtId="0" fontId="141" fillId="40" borderId="163" applyNumberFormat="0" applyAlignment="0" applyProtection="0"/>
    <xf numFmtId="0" fontId="15" fillId="66" borderId="2" applyNumberFormat="0" applyFont="0" applyAlignment="0" applyProtection="0"/>
    <xf numFmtId="0" fontId="15" fillId="30" borderId="2" applyNumberFormat="0" applyFont="0" applyAlignment="0" applyProtection="0"/>
    <xf numFmtId="0" fontId="15" fillId="0" borderId="0"/>
    <xf numFmtId="0" fontId="15" fillId="0" borderId="0"/>
    <xf numFmtId="0" fontId="169" fillId="0" borderId="162" applyNumberFormat="0" applyFill="0" applyAlignment="0" applyProtection="0"/>
    <xf numFmtId="0" fontId="149" fillId="0" borderId="162" applyNumberFormat="0" applyFill="0" applyAlignment="0" applyProtection="0"/>
    <xf numFmtId="0" fontId="149" fillId="0" borderId="162" applyNumberFormat="0" applyFill="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156" fillId="0" borderId="0"/>
    <xf numFmtId="0" fontId="15" fillId="0" borderId="0"/>
    <xf numFmtId="0" fontId="15" fillId="0" borderId="0"/>
    <xf numFmtId="44" fontId="15" fillId="0" borderId="0" applyFont="0" applyFill="0" applyBorder="0" applyAlignment="0" applyProtection="0"/>
    <xf numFmtId="43" fontId="15" fillId="0" borderId="0" applyFont="0" applyFill="0" applyBorder="0" applyAlignment="0" applyProtection="0"/>
    <xf numFmtId="43" fontId="15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49" fillId="0" borderId="162" applyNumberFormat="0" applyFill="0" applyAlignment="0" applyProtection="0"/>
    <xf numFmtId="0" fontId="136" fillId="0" borderId="160" applyNumberFormat="0" applyFill="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35" fillId="0" borderId="159" applyNumberFormat="0" applyFill="0" applyAlignment="0" applyProtection="0"/>
    <xf numFmtId="0" fontId="138" fillId="34" borderId="0" applyNumberFormat="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39" fillId="65" borderId="0" applyNumberFormat="0" applyBorder="0" applyAlignment="0" applyProtection="0"/>
    <xf numFmtId="0" fontId="145" fillId="60" borderId="0" applyNumberFormat="0" applyBorder="0" applyAlignment="0" applyProtection="0"/>
    <xf numFmtId="0" fontId="145" fillId="59" borderId="0" applyNumberFormat="0" applyBorder="0" applyAlignment="0" applyProtection="0"/>
    <xf numFmtId="0" fontId="140" fillId="50" borderId="1" applyNumberFormat="0" applyAlignment="0" applyProtection="0"/>
    <xf numFmtId="0" fontId="137" fillId="0" borderId="161" applyNumberFormat="0" applyFill="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5" fillId="0" borderId="0" applyFont="0" applyFill="0" applyBorder="0" applyAlignment="0" applyProtection="0"/>
    <xf numFmtId="0" fontId="1" fillId="0" borderId="0"/>
    <xf numFmtId="0" fontId="140" fillId="37" borderId="1" applyNumberFormat="0" applyAlignment="0" applyProtection="0"/>
    <xf numFmtId="0" fontId="144" fillId="0" borderId="166" applyNumberFormat="0" applyFill="0" applyAlignment="0" applyProtection="0"/>
    <xf numFmtId="0" fontId="166" fillId="0" borderId="167" applyNumberFormat="0" applyFill="0" applyAlignment="0" applyProtection="0"/>
    <xf numFmtId="0" fontId="166" fillId="0" borderId="167" applyNumberFormat="0" applyFill="0" applyAlignment="0" applyProtection="0"/>
    <xf numFmtId="0" fontId="135" fillId="0" borderId="159" applyNumberFormat="0" applyFill="0" applyAlignment="0" applyProtection="0"/>
    <xf numFmtId="0" fontId="15" fillId="30" borderId="2" applyNumberFormat="0" applyFont="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65" borderId="0" applyNumberFormat="0" applyBorder="0" applyAlignment="0" applyProtection="0"/>
    <xf numFmtId="0" fontId="139" fillId="44" borderId="0" applyNumberFormat="0" applyBorder="0" applyAlignment="0" applyProtection="0"/>
    <xf numFmtId="0" fontId="139" fillId="65" borderId="0" applyNumberFormat="0" applyBorder="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30" borderId="2" applyNumberFormat="0" applyFon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40" borderId="163" applyNumberFormat="0" applyAlignment="0" applyProtection="0"/>
    <xf numFmtId="0" fontId="141" fillId="63" borderId="163" applyNumberFormat="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6" applyNumberFormat="0" applyFill="0" applyAlignment="0" applyProtection="0"/>
    <xf numFmtId="0" fontId="144" fillId="0" borderId="169" applyNumberFormat="0" applyFill="0" applyAlignment="0" applyProtection="0"/>
    <xf numFmtId="0" fontId="55"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44" fillId="0" borderId="166" applyNumberFormat="0" applyFill="0" applyAlignment="0" applyProtection="0"/>
    <xf numFmtId="0" fontId="141" fillId="40" borderId="163"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64" fillId="63" borderId="1" applyNumberFormat="0" applyAlignment="0" applyProtection="0"/>
    <xf numFmtId="0" fontId="1" fillId="0" borderId="0"/>
    <xf numFmtId="0" fontId="1" fillId="0" borderId="0"/>
    <xf numFmtId="0" fontId="1" fillId="0" borderId="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48" fillId="40" borderId="1" applyNumberFormat="0" applyAlignment="0" applyProtection="0"/>
    <xf numFmtId="0" fontId="164" fillId="63" borderId="1" applyNumberFormat="0" applyAlignment="0" applyProtection="0"/>
    <xf numFmtId="0" fontId="164" fillId="63"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5" fillId="66" borderId="2" applyNumberFormat="0" applyFont="0" applyAlignment="0" applyProtection="0"/>
    <xf numFmtId="0" fontId="15" fillId="66" borderId="2" applyNumberFormat="0" applyFont="0" applyAlignment="0" applyProtection="0"/>
    <xf numFmtId="43" fontId="1" fillId="0" borderId="0" applyFont="0" applyFill="0" applyBorder="0" applyAlignment="0" applyProtection="0"/>
    <xf numFmtId="0" fontId="141" fillId="40" borderId="163" applyNumberFormat="0" applyAlignment="0" applyProtection="0"/>
    <xf numFmtId="0" fontId="144" fillId="0" borderId="169" applyNumberFormat="0" applyFill="0" applyAlignment="0" applyProtection="0"/>
    <xf numFmtId="0" fontId="15" fillId="30" borderId="2" applyNumberFormat="0" applyFont="0" applyAlignment="0" applyProtection="0"/>
    <xf numFmtId="0" fontId="141" fillId="63" borderId="163" applyNumberFormat="0" applyAlignment="0" applyProtection="0"/>
    <xf numFmtId="0" fontId="144" fillId="0" borderId="169" applyNumberFormat="0" applyFill="0" applyAlignment="0" applyProtection="0"/>
    <xf numFmtId="0" fontId="140" fillId="37" borderId="1"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40" borderId="163" applyNumberFormat="0" applyAlignment="0" applyProtection="0"/>
    <xf numFmtId="0" fontId="141" fillId="63" borderId="163" applyNumberFormat="0" applyAlignment="0" applyProtection="0"/>
    <xf numFmtId="0" fontId="141" fillId="63" borderId="163" applyNumberFormat="0" applyAlignment="0" applyProtection="0"/>
    <xf numFmtId="0" fontId="144" fillId="0" borderId="166"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0" fillId="50" borderId="1" applyNumberFormat="0" applyAlignment="0" applyProtection="0"/>
    <xf numFmtId="0" fontId="141" fillId="63" borderId="163"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40" fillId="50" borderId="1" applyNumberFormat="0" applyAlignment="0" applyProtection="0"/>
    <xf numFmtId="0" fontId="15" fillId="66" borderId="2" applyNumberFormat="0" applyFont="0" applyAlignment="0" applyProtection="0"/>
    <xf numFmtId="0" fontId="141" fillId="63" borderId="163" applyNumberFormat="0" applyAlignment="0" applyProtection="0"/>
    <xf numFmtId="0" fontId="164" fillId="63" borderId="1" applyNumberFormat="0" applyAlignment="0" applyProtection="0"/>
    <xf numFmtId="0" fontId="144" fillId="0" borderId="169" applyNumberFormat="0" applyFill="0" applyAlignment="0" applyProtection="0"/>
    <xf numFmtId="0" fontId="15" fillId="66" borderId="2" applyNumberFormat="0" applyFont="0" applyAlignment="0" applyProtection="0"/>
    <xf numFmtId="0" fontId="141" fillId="63" borderId="163" applyNumberFormat="0" applyAlignment="0" applyProtection="0"/>
    <xf numFmtId="0" fontId="141" fillId="40" borderId="163" applyNumberFormat="0" applyAlignment="0" applyProtection="0"/>
    <xf numFmtId="0" fontId="164" fillId="63" borderId="1" applyNumberFormat="0" applyAlignment="0" applyProtection="0"/>
    <xf numFmtId="0" fontId="164" fillId="63" borderId="1" applyNumberFormat="0" applyAlignment="0" applyProtection="0"/>
    <xf numFmtId="0" fontId="140" fillId="50" borderId="1" applyNumberFormat="0" applyAlignment="0" applyProtection="0"/>
    <xf numFmtId="0" fontId="144" fillId="0" borderId="169" applyNumberFormat="0" applyFill="0" applyAlignment="0" applyProtection="0"/>
    <xf numFmtId="0" fontId="140" fillId="50"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40" fillId="37"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44" fillId="0" borderId="166" applyNumberFormat="0" applyFill="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1" fillId="40" borderId="163" applyNumberFormat="0" applyAlignment="0" applyProtection="0"/>
    <xf numFmtId="0" fontId="15" fillId="66" borderId="2" applyNumberFormat="0" applyFont="0" applyAlignment="0" applyProtection="0"/>
    <xf numFmtId="0" fontId="164" fillId="63" borderId="1" applyNumberForma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64" fillId="63" borderId="1" applyNumberFormat="0" applyAlignment="0" applyProtection="0"/>
    <xf numFmtId="0" fontId="164" fillId="63" borderId="1" applyNumberFormat="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8" fillId="40" borderId="1" applyNumberFormat="0" applyAlignment="0" applyProtection="0"/>
    <xf numFmtId="0" fontId="144" fillId="0" borderId="169" applyNumberFormat="0" applyFill="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5" fillId="66" borderId="2" applyNumberFormat="0" applyFont="0" applyAlignment="0" applyProtection="0"/>
    <xf numFmtId="0" fontId="15" fillId="66" borderId="2" applyNumberFormat="0" applyFont="0" applyAlignment="0" applyProtection="0"/>
    <xf numFmtId="0" fontId="141" fillId="63" borderId="163" applyNumberFormat="0" applyAlignment="0" applyProtection="0"/>
    <xf numFmtId="0" fontId="144" fillId="0" borderId="169" applyNumberFormat="0" applyFill="0" applyAlignment="0" applyProtection="0"/>
    <xf numFmtId="0" fontId="141" fillId="63" borderId="163" applyNumberFormat="0" applyAlignment="0" applyProtection="0"/>
    <xf numFmtId="0" fontId="141" fillId="63" borderId="163" applyNumberFormat="0" applyAlignment="0" applyProtection="0"/>
    <xf numFmtId="0" fontId="141" fillId="40" borderId="163" applyNumberFormat="0" applyAlignment="0" applyProtection="0"/>
    <xf numFmtId="0" fontId="141" fillId="63" borderId="163" applyNumberFormat="0" applyAlignment="0" applyProtection="0"/>
    <xf numFmtId="0" fontId="141" fillId="63" borderId="163" applyNumberFormat="0" applyAlignment="0" applyProtection="0"/>
    <xf numFmtId="0" fontId="148" fillId="40" borderId="1" applyNumberFormat="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1" fillId="63" borderId="163" applyNumberFormat="0" applyAlignment="0" applyProtection="0"/>
    <xf numFmtId="0" fontId="144" fillId="0" borderId="169" applyNumberFormat="0" applyFill="0" applyAlignment="0" applyProtection="0"/>
    <xf numFmtId="0" fontId="15" fillId="66" borderId="2" applyNumberFormat="0" applyFont="0" applyAlignment="0" applyProtection="0"/>
    <xf numFmtId="0" fontId="140" fillId="50" borderId="1" applyNumberFormat="0" applyAlignment="0" applyProtection="0"/>
    <xf numFmtId="0" fontId="140" fillId="37"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1" fillId="63" borderId="163" applyNumberFormat="0" applyAlignment="0" applyProtection="0"/>
    <xf numFmtId="0" fontId="140" fillId="37" borderId="1" applyNumberFormat="0" applyAlignment="0" applyProtection="0"/>
    <xf numFmtId="0" fontId="140" fillId="37" borderId="1" applyNumberFormat="0" applyAlignment="0" applyProtection="0"/>
    <xf numFmtId="0" fontId="140" fillId="37" borderId="1" applyNumberFormat="0" applyAlignment="0" applyProtection="0"/>
    <xf numFmtId="0" fontId="140" fillId="50" borderId="1" applyNumberFormat="0" applyAlignment="0" applyProtection="0"/>
    <xf numFmtId="0" fontId="164" fillId="63" borderId="1" applyNumberFormat="0" applyAlignment="0" applyProtection="0"/>
    <xf numFmtId="0" fontId="148" fillId="40" borderId="1" applyNumberFormat="0" applyAlignment="0" applyProtection="0"/>
    <xf numFmtId="0" fontId="164" fillId="63" borderId="1" applyNumberFormat="0" applyAlignment="0" applyProtection="0"/>
    <xf numFmtId="0" fontId="164" fillId="63" borderId="1" applyNumberFormat="0" applyAlignment="0" applyProtection="0"/>
    <xf numFmtId="0" fontId="140" fillId="37"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41" fillId="40" borderId="163" applyNumberFormat="0" applyAlignment="0" applyProtection="0"/>
    <xf numFmtId="0" fontId="141" fillId="40" borderId="163" applyNumberFormat="0" applyAlignment="0" applyProtection="0"/>
    <xf numFmtId="0" fontId="141" fillId="40" borderId="163" applyNumberFormat="0" applyAlignment="0" applyProtection="0"/>
    <xf numFmtId="0" fontId="141" fillId="40" borderId="163" applyNumberFormat="0" applyAlignment="0" applyProtection="0"/>
    <xf numFmtId="0" fontId="141" fillId="40" borderId="163" applyNumberFormat="0" applyAlignment="0" applyProtection="0"/>
    <xf numFmtId="0" fontId="151" fillId="0" borderId="135" applyNumberFormat="0" applyFont="0" applyFill="0" applyAlignment="0" applyProtection="0"/>
    <xf numFmtId="0" fontId="144" fillId="0" borderId="166" applyNumberFormat="0" applyFill="0" applyAlignment="0" applyProtection="0"/>
    <xf numFmtId="0" fontId="144" fillId="0" borderId="166" applyNumberFormat="0" applyFill="0" applyAlignment="0" applyProtection="0"/>
    <xf numFmtId="0" fontId="144" fillId="0" borderId="166" applyNumberFormat="0" applyFill="0" applyAlignment="0" applyProtection="0"/>
    <xf numFmtId="0" fontId="15" fillId="66" borderId="2" applyNumberFormat="0" applyFont="0" applyAlignment="0" applyProtection="0"/>
    <xf numFmtId="0" fontId="140" fillId="50" borderId="1" applyNumberForma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44" fillId="0" borderId="166" applyNumberFormat="0" applyFill="0" applyAlignment="0" applyProtection="0"/>
    <xf numFmtId="0" fontId="141" fillId="40" borderId="163" applyNumberForma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44" fillId="0" borderId="169" applyNumberFormat="0" applyFill="0" applyAlignment="0" applyProtection="0"/>
    <xf numFmtId="0" fontId="144" fillId="0" borderId="169" applyNumberFormat="0" applyFill="0" applyAlignment="0" applyProtection="0"/>
    <xf numFmtId="0" fontId="148" fillId="40" borderId="1" applyNumberFormat="0" applyAlignment="0" applyProtection="0"/>
    <xf numFmtId="0" fontId="164" fillId="63" borderId="1" applyNumberFormat="0" applyAlignment="0" applyProtection="0"/>
    <xf numFmtId="0" fontId="164" fillId="63" borderId="1" applyNumberFormat="0" applyAlignment="0" applyProtection="0"/>
    <xf numFmtId="0" fontId="140" fillId="50" borderId="1" applyNumberFormat="0" applyAlignment="0" applyProtection="0"/>
    <xf numFmtId="0" fontId="140" fillId="37"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37" borderId="1" applyNumberFormat="0" applyAlignment="0" applyProtection="0"/>
    <xf numFmtId="0" fontId="140" fillId="50" borderId="1" applyNumberFormat="0" applyAlignment="0" applyProtection="0"/>
    <xf numFmtId="0" fontId="140" fillId="50" borderId="1" applyNumberFormat="0" applyAlignment="0" applyProtection="0"/>
    <xf numFmtId="0" fontId="15" fillId="66" borderId="2" applyNumberFormat="0" applyFont="0" applyAlignment="0" applyProtection="0"/>
    <xf numFmtId="0" fontId="15" fillId="66" borderId="2" applyNumberFormat="0" applyFont="0" applyAlignment="0" applyProtection="0"/>
    <xf numFmtId="0" fontId="140" fillId="50" borderId="1" applyNumberFormat="0" applyAlignment="0" applyProtection="0"/>
    <xf numFmtId="0" fontId="15" fillId="66" borderId="2" applyNumberFormat="0" applyFont="0" applyAlignment="0" applyProtection="0"/>
    <xf numFmtId="0" fontId="15" fillId="66" borderId="2" applyNumberFormat="0" applyFont="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40"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5" fillId="30" borderId="2" applyNumberFormat="0" applyFont="0" applyAlignment="0" applyProtection="0"/>
    <xf numFmtId="0" fontId="15" fillId="30" borderId="2" applyNumberFormat="0" applyFont="0" applyAlignment="0" applyProtection="0"/>
    <xf numFmtId="0" fontId="140" fillId="37"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48" fillId="40"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48" fillId="40"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48" fillId="40"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44" fillId="0" borderId="166" applyNumberFormat="0" applyFill="0" applyAlignment="0" applyProtection="0"/>
    <xf numFmtId="0" fontId="144" fillId="0" borderId="166" applyNumberFormat="0" applyFill="0" applyAlignment="0" applyProtection="0"/>
    <xf numFmtId="0" fontId="144" fillId="0" borderId="166" applyNumberFormat="0" applyFill="0" applyAlignment="0" applyProtection="0"/>
    <xf numFmtId="0" fontId="151" fillId="0" borderId="135" applyNumberFormat="0" applyFont="0" applyFill="0" applyAlignment="0" applyProtection="0"/>
    <xf numFmtId="0" fontId="141" fillId="40" borderId="163" applyNumberFormat="0" applyAlignment="0" applyProtection="0"/>
    <xf numFmtId="0" fontId="141" fillId="40" borderId="163" applyNumberFormat="0" applyAlignment="0" applyProtection="0"/>
    <xf numFmtId="0" fontId="141" fillId="40" borderId="163" applyNumberFormat="0" applyAlignment="0" applyProtection="0"/>
    <xf numFmtId="43" fontId="1" fillId="0" borderId="0" applyFont="0" applyFill="0" applyBorder="0" applyAlignment="0" applyProtection="0"/>
    <xf numFmtId="0" fontId="140" fillId="37" borderId="1" applyNumberFormat="0" applyAlignment="0" applyProtection="0"/>
    <xf numFmtId="0" fontId="140" fillId="37" borderId="1" applyNumberFormat="0" applyAlignment="0" applyProtection="0"/>
    <xf numFmtId="0" fontId="140" fillId="37" borderId="1" applyNumberFormat="0" applyAlignment="0" applyProtection="0"/>
    <xf numFmtId="0" fontId="15" fillId="30" borderId="2" applyNumberFormat="0" applyFont="0" applyAlignment="0" applyProtection="0"/>
    <xf numFmtId="0" fontId="140" fillId="50" borderId="1" applyNumberFormat="0" applyAlignment="0" applyProtection="0"/>
    <xf numFmtId="0" fontId="140" fillId="50" borderId="1" applyNumberFormat="0" applyAlignment="0" applyProtection="0"/>
    <xf numFmtId="0" fontId="144" fillId="0" borderId="166" applyNumberFormat="0" applyFill="0" applyAlignment="0" applyProtection="0"/>
    <xf numFmtId="0" fontId="144" fillId="0" borderId="169" applyNumberFormat="0" applyFill="0" applyAlignment="0" applyProtection="0"/>
    <xf numFmtId="0" fontId="164" fillId="63" borderId="1" applyNumberFormat="0" applyAlignment="0" applyProtection="0"/>
    <xf numFmtId="0" fontId="140" fillId="37" borderId="1" applyNumberFormat="0" applyAlignment="0" applyProtection="0"/>
    <xf numFmtId="0" fontId="144" fillId="0" borderId="169" applyNumberFormat="0" applyFill="0" applyAlignment="0" applyProtection="0"/>
    <xf numFmtId="0" fontId="144" fillId="0" borderId="169" applyNumberFormat="0" applyFill="0" applyAlignment="0" applyProtection="0"/>
    <xf numFmtId="0" fontId="148" fillId="40" borderId="1"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40"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8" fillId="40" borderId="1" applyNumberFormat="0" applyAlignment="0" applyProtection="0"/>
    <xf numFmtId="0" fontId="148" fillId="40" borderId="1" applyNumberFormat="0" applyAlignment="0" applyProtection="0"/>
    <xf numFmtId="0" fontId="148" fillId="40" borderId="1" applyNumberFormat="0" applyAlignment="0" applyProtection="0"/>
    <xf numFmtId="0" fontId="148" fillId="40" borderId="1" applyNumberFormat="0" applyAlignment="0" applyProtection="0"/>
    <xf numFmtId="0" fontId="148" fillId="40" borderId="1" applyNumberFormat="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6"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5" fillId="66" borderId="2" applyNumberFormat="0" applyFont="0" applyAlignment="0" applyProtection="0"/>
    <xf numFmtId="0" fontId="141" fillId="63" borderId="163" applyNumberFormat="0" applyAlignment="0" applyProtection="0"/>
    <xf numFmtId="0" fontId="141" fillId="63" borderId="163" applyNumberFormat="0" applyAlignment="0" applyProtection="0"/>
    <xf numFmtId="0" fontId="144" fillId="0" borderId="169" applyNumberFormat="0" applyFill="0" applyAlignment="0" applyProtection="0"/>
    <xf numFmtId="0" fontId="140" fillId="50" borderId="1" applyNumberFormat="0" applyAlignment="0" applyProtection="0"/>
    <xf numFmtId="0" fontId="164" fillId="63" borderId="1" applyNumberFormat="0" applyAlignment="0" applyProtection="0"/>
    <xf numFmtId="0" fontId="144" fillId="0" borderId="166" applyNumberFormat="0" applyFill="0" applyAlignment="0" applyProtection="0"/>
    <xf numFmtId="0" fontId="144" fillId="0" borderId="166" applyNumberFormat="0" applyFill="0" applyAlignment="0" applyProtection="0"/>
    <xf numFmtId="0" fontId="140" fillId="50" borderId="1" applyNumberFormat="0" applyAlignment="0" applyProtection="0"/>
    <xf numFmtId="0" fontId="15" fillId="66" borderId="2" applyNumberFormat="0" applyFont="0" applyAlignment="0" applyProtection="0"/>
    <xf numFmtId="0" fontId="140" fillId="37" borderId="1" applyNumberFormat="0" applyAlignment="0" applyProtection="0"/>
    <xf numFmtId="0" fontId="15" fillId="66" borderId="2" applyNumberFormat="0" applyFon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64" fillId="63"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4" fillId="0" borderId="169" applyNumberFormat="0" applyFill="0" applyAlignment="0" applyProtection="0"/>
    <xf numFmtId="0" fontId="148" fillId="40" borderId="1" applyNumberFormat="0" applyAlignment="0" applyProtection="0"/>
    <xf numFmtId="0" fontId="141" fillId="63" borderId="163" applyNumberFormat="0" applyAlignment="0" applyProtection="0"/>
    <xf numFmtId="0" fontId="141" fillId="63" borderId="163" applyNumberFormat="0" applyAlignment="0" applyProtection="0"/>
    <xf numFmtId="0" fontId="164" fillId="63" borderId="1" applyNumberFormat="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6" applyNumberFormat="0" applyFill="0" applyAlignment="0" applyProtection="0"/>
    <xf numFmtId="0" fontId="144" fillId="0" borderId="169" applyNumberFormat="0" applyFill="0" applyAlignment="0" applyProtection="0"/>
    <xf numFmtId="0" fontId="164" fillId="63" borderId="1" applyNumberFormat="0" applyAlignment="0" applyProtection="0"/>
    <xf numFmtId="0" fontId="141" fillId="63" borderId="163" applyNumberFormat="0" applyAlignment="0" applyProtection="0"/>
    <xf numFmtId="0" fontId="141" fillId="63" borderId="163" applyNumberFormat="0" applyAlignment="0" applyProtection="0"/>
    <xf numFmtId="0" fontId="144" fillId="0" borderId="169" applyNumberFormat="0" applyFill="0" applyAlignment="0" applyProtection="0"/>
    <xf numFmtId="0" fontId="15" fillId="66" borderId="2" applyNumberFormat="0" applyFont="0" applyAlignment="0" applyProtection="0"/>
    <xf numFmtId="0" fontId="140" fillId="37" borderId="1" applyNumberFormat="0" applyAlignment="0" applyProtection="0"/>
    <xf numFmtId="0" fontId="15" fillId="66" borderId="2" applyNumberFormat="0" applyFont="0" applyAlignment="0" applyProtection="0"/>
    <xf numFmtId="0" fontId="144" fillId="0" borderId="169" applyNumberFormat="0" applyFill="0" applyAlignment="0" applyProtection="0"/>
    <xf numFmtId="0" fontId="144" fillId="0" borderId="166" applyNumberFormat="0" applyFill="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64" fillId="63"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37" borderId="1" applyNumberFormat="0" applyAlignment="0" applyProtection="0"/>
    <xf numFmtId="0" fontId="140" fillId="50" borderId="1" applyNumberFormat="0" applyAlignment="0" applyProtection="0"/>
    <xf numFmtId="0" fontId="140" fillId="50" borderId="1" applyNumberFormat="0" applyAlignment="0" applyProtection="0"/>
    <xf numFmtId="0" fontId="144" fillId="0" borderId="169" applyNumberFormat="0" applyFill="0" applyAlignment="0" applyProtection="0"/>
    <xf numFmtId="0" fontId="144" fillId="0" borderId="169" applyNumberFormat="0" applyFill="0" applyAlignment="0" applyProtection="0"/>
    <xf numFmtId="0" fontId="141" fillId="63" borderId="163" applyNumberFormat="0" applyAlignment="0" applyProtection="0"/>
    <xf numFmtId="0" fontId="148" fillId="40" borderId="1"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 fillId="0" borderId="0"/>
    <xf numFmtId="0" fontId="1" fillId="0" borderId="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41" fillId="63" borderId="163" applyNumberFormat="0" applyAlignment="0" applyProtection="0"/>
    <xf numFmtId="0" fontId="15" fillId="66" borderId="2" applyNumberFormat="0" applyFont="0" applyAlignment="0" applyProtection="0"/>
    <xf numFmtId="0" fontId="144" fillId="0" borderId="169" applyNumberFormat="0" applyFill="0" applyAlignment="0" applyProtection="0"/>
    <xf numFmtId="0" fontId="164" fillId="63" borderId="1" applyNumberFormat="0" applyAlignment="0" applyProtection="0"/>
    <xf numFmtId="0" fontId="15" fillId="66" borderId="2" applyNumberFormat="0" applyFont="0" applyAlignment="0" applyProtection="0"/>
    <xf numFmtId="0" fontId="140" fillId="50" borderId="1" applyNumberFormat="0" applyAlignment="0" applyProtection="0"/>
    <xf numFmtId="0" fontId="164" fillId="63" borderId="1" applyNumberFormat="0" applyAlignment="0" applyProtection="0"/>
    <xf numFmtId="0" fontId="15" fillId="30"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44" fillId="0" borderId="169" applyNumberFormat="0" applyFill="0" applyAlignment="0" applyProtection="0"/>
    <xf numFmtId="0" fontId="144" fillId="0" borderId="169" applyNumberFormat="0" applyFill="0" applyAlignment="0" applyProtection="0"/>
    <xf numFmtId="0" fontId="15" fillId="66" borderId="2" applyNumberFormat="0" applyFont="0" applyAlignment="0" applyProtection="0"/>
    <xf numFmtId="0" fontId="141" fillId="40" borderId="163" applyNumberFormat="0" applyAlignment="0" applyProtection="0"/>
    <xf numFmtId="0" fontId="140" fillId="50" borderId="1" applyNumberFormat="0" applyAlignment="0" applyProtection="0"/>
    <xf numFmtId="0" fontId="144" fillId="0" borderId="166" applyNumberFormat="0" applyFill="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5" fillId="66" borderId="2" applyNumberFormat="0" applyFont="0" applyAlignment="0" applyProtection="0"/>
    <xf numFmtId="0" fontId="164" fillId="63"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0" fillId="50" borderId="1" applyNumberFormat="0" applyAlignment="0" applyProtection="0"/>
    <xf numFmtId="0" fontId="144" fillId="0" borderId="169" applyNumberFormat="0" applyFill="0" applyAlignment="0" applyProtection="0"/>
    <xf numFmtId="0" fontId="148" fillId="40" borderId="1" applyNumberFormat="0" applyAlignment="0" applyProtection="0"/>
    <xf numFmtId="0" fontId="141" fillId="63" borderId="163" applyNumberFormat="0" applyAlignment="0" applyProtection="0"/>
    <xf numFmtId="0" fontId="141" fillId="63" borderId="163" applyNumberFormat="0" applyAlignment="0" applyProtection="0"/>
    <xf numFmtId="0" fontId="141" fillId="63" borderId="163" applyNumberFormat="0" applyAlignment="0" applyProtection="0"/>
    <xf numFmtId="0" fontId="141" fillId="40" borderId="163" applyNumberFormat="0" applyAlignment="0" applyProtection="0"/>
    <xf numFmtId="0" fontId="140" fillId="37"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41" fillId="63" borderId="163" applyNumberFormat="0" applyAlignment="0" applyProtection="0"/>
    <xf numFmtId="0" fontId="15" fillId="66" borderId="2" applyNumberFormat="0" applyFont="0" applyAlignment="0" applyProtection="0"/>
    <xf numFmtId="0" fontId="164" fillId="63" borderId="1" applyNumberFormat="0" applyAlignment="0" applyProtection="0"/>
    <xf numFmtId="0" fontId="141" fillId="63" borderId="163" applyNumberFormat="0" applyAlignment="0" applyProtection="0"/>
    <xf numFmtId="0" fontId="1" fillId="0" borderId="0"/>
    <xf numFmtId="43" fontId="1" fillId="0" borderId="0" applyFont="0" applyFill="0" applyBorder="0" applyAlignment="0" applyProtection="0"/>
    <xf numFmtId="0" fontId="15" fillId="30" borderId="2"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64" fillId="63" borderId="1" applyNumberFormat="0" applyAlignment="0" applyProtection="0"/>
    <xf numFmtId="0" fontId="140" fillId="50" borderId="1" applyNumberFormat="0" applyAlignment="0" applyProtection="0"/>
    <xf numFmtId="0" fontId="164" fillId="63" borderId="1" applyNumberFormat="0" applyAlignment="0" applyProtection="0"/>
    <xf numFmtId="0" fontId="148" fillId="40" borderId="1" applyNumberFormat="0" applyAlignment="0" applyProtection="0"/>
    <xf numFmtId="0" fontId="141" fillId="63" borderId="163" applyNumberFormat="0" applyAlignment="0" applyProtection="0"/>
    <xf numFmtId="0" fontId="144" fillId="0" borderId="169" applyNumberFormat="0" applyFill="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64" fillId="63" borderId="1" applyNumberFormat="0" applyAlignment="0" applyProtection="0"/>
    <xf numFmtId="0" fontId="141" fillId="63" borderId="163" applyNumberFormat="0" applyAlignment="0" applyProtection="0"/>
    <xf numFmtId="0" fontId="144" fillId="0" borderId="169" applyNumberFormat="0" applyFill="0" applyAlignment="0" applyProtection="0"/>
    <xf numFmtId="0" fontId="144" fillId="0" borderId="169" applyNumberFormat="0" applyFill="0" applyAlignment="0" applyProtection="0"/>
    <xf numFmtId="0" fontId="15" fillId="30" borderId="2" applyNumberFormat="0" applyFont="0" applyAlignment="0" applyProtection="0"/>
    <xf numFmtId="0" fontId="140" fillId="50" borderId="1" applyNumberFormat="0" applyAlignment="0" applyProtection="0"/>
    <xf numFmtId="0" fontId="15" fillId="66" borderId="2" applyNumberFormat="0" applyFont="0" applyAlignment="0" applyProtection="0"/>
    <xf numFmtId="0" fontId="15" fillId="30" borderId="2" applyNumberFormat="0" applyFont="0" applyAlignment="0" applyProtection="0"/>
    <xf numFmtId="0" fontId="144" fillId="0" borderId="166"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6" applyNumberFormat="0" applyFill="0" applyAlignment="0" applyProtection="0"/>
    <xf numFmtId="0" fontId="144" fillId="0" borderId="169"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5"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78" fillId="0" borderId="0" applyFont="0" applyFill="0" applyBorder="0" applyAlignment="0" applyProtection="0"/>
    <xf numFmtId="182" fontId="178" fillId="0" borderId="0" applyFont="0" applyFill="0" applyBorder="0" applyAlignment="0" applyProtection="0"/>
    <xf numFmtId="183" fontId="178" fillId="0" borderId="0" applyFont="0" applyFill="0" applyBorder="0" applyAlignment="0" applyProtection="0"/>
    <xf numFmtId="184" fontId="178" fillId="0" borderId="0" applyFont="0" applyFill="0" applyBorder="0" applyAlignment="0" applyProtection="0"/>
    <xf numFmtId="185" fontId="178" fillId="0" borderId="0" applyFont="0" applyFill="0" applyBorder="0" applyAlignment="0" applyProtection="0">
      <alignment horizontal="right"/>
    </xf>
    <xf numFmtId="186" fontId="178" fillId="0" borderId="0" applyFont="0" applyFill="0" applyBorder="0" applyAlignment="0" applyProtection="0"/>
    <xf numFmtId="187" fontId="178" fillId="0" borderId="0" applyFont="0" applyFill="0" applyBorder="0" applyAlignment="0" applyProtection="0">
      <alignment horizontal="right"/>
    </xf>
    <xf numFmtId="188" fontId="178" fillId="0" borderId="0" applyFont="0" applyFill="0" applyBorder="0" applyAlignment="0" applyProtection="0">
      <alignment horizontal="right"/>
    </xf>
    <xf numFmtId="189" fontId="178" fillId="0" borderId="0" applyFont="0" applyFill="0" applyBorder="0" applyAlignment="0" applyProtection="0">
      <alignment horizontal="right"/>
    </xf>
    <xf numFmtId="190" fontId="178" fillId="0" borderId="0" applyFont="0" applyFill="0" applyBorder="0" applyAlignment="0" applyProtection="0"/>
    <xf numFmtId="0" fontId="178" fillId="0" borderId="156" applyNumberFormat="0" applyFill="0" applyAlignment="0" applyProtection="0"/>
    <xf numFmtId="192" fontId="178" fillId="0" borderId="0" applyFont="0" applyFill="0" applyBorder="0" applyAlignment="0" applyProtection="0"/>
    <xf numFmtId="0" fontId="178" fillId="0" borderId="158" applyNumberFormat="0" applyFill="0" applyAlignment="0" applyProtection="0"/>
    <xf numFmtId="193" fontId="178" fillId="0" borderId="0" applyFont="0" applyFill="0" applyBorder="0" applyAlignment="0" applyProtection="0"/>
    <xf numFmtId="0" fontId="1" fillId="0" borderId="0"/>
    <xf numFmtId="0" fontId="130" fillId="0" borderId="0"/>
    <xf numFmtId="0" fontId="178" fillId="0" borderId="164" applyNumberFormat="0" applyFont="0" applyFill="0" applyAlignment="0" applyProtection="0"/>
    <xf numFmtId="0" fontId="178" fillId="0" borderId="165" applyNumberFormat="0" applyFont="0" applyFill="0" applyAlignment="0" applyProtection="0"/>
    <xf numFmtId="0" fontId="178" fillId="0" borderId="135" applyNumberFormat="0" applyFont="0" applyFill="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78" fillId="0" borderId="135" applyNumberFormat="0" applyFont="0" applyFill="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5"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51" fillId="0" borderId="135" applyNumberFormat="0" applyFont="0" applyFill="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5" fillId="0" borderId="0" applyAlignment="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78" fillId="0" borderId="0" applyFont="0" applyFill="0" applyBorder="0" applyAlignment="0" applyProtection="0"/>
    <xf numFmtId="182" fontId="178" fillId="0" borderId="0" applyFont="0" applyFill="0" applyBorder="0" applyAlignment="0" applyProtection="0"/>
    <xf numFmtId="0" fontId="1" fillId="0" borderId="0"/>
    <xf numFmtId="183" fontId="178" fillId="0" borderId="0" applyFont="0" applyFill="0" applyBorder="0" applyAlignment="0" applyProtection="0"/>
    <xf numFmtId="184" fontId="178" fillId="0" borderId="0" applyFont="0" applyFill="0" applyBorder="0" applyAlignment="0" applyProtection="0"/>
    <xf numFmtId="185" fontId="178" fillId="0" borderId="0" applyFont="0" applyFill="0" applyBorder="0" applyAlignment="0" applyProtection="0">
      <alignment horizontal="right"/>
    </xf>
    <xf numFmtId="186" fontId="178" fillId="0" borderId="0" applyFont="0" applyFill="0" applyBorder="0" applyAlignment="0" applyProtection="0"/>
    <xf numFmtId="187" fontId="178" fillId="0" borderId="0" applyFont="0" applyFill="0" applyBorder="0" applyAlignment="0" applyProtection="0">
      <alignment horizontal="right"/>
    </xf>
    <xf numFmtId="188" fontId="178" fillId="0" borderId="0" applyFont="0" applyFill="0" applyBorder="0" applyAlignment="0" applyProtection="0">
      <alignment horizontal="right"/>
    </xf>
    <xf numFmtId="189" fontId="178" fillId="0" borderId="0" applyFont="0" applyFill="0" applyBorder="0" applyAlignment="0" applyProtection="0">
      <alignment horizontal="right"/>
    </xf>
    <xf numFmtId="190" fontId="178" fillId="0" borderId="0" applyFont="0" applyFill="0" applyBorder="0" applyAlignment="0" applyProtection="0"/>
    <xf numFmtId="0" fontId="178" fillId="0" borderId="156" applyNumberFormat="0" applyFill="0" applyAlignment="0" applyProtection="0"/>
    <xf numFmtId="43" fontId="1" fillId="0" borderId="0" applyFont="0" applyFill="0" applyBorder="0" applyAlignment="0" applyProtection="0"/>
    <xf numFmtId="192" fontId="178" fillId="0" borderId="0" applyFont="0" applyFill="0" applyBorder="0" applyAlignment="0" applyProtection="0"/>
    <xf numFmtId="0" fontId="178" fillId="0" borderId="158" applyNumberFormat="0" applyFill="0" applyAlignment="0" applyProtection="0"/>
    <xf numFmtId="193" fontId="178" fillId="0" borderId="0" applyFont="0" applyFill="0" applyBorder="0" applyAlignment="0" applyProtection="0"/>
    <xf numFmtId="0" fontId="1" fillId="0" borderId="0"/>
    <xf numFmtId="0" fontId="178" fillId="0" borderId="164" applyNumberFormat="0" applyFont="0" applyFill="0" applyAlignment="0" applyProtection="0"/>
    <xf numFmtId="0" fontId="178" fillId="0" borderId="165" applyNumberFormat="0" applyFont="0" applyFill="0" applyAlignment="0" applyProtection="0"/>
    <xf numFmtId="0" fontId="178" fillId="0" borderId="135" applyNumberFormat="0" applyFont="0" applyFill="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78" fillId="0" borderId="135" applyNumberFormat="0" applyFont="0" applyFill="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5"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45" fillId="29" borderId="0" applyNumberFormat="0" applyBorder="0" applyAlignment="0" applyProtection="0"/>
    <xf numFmtId="0" fontId="145" fillId="33" borderId="0" applyNumberFormat="0" applyBorder="0" applyAlignment="0" applyProtection="0"/>
    <xf numFmtId="0" fontId="145" fillId="32" borderId="0" applyNumberFormat="0" applyBorder="0" applyAlignment="0" applyProtection="0"/>
    <xf numFmtId="0" fontId="145" fillId="29" borderId="0" applyNumberFormat="0" applyBorder="0" applyAlignment="0" applyProtection="0"/>
    <xf numFmtId="0" fontId="145" fillId="36" borderId="0" applyNumberFormat="0" applyBorder="0" applyAlignment="0" applyProtection="0"/>
    <xf numFmtId="0" fontId="145" fillId="38" borderId="0" applyNumberFormat="0" applyBorder="0" applyAlignment="0" applyProtection="0"/>
    <xf numFmtId="43" fontId="1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5"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5" fillId="0" borderId="0" applyAlignment="0"/>
    <xf numFmtId="43" fontId="15" fillId="0" borderId="0" applyAlignment="0"/>
    <xf numFmtId="43" fontId="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8" fillId="0" borderId="0" applyNumberFormat="0" applyFill="0" applyBorder="0" applyAlignment="0" applyProtection="0">
      <alignment vertical="top"/>
      <protection locked="0"/>
    </xf>
    <xf numFmtId="0" fontId="15"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5"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5" fillId="0" borderId="0"/>
    <xf numFmtId="43" fontId="1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5" fillId="0" borderId="0" applyFont="0" applyFill="0" applyBorder="0" applyAlignment="0" applyProtection="0"/>
    <xf numFmtId="0" fontId="15"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5"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41" fillId="63" borderId="163" applyNumberFormat="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44" fillId="0" borderId="169" applyNumberFormat="0" applyFill="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78" fillId="0" borderId="135" applyNumberFormat="0" applyFon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78" fillId="0" borderId="135" applyNumberFormat="0" applyFont="0" applyFill="0" applyAlignment="0" applyProtection="0"/>
    <xf numFmtId="0" fontId="178" fillId="0" borderId="135" applyNumberFormat="0" applyFont="0" applyFill="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78" fillId="0" borderId="135" applyNumberFormat="0" applyFont="0" applyFill="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51" fillId="0" borderId="135" applyNumberFormat="0" applyFont="0" applyFill="0" applyAlignment="0" applyProtection="0"/>
    <xf numFmtId="0" fontId="151" fillId="0" borderId="135" applyNumberFormat="0" applyFont="0" applyFill="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73" fillId="0" borderId="0"/>
    <xf numFmtId="43"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cellStyleXfs>
  <cellXfs count="2522">
    <xf numFmtId="0" fontId="0" fillId="0" borderId="0" xfId="0"/>
    <xf numFmtId="0" fontId="15" fillId="0" borderId="0" xfId="0" applyFont="1"/>
    <xf numFmtId="0" fontId="20" fillId="0" borderId="0" xfId="0" applyFont="1"/>
    <xf numFmtId="0" fontId="0" fillId="0" borderId="0" xfId="0" applyAlignment="1">
      <alignment horizontal="left" vertical="center"/>
    </xf>
    <xf numFmtId="0" fontId="16" fillId="0" borderId="0" xfId="0" applyFont="1"/>
    <xf numFmtId="0" fontId="0" fillId="0" borderId="0" xfId="0" applyProtection="1"/>
    <xf numFmtId="0" fontId="0" fillId="0" borderId="0" xfId="0" applyBorder="1" applyProtection="1"/>
    <xf numFmtId="0" fontId="20" fillId="0" borderId="0" xfId="0" applyFont="1" applyAlignment="1"/>
    <xf numFmtId="0" fontId="0" fillId="0" borderId="0" xfId="0" applyFill="1"/>
    <xf numFmtId="0" fontId="20" fillId="0" borderId="0" xfId="0" applyFont="1" applyFill="1"/>
    <xf numFmtId="0" fontId="29" fillId="0" borderId="0" xfId="0" applyFont="1" applyProtection="1"/>
    <xf numFmtId="0" fontId="29" fillId="0" borderId="0" xfId="0" applyFont="1" applyProtection="1">
      <protection locked="0"/>
    </xf>
    <xf numFmtId="0" fontId="15" fillId="0" borderId="0" xfId="0" applyFont="1" applyProtection="1"/>
    <xf numFmtId="0" fontId="0" fillId="0" borderId="0" xfId="0" applyFill="1" applyProtection="1"/>
    <xf numFmtId="0" fontId="31" fillId="0" borderId="0" xfId="0" applyFont="1" applyAlignment="1" applyProtection="1">
      <alignment horizontal="right" vertical="top"/>
    </xf>
    <xf numFmtId="164" fontId="20" fillId="0" borderId="0" xfId="0" applyNumberFormat="1" applyFont="1" applyAlignment="1" applyProtection="1">
      <alignment horizontal="left" wrapText="1"/>
    </xf>
    <xf numFmtId="0" fontId="20" fillId="0" borderId="0" xfId="0" applyFont="1" applyAlignment="1">
      <alignment horizontal="left" wrapText="1"/>
    </xf>
    <xf numFmtId="49" fontId="33" fillId="0" borderId="0" xfId="0" applyNumberFormat="1" applyFont="1" applyAlignment="1">
      <alignment horizontal="right" vertical="top" indent="1"/>
    </xf>
    <xf numFmtId="49" fontId="33" fillId="0" borderId="0" xfId="0" applyNumberFormat="1" applyFont="1" applyAlignment="1">
      <alignment horizontal="right" vertical="top"/>
    </xf>
    <xf numFmtId="0" fontId="0" fillId="0" borderId="0" xfId="0" applyAlignment="1"/>
    <xf numFmtId="0" fontId="20" fillId="0" borderId="0" xfId="0" applyFont="1" applyAlignment="1">
      <alignment horizontal="left"/>
    </xf>
    <xf numFmtId="0" fontId="30" fillId="0" borderId="0" xfId="0" applyFont="1"/>
    <xf numFmtId="49" fontId="35" fillId="0" borderId="0" xfId="0" applyNumberFormat="1" applyFont="1" applyAlignment="1">
      <alignment horizontal="right" vertical="top" indent="1"/>
    </xf>
    <xf numFmtId="0" fontId="31" fillId="0" borderId="0" xfId="0" applyFont="1" applyAlignment="1" applyProtection="1">
      <alignment horizontal="left" vertical="center" wrapText="1"/>
    </xf>
    <xf numFmtId="0" fontId="0" fillId="0" borderId="0" xfId="0" applyAlignment="1">
      <alignment horizontal="left" vertical="center" wrapText="1"/>
    </xf>
    <xf numFmtId="49" fontId="33" fillId="0" borderId="0" xfId="0" applyNumberFormat="1" applyFont="1" applyAlignment="1">
      <alignment horizontal="right" vertical="center"/>
    </xf>
    <xf numFmtId="0" fontId="19" fillId="0" borderId="0" xfId="12" applyFont="1" applyBorder="1" applyAlignment="1" applyProtection="1">
      <alignment vertical="center"/>
    </xf>
    <xf numFmtId="0" fontId="21" fillId="0" borderId="0" xfId="12" applyNumberFormat="1" applyFont="1" applyBorder="1" applyAlignment="1" applyProtection="1">
      <alignment horizontal="left" vertical="center"/>
    </xf>
    <xf numFmtId="0" fontId="21"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9" fillId="0" borderId="0" xfId="12" applyNumberFormat="1" applyFont="1" applyBorder="1" applyAlignment="1" applyProtection="1">
      <alignment vertical="center"/>
    </xf>
    <xf numFmtId="0" fontId="19" fillId="0" borderId="0" xfId="12" applyNumberFormat="1" applyFont="1" applyBorder="1" applyAlignment="1" applyProtection="1">
      <alignment horizontal="left" vertical="center"/>
    </xf>
    <xf numFmtId="0" fontId="16" fillId="0" borderId="0" xfId="12" applyNumberFormat="1" applyFont="1" applyBorder="1" applyAlignment="1" applyProtection="1">
      <alignment horizontal="left" vertical="center"/>
    </xf>
    <xf numFmtId="0" fontId="19" fillId="0" borderId="0" xfId="0" applyNumberFormat="1" applyFont="1" applyBorder="1" applyAlignment="1" applyProtection="1">
      <alignment vertical="center"/>
    </xf>
    <xf numFmtId="0" fontId="19" fillId="0" borderId="0" xfId="12" applyNumberFormat="1" applyFont="1" applyBorder="1" applyAlignment="1" applyProtection="1">
      <alignment horizontal="centerContinuous" vertical="center"/>
    </xf>
    <xf numFmtId="0" fontId="29" fillId="0" borderId="0" xfId="0" applyFont="1" applyFill="1" applyProtection="1"/>
    <xf numFmtId="0" fontId="19" fillId="0" borderId="0" xfId="12" applyFont="1" applyBorder="1" applyAlignment="1" applyProtection="1">
      <alignment horizontal="left" vertical="center"/>
    </xf>
    <xf numFmtId="0" fontId="37" fillId="0" borderId="0" xfId="12" applyFont="1" applyBorder="1" applyAlignment="1" applyProtection="1">
      <alignment vertical="center"/>
    </xf>
    <xf numFmtId="0" fontId="18" fillId="0" borderId="0" xfId="12" applyFont="1" applyBorder="1" applyAlignment="1" applyProtection="1">
      <alignment horizontal="center" vertical="center"/>
    </xf>
    <xf numFmtId="0" fontId="18" fillId="0" borderId="0" xfId="12" applyFont="1" applyBorder="1" applyAlignment="1" applyProtection="1">
      <alignment horizontal="left" vertical="center"/>
    </xf>
    <xf numFmtId="0" fontId="21"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7" fillId="0" borderId="0" xfId="12" applyFont="1" applyBorder="1" applyAlignment="1" applyProtection="1">
      <alignment horizontal="left" vertical="center"/>
    </xf>
    <xf numFmtId="0" fontId="19" fillId="0" borderId="0" xfId="12" quotePrefix="1" applyNumberFormat="1" applyFont="1" applyBorder="1" applyAlignment="1" applyProtection="1">
      <alignment horizontal="left" vertical="center"/>
    </xf>
    <xf numFmtId="0" fontId="16" fillId="0" borderId="12" xfId="12" applyFont="1" applyBorder="1" applyAlignment="1" applyProtection="1">
      <alignment vertical="center"/>
    </xf>
    <xf numFmtId="0" fontId="19" fillId="0" borderId="16" xfId="12" applyFont="1" applyBorder="1" applyAlignment="1" applyProtection="1">
      <alignment vertical="center"/>
    </xf>
    <xf numFmtId="0" fontId="19" fillId="0" borderId="10" xfId="12" applyFont="1" applyBorder="1" applyAlignment="1" applyProtection="1">
      <alignment vertical="center"/>
    </xf>
    <xf numFmtId="0" fontId="16" fillId="0" borderId="17" xfId="12" applyFont="1" applyBorder="1" applyAlignment="1" applyProtection="1">
      <alignment vertical="center"/>
    </xf>
    <xf numFmtId="0" fontId="19" fillId="0" borderId="18" xfId="12" applyFont="1" applyBorder="1" applyAlignment="1" applyProtection="1">
      <alignment vertical="center"/>
    </xf>
    <xf numFmtId="0" fontId="21" fillId="0" borderId="0" xfId="0" applyNumberFormat="1" applyFont="1" applyFill="1" applyBorder="1" applyAlignment="1" applyProtection="1">
      <alignment vertical="center"/>
    </xf>
    <xf numFmtId="0" fontId="16" fillId="0" borderId="16" xfId="12" applyNumberFormat="1" applyFont="1" applyBorder="1" applyAlignment="1" applyProtection="1">
      <alignment vertical="center"/>
    </xf>
    <xf numFmtId="0" fontId="19" fillId="0" borderId="16" xfId="12" applyNumberFormat="1" applyFont="1" applyBorder="1" applyAlignment="1" applyProtection="1">
      <alignment vertical="center"/>
    </xf>
    <xf numFmtId="0" fontId="19" fillId="0" borderId="20" xfId="12" applyNumberFormat="1" applyFont="1" applyBorder="1" applyAlignment="1" applyProtection="1">
      <alignment vertical="center"/>
    </xf>
    <xf numFmtId="0" fontId="19" fillId="0" borderId="10" xfId="12" applyNumberFormat="1" applyFont="1" applyBorder="1" applyAlignment="1" applyProtection="1">
      <alignment horizontal="left" vertical="center"/>
    </xf>
    <xf numFmtId="0" fontId="19" fillId="0" borderId="17" xfId="12" applyNumberFormat="1" applyFont="1" applyBorder="1" applyAlignment="1" applyProtection="1">
      <alignment vertical="center"/>
    </xf>
    <xf numFmtId="0" fontId="19" fillId="0" borderId="18"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9" fillId="0" borderId="10" xfId="12" applyNumberFormat="1" applyFont="1" applyBorder="1" applyAlignment="1" applyProtection="1">
      <alignment vertical="center"/>
    </xf>
    <xf numFmtId="0" fontId="19" fillId="0" borderId="16" xfId="12" applyNumberFormat="1" applyFont="1" applyFill="1" applyBorder="1" applyAlignment="1" applyProtection="1">
      <alignment vertical="center"/>
    </xf>
    <xf numFmtId="0" fontId="21" fillId="0" borderId="16" xfId="0" applyNumberFormat="1" applyFont="1" applyFill="1" applyBorder="1" applyAlignment="1" applyProtection="1">
      <alignment vertical="center"/>
    </xf>
    <xf numFmtId="0" fontId="21" fillId="0" borderId="10" xfId="0" applyNumberFormat="1" applyFont="1" applyFill="1" applyBorder="1" applyAlignment="1" applyProtection="1">
      <alignment vertical="center"/>
    </xf>
    <xf numFmtId="0" fontId="21" fillId="0" borderId="18" xfId="0" applyNumberFormat="1" applyFont="1" applyFill="1" applyBorder="1" applyAlignment="1" applyProtection="1">
      <alignment vertical="center"/>
    </xf>
    <xf numFmtId="0" fontId="16" fillId="0" borderId="10" xfId="12" applyNumberFormat="1" applyFont="1" applyFill="1" applyBorder="1" applyAlignment="1" applyProtection="1">
      <alignment vertical="center"/>
    </xf>
    <xf numFmtId="0" fontId="16" fillId="0" borderId="12" xfId="12" quotePrefix="1" applyNumberFormat="1" applyFont="1" applyBorder="1" applyAlignment="1" applyProtection="1">
      <alignment horizontal="left" vertical="center"/>
    </xf>
    <xf numFmtId="0" fontId="19" fillId="0" borderId="17" xfId="12" applyNumberFormat="1" applyFont="1" applyBorder="1" applyAlignment="1" applyProtection="1">
      <alignment horizontal="right" vertical="center"/>
    </xf>
    <xf numFmtId="0" fontId="16" fillId="0" borderId="0" xfId="0" applyFont="1" applyAlignment="1">
      <alignment horizontal="left" vertical="center"/>
    </xf>
    <xf numFmtId="0" fontId="16" fillId="0" borderId="0" xfId="0" applyFont="1" applyAlignment="1"/>
    <xf numFmtId="0" fontId="0" fillId="0" borderId="16" xfId="0" applyNumberFormat="1" applyBorder="1" applyAlignment="1">
      <alignment horizontal="left" vertical="center"/>
    </xf>
    <xf numFmtId="0" fontId="19" fillId="0" borderId="12" xfId="12" applyFont="1" applyBorder="1" applyAlignment="1" applyProtection="1">
      <alignment vertical="center"/>
    </xf>
    <xf numFmtId="0" fontId="16" fillId="0" borderId="16" xfId="0" applyNumberFormat="1" applyFont="1" applyBorder="1" applyAlignment="1">
      <alignment horizontal="left" vertical="center"/>
    </xf>
    <xf numFmtId="0" fontId="16" fillId="0" borderId="18" xfId="12" applyNumberFormat="1" applyFont="1" applyBorder="1" applyAlignment="1" applyProtection="1">
      <alignment vertical="center"/>
    </xf>
    <xf numFmtId="0" fontId="16" fillId="0" borderId="10" xfId="12" applyNumberFormat="1"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9" fillId="0" borderId="0" xfId="12"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19"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9" fillId="0" borderId="16" xfId="12" applyFont="1" applyBorder="1" applyAlignment="1" applyProtection="1">
      <alignment horizontal="left" vertical="center"/>
    </xf>
    <xf numFmtId="0" fontId="16" fillId="0" borderId="16" xfId="12" applyFont="1" applyBorder="1" applyAlignment="1" applyProtection="1">
      <alignment horizontal="left" vertical="center"/>
    </xf>
    <xf numFmtId="0" fontId="19" fillId="0" borderId="1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8" fillId="0" borderId="0" xfId="12" applyFont="1" applyBorder="1" applyAlignment="1" applyProtection="1">
      <alignment vertical="center"/>
    </xf>
    <xf numFmtId="0" fontId="16" fillId="0" borderId="12" xfId="12" applyNumberFormat="1" applyFont="1" applyBorder="1" applyAlignment="1" applyProtection="1">
      <alignment horizontal="left" vertical="center"/>
    </xf>
    <xf numFmtId="0" fontId="16" fillId="0" borderId="12" xfId="12" applyNumberFormat="1" applyFont="1" applyFill="1" applyBorder="1" applyAlignment="1" applyProtection="1">
      <alignment vertical="center"/>
    </xf>
    <xf numFmtId="0" fontId="16" fillId="0" borderId="12" xfId="0" applyNumberFormat="1" applyFont="1" applyFill="1" applyBorder="1" applyAlignment="1" applyProtection="1">
      <alignment vertical="center"/>
    </xf>
    <xf numFmtId="0" fontId="16" fillId="0" borderId="17" xfId="0" applyNumberFormat="1" applyFont="1" applyFill="1" applyBorder="1" applyAlignment="1" applyProtection="1">
      <alignment vertical="center"/>
    </xf>
    <xf numFmtId="0" fontId="16" fillId="0" borderId="12" xfId="12" applyNumberFormat="1" applyFont="1" applyBorder="1" applyAlignment="1" applyProtection="1">
      <alignment vertical="center"/>
    </xf>
    <xf numFmtId="0" fontId="16" fillId="0" borderId="17" xfId="12" applyNumberFormat="1" applyFont="1" applyBorder="1" applyAlignment="1" applyProtection="1">
      <alignment horizontal="left" vertical="center"/>
    </xf>
    <xf numFmtId="0" fontId="16" fillId="0" borderId="16" xfId="12" quotePrefix="1" applyNumberFormat="1" applyFont="1" applyBorder="1" applyAlignment="1" applyProtection="1">
      <alignment horizontal="left" vertical="center"/>
    </xf>
    <xf numFmtId="0" fontId="19" fillId="0" borderId="16" xfId="0" applyNumberFormat="1" applyFont="1" applyBorder="1" applyAlignment="1">
      <alignment vertical="center"/>
    </xf>
    <xf numFmtId="0" fontId="16" fillId="0" borderId="0" xfId="12" applyNumberFormat="1" applyFont="1" applyBorder="1" applyAlignment="1" applyProtection="1">
      <alignment horizontal="left" vertical="center" indent="1"/>
    </xf>
    <xf numFmtId="0" fontId="19" fillId="0" borderId="19" xfId="12" applyNumberFormat="1" applyFont="1" applyBorder="1" applyAlignment="1" applyProtection="1">
      <alignment vertical="center"/>
    </xf>
    <xf numFmtId="0" fontId="16" fillId="0" borderId="20" xfId="12" applyNumberFormat="1" applyFont="1" applyBorder="1" applyAlignment="1" applyProtection="1">
      <alignment vertical="top"/>
    </xf>
    <xf numFmtId="0" fontId="16" fillId="0" borderId="20" xfId="12" quotePrefix="1" applyNumberFormat="1" applyFont="1" applyBorder="1" applyAlignment="1" applyProtection="1">
      <alignment horizontal="left" vertical="center"/>
    </xf>
    <xf numFmtId="0" fontId="19" fillId="0" borderId="11" xfId="12" applyNumberFormat="1" applyFont="1" applyBorder="1" applyAlignment="1" applyProtection="1">
      <alignment vertical="center"/>
    </xf>
    <xf numFmtId="0" fontId="41" fillId="0" borderId="18" xfId="0" applyFont="1" applyBorder="1" applyAlignment="1">
      <alignment horizontal="left" vertical="center" indent="1"/>
    </xf>
    <xf numFmtId="0" fontId="26" fillId="0" borderId="0" xfId="12" applyNumberFormat="1" applyFont="1" applyBorder="1" applyAlignment="1" applyProtection="1">
      <alignment horizontal="center" vertical="center"/>
    </xf>
    <xf numFmtId="0" fontId="21" fillId="0" borderId="0" xfId="12" applyNumberFormat="1" applyFont="1" applyBorder="1" applyAlignment="1" applyProtection="1">
      <alignment horizontal="left" vertical="center" indent="2"/>
    </xf>
    <xf numFmtId="0" fontId="26" fillId="0" borderId="2" xfId="12" applyFont="1" applyBorder="1" applyAlignment="1" applyProtection="1">
      <alignment horizontal="center" vertical="center"/>
      <protection locked="0"/>
    </xf>
    <xf numFmtId="0" fontId="26" fillId="0" borderId="2" xfId="12" applyNumberFormat="1" applyFont="1" applyBorder="1" applyAlignment="1" applyProtection="1">
      <alignment horizontal="center" vertical="center"/>
      <protection locked="0"/>
    </xf>
    <xf numFmtId="0" fontId="36" fillId="0" borderId="0" xfId="12" applyFont="1" applyBorder="1" applyAlignment="1" applyProtection="1">
      <alignment horizontal="left" vertical="center"/>
    </xf>
    <xf numFmtId="0" fontId="18" fillId="0" borderId="2" xfId="12" applyFont="1" applyBorder="1" applyAlignment="1" applyProtection="1">
      <alignment horizontal="center" vertical="center"/>
      <protection locked="0"/>
    </xf>
    <xf numFmtId="0" fontId="16" fillId="0" borderId="12" xfId="0" applyNumberFormat="1" applyFont="1" applyBorder="1" applyAlignment="1" applyProtection="1">
      <alignment horizontal="left" vertical="center"/>
    </xf>
    <xf numFmtId="0" fontId="18" fillId="0" borderId="16" xfId="0" applyFont="1" applyBorder="1" applyAlignment="1" applyProtection="1">
      <alignment horizontal="left" vertical="center"/>
    </xf>
    <xf numFmtId="49" fontId="18" fillId="0" borderId="16" xfId="0" applyNumberFormat="1" applyFont="1" applyBorder="1" applyAlignment="1" applyProtection="1">
      <alignment horizontal="left" vertical="center" wrapText="1"/>
    </xf>
    <xf numFmtId="49" fontId="18" fillId="0" borderId="10" xfId="0" applyNumberFormat="1" applyFont="1" applyBorder="1" applyAlignment="1" applyProtection="1">
      <alignment horizontal="left" vertical="center" wrapText="1"/>
    </xf>
    <xf numFmtId="0" fontId="18" fillId="0" borderId="12" xfId="12" applyNumberFormat="1" applyFont="1" applyFill="1" applyBorder="1" applyAlignment="1" applyProtection="1">
      <alignment horizontal="left" vertical="center" indent="1"/>
    </xf>
    <xf numFmtId="0" fontId="18" fillId="0" borderId="16" xfId="0" applyFont="1" applyBorder="1" applyAlignment="1" applyProtection="1">
      <alignment horizontal="left" vertical="center" indent="1"/>
    </xf>
    <xf numFmtId="0" fontId="19" fillId="0" borderId="0" xfId="12" applyFont="1" applyBorder="1" applyAlignment="1" applyProtection="1">
      <alignment horizontal="left" vertical="center" indent="1"/>
    </xf>
    <xf numFmtId="0" fontId="28" fillId="0" borderId="0" xfId="12" applyNumberFormat="1" applyFont="1" applyBorder="1" applyAlignment="1" applyProtection="1">
      <alignment horizontal="left" vertical="center" indent="1"/>
    </xf>
    <xf numFmtId="0" fontId="19" fillId="0" borderId="19" xfId="12" applyFont="1" applyBorder="1" applyAlignment="1" applyProtection="1">
      <alignment vertical="center"/>
    </xf>
    <xf numFmtId="0" fontId="18" fillId="0" borderId="0" xfId="0" applyFont="1" applyBorder="1" applyAlignment="1" applyProtection="1">
      <alignment horizontal="left" vertical="center" indent="1"/>
    </xf>
    <xf numFmtId="0" fontId="19" fillId="0" borderId="0" xfId="12" applyFont="1" applyFill="1" applyBorder="1" applyAlignment="1" applyProtection="1">
      <alignment vertical="center"/>
    </xf>
    <xf numFmtId="0" fontId="19" fillId="0" borderId="17" xfId="12" applyFont="1" applyBorder="1" applyAlignment="1" applyProtection="1">
      <alignment vertical="center"/>
    </xf>
    <xf numFmtId="0" fontId="21" fillId="0" borderId="20" xfId="12" applyNumberFormat="1" applyFont="1" applyBorder="1" applyAlignment="1" applyProtection="1">
      <alignment vertical="center"/>
    </xf>
    <xf numFmtId="0" fontId="16" fillId="0" borderId="0" xfId="12" applyNumberFormat="1" applyFont="1" applyBorder="1" applyAlignment="1" applyProtection="1">
      <alignment horizontal="center" vertical="center"/>
    </xf>
    <xf numFmtId="0" fontId="39" fillId="0" borderId="0" xfId="0" applyFont="1" applyBorder="1" applyAlignment="1" applyProtection="1">
      <alignment horizontal="left" vertical="center" indent="1"/>
    </xf>
    <xf numFmtId="0" fontId="19" fillId="0" borderId="12" xfId="12" applyFont="1" applyFill="1" applyBorder="1" applyAlignment="1" applyProtection="1">
      <alignment vertical="center"/>
    </xf>
    <xf numFmtId="0" fontId="19" fillId="0" borderId="16" xfId="12" applyFont="1" applyFill="1" applyBorder="1" applyAlignment="1" applyProtection="1">
      <alignment vertical="center"/>
    </xf>
    <xf numFmtId="0" fontId="19" fillId="0" borderId="10" xfId="12" applyFont="1" applyFill="1" applyBorder="1" applyAlignment="1" applyProtection="1">
      <alignment vertical="center"/>
    </xf>
    <xf numFmtId="0" fontId="19" fillId="0" borderId="18" xfId="0" applyNumberFormat="1" applyFont="1" applyBorder="1" applyAlignment="1" applyProtection="1">
      <alignment horizontal="left" vertical="center"/>
    </xf>
    <xf numFmtId="0" fontId="0" fillId="0" borderId="0" xfId="0" applyBorder="1" applyAlignment="1">
      <alignment horizontal="left" indent="2"/>
    </xf>
    <xf numFmtId="164" fontId="39" fillId="0" borderId="0" xfId="0"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29" fillId="0" borderId="0" xfId="0" applyFont="1" applyFill="1"/>
    <xf numFmtId="168" fontId="20" fillId="0" borderId="0" xfId="0" applyNumberFormat="1" applyFont="1"/>
    <xf numFmtId="0" fontId="29" fillId="0" borderId="0" xfId="0" applyFont="1"/>
    <xf numFmtId="0" fontId="40" fillId="0" borderId="0" xfId="2" applyFont="1" applyBorder="1" applyAlignment="1" applyProtection="1"/>
    <xf numFmtId="0" fontId="24" fillId="0" borderId="0" xfId="0" applyFont="1" applyBorder="1" applyProtection="1"/>
    <xf numFmtId="0" fontId="24" fillId="0" borderId="18" xfId="0" applyFont="1" applyBorder="1" applyProtection="1"/>
    <xf numFmtId="0" fontId="46" fillId="0" borderId="0" xfId="0" applyFont="1" applyBorder="1" applyProtection="1"/>
    <xf numFmtId="0" fontId="0" fillId="0" borderId="19" xfId="0" applyBorder="1" applyProtection="1"/>
    <xf numFmtId="0" fontId="0" fillId="0" borderId="20" xfId="0" applyBorder="1" applyProtection="1"/>
    <xf numFmtId="0" fontId="18" fillId="0" borderId="22" xfId="0" applyFont="1" applyBorder="1" applyAlignment="1" applyProtection="1">
      <alignment horizontal="center"/>
      <protection locked="0"/>
    </xf>
    <xf numFmtId="0" fontId="22" fillId="0" borderId="0" xfId="12" applyFont="1" applyBorder="1" applyAlignment="1" applyProtection="1">
      <alignment horizontal="left" vertical="center" indent="1"/>
    </xf>
    <xf numFmtId="1" fontId="15" fillId="0" borderId="0" xfId="0" applyNumberFormat="1" applyFont="1" applyAlignment="1">
      <alignment horizontal="right"/>
    </xf>
    <xf numFmtId="1" fontId="15" fillId="0" borderId="0" xfId="0" applyNumberFormat="1" applyFont="1" applyFill="1" applyAlignment="1">
      <alignment horizontal="right"/>
    </xf>
    <xf numFmtId="0" fontId="19" fillId="0" borderId="0" xfId="0" applyFont="1" applyBorder="1" applyAlignment="1" applyProtection="1">
      <alignment horizontal="left" vertical="center" indent="1"/>
    </xf>
    <xf numFmtId="0" fontId="15" fillId="0" borderId="0" xfId="0" applyFont="1" applyBorder="1" applyAlignment="1" applyProtection="1">
      <alignment horizontal="left" vertical="center" indent="1"/>
    </xf>
    <xf numFmtId="0" fontId="16" fillId="0" borderId="0" xfId="0" applyFont="1" applyAlignment="1">
      <alignment horizontal="left" wrapText="1"/>
    </xf>
    <xf numFmtId="49" fontId="32" fillId="0" borderId="0" xfId="0" applyNumberFormat="1" applyFont="1" applyAlignment="1">
      <alignment horizontal="center" vertical="top"/>
    </xf>
    <xf numFmtId="49" fontId="32" fillId="0" borderId="0" xfId="0" applyNumberFormat="1" applyFont="1" applyAlignment="1">
      <alignment horizontal="right" vertical="top"/>
    </xf>
    <xf numFmtId="0" fontId="16" fillId="0" borderId="0" xfId="0" applyNumberFormat="1" applyFont="1" applyAlignment="1">
      <alignment horizontal="left" wrapText="1"/>
    </xf>
    <xf numFmtId="49" fontId="32" fillId="0" borderId="0" xfId="0" applyNumberFormat="1" applyFont="1" applyAlignment="1">
      <alignment horizontal="right" vertical="center"/>
    </xf>
    <xf numFmtId="0" fontId="54" fillId="0" borderId="0" xfId="0" applyFont="1" applyAlignment="1">
      <alignment horizontal="left" wrapText="1" indent="4"/>
    </xf>
    <xf numFmtId="0" fontId="25" fillId="0" borderId="2" xfId="12" applyNumberFormat="1" applyFont="1" applyBorder="1" applyAlignment="1" applyProtection="1">
      <alignment horizontal="center" vertical="center"/>
      <protection locked="0"/>
    </xf>
    <xf numFmtId="0" fontId="25" fillId="0" borderId="2" xfId="12" applyFont="1" applyBorder="1" applyAlignment="1" applyProtection="1">
      <alignment horizontal="center" vertical="center"/>
      <protection locked="0"/>
    </xf>
    <xf numFmtId="14" fontId="15" fillId="0" borderId="0" xfId="0" applyNumberFormat="1" applyFont="1" applyAlignment="1">
      <alignment horizontal="right"/>
    </xf>
    <xf numFmtId="0" fontId="39" fillId="0" borderId="17" xfId="12" applyNumberFormat="1" applyFont="1" applyFill="1" applyBorder="1" applyAlignment="1" applyProtection="1">
      <alignment horizontal="left" vertical="center" indent="1"/>
    </xf>
    <xf numFmtId="0" fontId="18" fillId="0" borderId="17" xfId="12" applyNumberFormat="1" applyFont="1" applyFill="1" applyBorder="1" applyAlignment="1" applyProtection="1">
      <alignment horizontal="left" vertical="center" indent="1"/>
    </xf>
    <xf numFmtId="0" fontId="21" fillId="0" borderId="17" xfId="12" applyNumberFormat="1" applyFont="1" applyBorder="1" applyAlignment="1" applyProtection="1">
      <alignment vertical="center"/>
    </xf>
    <xf numFmtId="0" fontId="19" fillId="0" borderId="122" xfId="12" applyNumberFormat="1" applyFont="1" applyBorder="1" applyAlignment="1" applyProtection="1">
      <alignment horizontal="right" vertical="center"/>
    </xf>
    <xf numFmtId="0" fontId="16" fillId="0" borderId="122" xfId="12" applyFont="1" applyBorder="1" applyAlignment="1" applyProtection="1">
      <alignment vertical="center"/>
    </xf>
    <xf numFmtId="0" fontId="19" fillId="0" borderId="125" xfId="12" applyFont="1" applyBorder="1" applyAlignment="1" applyProtection="1">
      <alignment vertical="center"/>
    </xf>
    <xf numFmtId="0" fontId="19" fillId="0" borderId="123" xfId="12" applyFont="1" applyBorder="1" applyAlignment="1" applyProtection="1">
      <alignment vertical="center"/>
    </xf>
    <xf numFmtId="1" fontId="15" fillId="0" borderId="0" xfId="0" applyNumberFormat="1" applyFont="1" applyAlignment="1">
      <alignment horizontal="center" vertical="center"/>
    </xf>
    <xf numFmtId="0" fontId="16" fillId="0" borderId="132" xfId="12" applyFont="1" applyBorder="1" applyAlignment="1" applyProtection="1">
      <alignment vertical="center"/>
    </xf>
    <xf numFmtId="0" fontId="16" fillId="0" borderId="12" xfId="12" applyFont="1" applyBorder="1" applyAlignment="1" applyProtection="1">
      <alignment horizontal="left" vertical="center"/>
    </xf>
    <xf numFmtId="0" fontId="58" fillId="0" borderId="47" xfId="0" applyFont="1" applyFill="1" applyBorder="1" applyAlignment="1">
      <alignment horizontal="left" vertical="center"/>
    </xf>
    <xf numFmtId="0" fontId="59" fillId="0" borderId="0" xfId="0" applyFont="1" applyBorder="1"/>
    <xf numFmtId="0" fontId="59" fillId="0" borderId="47" xfId="0" applyFont="1" applyBorder="1" applyAlignment="1">
      <alignment horizontal="centerContinuous" vertical="center"/>
    </xf>
    <xf numFmtId="0" fontId="59" fillId="0" borderId="25" xfId="0" applyFont="1" applyBorder="1"/>
    <xf numFmtId="0" fontId="58" fillId="0" borderId="25" xfId="0" applyFont="1" applyBorder="1" applyAlignment="1">
      <alignment horizontal="left" vertical="center"/>
    </xf>
    <xf numFmtId="0" fontId="58" fillId="0" borderId="25" xfId="0" applyFont="1" applyBorder="1" applyAlignment="1">
      <alignment horizontal="center" vertical="center" wrapText="1"/>
    </xf>
    <xf numFmtId="0" fontId="59" fillId="0" borderId="0" xfId="0" applyFont="1" applyBorder="1" applyAlignment="1">
      <alignment horizontal="left"/>
    </xf>
    <xf numFmtId="0" fontId="58" fillId="0" borderId="0" xfId="0" applyFont="1" applyBorder="1"/>
    <xf numFmtId="49" fontId="59" fillId="0" borderId="0" xfId="0" applyNumberFormat="1" applyFont="1" applyBorder="1" applyAlignment="1">
      <alignment horizontal="left"/>
    </xf>
    <xf numFmtId="49" fontId="60" fillId="0" borderId="0" xfId="2" applyNumberFormat="1" applyFont="1" applyBorder="1" applyAlignment="1" applyProtection="1">
      <alignment horizontal="center"/>
    </xf>
    <xf numFmtId="49" fontId="59" fillId="0" borderId="0" xfId="0" applyNumberFormat="1" applyFont="1" applyBorder="1" applyAlignment="1">
      <alignment horizontal="center"/>
    </xf>
    <xf numFmtId="0" fontId="59" fillId="0" borderId="0" xfId="0" applyFont="1" applyBorder="1" applyAlignment="1">
      <alignment horizontal="left" indent="1"/>
    </xf>
    <xf numFmtId="0" fontId="58" fillId="0" borderId="0" xfId="0" applyFont="1" applyBorder="1" applyAlignment="1">
      <alignment horizontal="left"/>
    </xf>
    <xf numFmtId="0" fontId="59" fillId="0" borderId="0" xfId="0" applyFont="1" applyBorder="1" applyAlignment="1">
      <alignment horizontal="centerContinuous" vertical="center"/>
    </xf>
    <xf numFmtId="0" fontId="59" fillId="0" borderId="0" xfId="0" applyFont="1" applyBorder="1" applyAlignment="1">
      <alignment vertical="center"/>
    </xf>
    <xf numFmtId="0" fontId="62" fillId="0" borderId="0" xfId="2" applyFont="1" applyBorder="1" applyAlignment="1" applyProtection="1">
      <alignment horizontal="left" indent="2"/>
    </xf>
    <xf numFmtId="0" fontId="63" fillId="0" borderId="0" xfId="0" applyFont="1" applyBorder="1"/>
    <xf numFmtId="0" fontId="66" fillId="0" borderId="0" xfId="0" applyFont="1" applyBorder="1"/>
    <xf numFmtId="164" fontId="68" fillId="0" borderId="0" xfId="0" applyNumberFormat="1" applyFont="1" applyBorder="1" applyAlignment="1" applyProtection="1">
      <alignment vertical="center"/>
    </xf>
    <xf numFmtId="0" fontId="61" fillId="0" borderId="0" xfId="0" applyFont="1" applyBorder="1"/>
    <xf numFmtId="0" fontId="61" fillId="0" borderId="0" xfId="0" applyFont="1" applyBorder="1" applyAlignment="1" applyProtection="1">
      <alignment vertical="center"/>
    </xf>
    <xf numFmtId="0" fontId="59" fillId="0" borderId="0" xfId="0" applyFont="1" applyBorder="1" applyAlignment="1" applyProtection="1">
      <alignment horizontal="left" vertical="top"/>
      <protection locked="0"/>
    </xf>
    <xf numFmtId="0" fontId="59" fillId="0" borderId="0" xfId="0" applyFont="1" applyFill="1" applyBorder="1"/>
    <xf numFmtId="0" fontId="66" fillId="0" borderId="0" xfId="0" applyFont="1" applyBorder="1" applyAlignment="1">
      <alignment vertical="center"/>
    </xf>
    <xf numFmtId="49" fontId="59" fillId="0" borderId="0" xfId="0" applyNumberFormat="1" applyFont="1" applyBorder="1" applyAlignment="1">
      <alignment horizontal="center" vertical="center"/>
    </xf>
    <xf numFmtId="49" fontId="59" fillId="0" borderId="0" xfId="0" applyNumberFormat="1" applyFont="1" applyBorder="1" applyAlignment="1">
      <alignment vertical="center"/>
    </xf>
    <xf numFmtId="49" fontId="71" fillId="0" borderId="0" xfId="0" applyNumberFormat="1" applyFont="1" applyBorder="1" applyAlignment="1">
      <alignment horizontal="left" vertical="center"/>
    </xf>
    <xf numFmtId="49" fontId="59" fillId="0" borderId="0" xfId="0" applyNumberFormat="1" applyFont="1" applyBorder="1" applyAlignment="1">
      <alignment horizontal="left" indent="2"/>
    </xf>
    <xf numFmtId="49" fontId="59" fillId="0" borderId="0" xfId="0" applyNumberFormat="1" applyFont="1" applyBorder="1"/>
    <xf numFmtId="49" fontId="59" fillId="0" borderId="0" xfId="0" applyNumberFormat="1" applyFont="1" applyBorder="1" applyAlignment="1">
      <alignment horizontal="left" indent="1"/>
    </xf>
    <xf numFmtId="49" fontId="62" fillId="0" borderId="0" xfId="2" applyNumberFormat="1" applyFont="1" applyBorder="1" applyAlignment="1" applyProtection="1">
      <alignment horizontal="left" indent="1"/>
    </xf>
    <xf numFmtId="49" fontId="59" fillId="0" borderId="0" xfId="0" applyNumberFormat="1" applyFont="1" applyFill="1" applyBorder="1" applyAlignment="1">
      <alignment horizontal="left" indent="1"/>
    </xf>
    <xf numFmtId="49" fontId="59" fillId="0" borderId="0" xfId="0" applyNumberFormat="1" applyFont="1" applyFill="1" applyBorder="1" applyAlignment="1">
      <alignment horizontal="left" indent="2"/>
    </xf>
    <xf numFmtId="49" fontId="59" fillId="0" borderId="0" xfId="0" applyNumberFormat="1" applyFont="1" applyFill="1" applyBorder="1" applyAlignment="1">
      <alignment horizontal="left" indent="3"/>
    </xf>
    <xf numFmtId="49" fontId="65" fillId="0" borderId="0" xfId="0" applyNumberFormat="1" applyFont="1" applyBorder="1" applyAlignment="1">
      <alignment horizontal="left" indent="2"/>
    </xf>
    <xf numFmtId="49" fontId="67" fillId="0" borderId="0" xfId="0" applyNumberFormat="1" applyFont="1" applyBorder="1" applyAlignment="1">
      <alignment horizontal="left" indent="5"/>
    </xf>
    <xf numFmtId="49" fontId="67" fillId="0" borderId="0" xfId="0" applyNumberFormat="1" applyFont="1" applyBorder="1" applyAlignment="1">
      <alignment horizontal="left" indent="3"/>
    </xf>
    <xf numFmtId="49" fontId="64" fillId="0" borderId="0" xfId="0" applyNumberFormat="1" applyFont="1" applyBorder="1" applyAlignment="1">
      <alignment horizontal="left"/>
    </xf>
    <xf numFmtId="49" fontId="62" fillId="0" borderId="0" xfId="2" applyNumberFormat="1" applyFont="1" applyBorder="1" applyAlignment="1" applyProtection="1">
      <alignment horizontal="left" indent="3"/>
    </xf>
    <xf numFmtId="49" fontId="59" fillId="0" borderId="0" xfId="0" applyNumberFormat="1" applyFont="1" applyFill="1" applyBorder="1"/>
    <xf numFmtId="49" fontId="62" fillId="0" borderId="0" xfId="2" applyNumberFormat="1" applyFont="1" applyBorder="1" applyAlignment="1" applyProtection="1">
      <alignment horizontal="left" indent="2"/>
    </xf>
    <xf numFmtId="0" fontId="61" fillId="0" borderId="0" xfId="0" applyFont="1" applyBorder="1" applyProtection="1"/>
    <xf numFmtId="0" fontId="61" fillId="0" borderId="0" xfId="0" applyFont="1" applyBorder="1" applyAlignment="1" applyProtection="1">
      <alignment horizontal="left"/>
    </xf>
    <xf numFmtId="164" fontId="66" fillId="0" borderId="0" xfId="0" applyNumberFormat="1" applyFont="1" applyBorder="1" applyAlignment="1" applyProtection="1">
      <alignment horizontal="left"/>
    </xf>
    <xf numFmtId="0" fontId="61" fillId="0" borderId="0" xfId="0" applyFont="1" applyBorder="1" applyAlignment="1" applyProtection="1">
      <alignment horizontal="center" vertical="top" textRotation="180"/>
    </xf>
    <xf numFmtId="0" fontId="61" fillId="0" borderId="0" xfId="0" applyFont="1" applyBorder="1" applyAlignment="1" applyProtection="1"/>
    <xf numFmtId="0" fontId="75" fillId="0" borderId="0" xfId="0" applyFont="1" applyBorder="1" applyAlignment="1" applyProtection="1">
      <alignment horizontal="centerContinuous" vertical="center"/>
    </xf>
    <xf numFmtId="164" fontId="68" fillId="0" borderId="0" xfId="0" applyNumberFormat="1" applyFont="1" applyBorder="1" applyAlignment="1" applyProtection="1">
      <alignment horizontal="left" vertical="center"/>
    </xf>
    <xf numFmtId="0" fontId="59" fillId="0" borderId="0" xfId="0" applyFont="1" applyBorder="1" applyAlignment="1" applyProtection="1">
      <alignment horizontal="left" vertical="center"/>
    </xf>
    <xf numFmtId="0" fontId="61" fillId="0" borderId="0" xfId="0" applyFont="1" applyBorder="1" applyAlignment="1"/>
    <xf numFmtId="0" fontId="75" fillId="0" borderId="0" xfId="0" applyFont="1" applyBorder="1" applyAlignment="1" applyProtection="1">
      <alignment horizontal="center" vertical="center"/>
    </xf>
    <xf numFmtId="0" fontId="66" fillId="0" borderId="0" xfId="0" applyFont="1" applyBorder="1" applyAlignment="1">
      <alignment horizontal="left" vertical="top"/>
    </xf>
    <xf numFmtId="164" fontId="66" fillId="0" borderId="0" xfId="0" applyNumberFormat="1" applyFont="1" applyBorder="1" applyAlignment="1">
      <alignment horizontal="left" vertical="top"/>
    </xf>
    <xf numFmtId="0" fontId="70" fillId="0" borderId="0" xfId="0" applyFont="1" applyBorder="1" applyAlignment="1" applyProtection="1">
      <alignment horizontal="left" vertical="center"/>
    </xf>
    <xf numFmtId="0" fontId="76" fillId="0" borderId="0" xfId="0" applyFont="1" applyBorder="1" applyAlignment="1">
      <alignment horizontal="left" vertical="top"/>
    </xf>
    <xf numFmtId="0" fontId="59" fillId="0" borderId="0" xfId="0" applyFont="1" applyBorder="1" applyProtection="1"/>
    <xf numFmtId="0" fontId="59" fillId="0" borderId="0" xfId="0" applyFont="1" applyBorder="1" applyAlignment="1" applyProtection="1">
      <alignment horizontal="left"/>
    </xf>
    <xf numFmtId="0" fontId="66" fillId="0" borderId="0" xfId="0" applyFont="1" applyBorder="1" applyProtection="1"/>
    <xf numFmtId="0" fontId="58" fillId="0" borderId="0" xfId="0" applyFont="1" applyBorder="1" applyAlignment="1" applyProtection="1">
      <alignment horizontal="center" vertical="center"/>
    </xf>
    <xf numFmtId="164" fontId="58" fillId="0" borderId="2" xfId="0" applyNumberFormat="1" applyFont="1" applyBorder="1" applyAlignment="1" applyProtection="1">
      <alignment horizontal="center" vertical="center"/>
      <protection locked="0"/>
    </xf>
    <xf numFmtId="0" fontId="66" fillId="0" borderId="0" xfId="0" applyFont="1" applyBorder="1" applyAlignment="1">
      <alignment horizontal="left" vertical="center"/>
    </xf>
    <xf numFmtId="0" fontId="59" fillId="0" borderId="0" xfId="0" applyFont="1" applyBorder="1" applyAlignment="1" applyProtection="1">
      <alignment vertical="center"/>
    </xf>
    <xf numFmtId="164" fontId="68" fillId="0" borderId="0" xfId="0" applyNumberFormat="1" applyFont="1" applyBorder="1" applyAlignment="1" applyProtection="1">
      <alignment horizontal="right" vertical="center"/>
    </xf>
    <xf numFmtId="164" fontId="66" fillId="0" borderId="0" xfId="0" applyNumberFormat="1" applyFont="1" applyBorder="1" applyAlignment="1" applyProtection="1">
      <alignment vertical="center"/>
    </xf>
    <xf numFmtId="0" fontId="66" fillId="0" borderId="0" xfId="0" applyFont="1" applyBorder="1" applyAlignment="1" applyProtection="1">
      <alignment horizontal="left" vertical="center" indent="1"/>
    </xf>
    <xf numFmtId="0" fontId="58" fillId="0" borderId="2" xfId="0" applyFont="1" applyBorder="1" applyAlignment="1" applyProtection="1">
      <alignment horizontal="center" vertical="center"/>
      <protection locked="0"/>
    </xf>
    <xf numFmtId="164" fontId="68" fillId="0" borderId="0" xfId="0" applyNumberFormat="1" applyFont="1" applyBorder="1" applyAlignment="1" applyProtection="1">
      <alignment horizontal="right" vertical="center" wrapText="1"/>
    </xf>
    <xf numFmtId="164" fontId="66" fillId="0" borderId="0" xfId="0" applyNumberFormat="1" applyFont="1" applyBorder="1" applyAlignment="1">
      <alignment horizontal="left" vertical="center"/>
    </xf>
    <xf numFmtId="0" fontId="58" fillId="0" borderId="0" xfId="0" applyFont="1" applyBorder="1" applyAlignment="1" applyProtection="1">
      <alignment horizontal="left" vertical="center"/>
    </xf>
    <xf numFmtId="164" fontId="77" fillId="0" borderId="0" xfId="0" applyNumberFormat="1" applyFont="1" applyBorder="1" applyAlignment="1" applyProtection="1">
      <alignment horizontal="left" vertical="center" indent="1"/>
    </xf>
    <xf numFmtId="0" fontId="66" fillId="0" borderId="0" xfId="0" applyFont="1" applyAlignment="1">
      <alignment horizontal="left" vertical="center"/>
    </xf>
    <xf numFmtId="0" fontId="66" fillId="0" borderId="0" xfId="0" applyFont="1" applyAlignment="1">
      <alignment horizontal="left" vertical="center" indent="1"/>
    </xf>
    <xf numFmtId="0" fontId="77" fillId="0" borderId="0" xfId="0" applyFont="1" applyAlignment="1">
      <alignment horizontal="left" vertical="center" indent="1"/>
    </xf>
    <xf numFmtId="0" fontId="58" fillId="0" borderId="21" xfId="0" applyFont="1" applyBorder="1" applyAlignment="1" applyProtection="1">
      <alignment horizontal="center" vertical="center"/>
      <protection locked="0"/>
    </xf>
    <xf numFmtId="0" fontId="66" fillId="0" borderId="0" xfId="0" applyFont="1" applyBorder="1" applyAlignment="1">
      <alignment horizontal="left" vertical="center" indent="1"/>
    </xf>
    <xf numFmtId="0" fontId="58" fillId="0" borderId="0" xfId="0" applyFont="1" applyBorder="1" applyAlignment="1" applyProtection="1">
      <alignment horizontal="center" vertical="center"/>
      <protection locked="0"/>
    </xf>
    <xf numFmtId="0" fontId="66" fillId="0" borderId="0" xfId="0" applyFont="1" applyBorder="1" applyAlignment="1" applyProtection="1">
      <alignment vertical="center"/>
    </xf>
    <xf numFmtId="0" fontId="77" fillId="0" borderId="0" xfId="0" applyFont="1" applyAlignment="1">
      <alignment horizontal="left" vertical="center"/>
    </xf>
    <xf numFmtId="0" fontId="66" fillId="0" borderId="0" xfId="0" applyFont="1" applyBorder="1" applyAlignment="1" applyProtection="1">
      <alignment horizontal="left" vertical="top"/>
    </xf>
    <xf numFmtId="0" fontId="66" fillId="0" borderId="0" xfId="0" applyFont="1" applyBorder="1" applyAlignment="1" applyProtection="1">
      <alignment horizontal="left" vertical="top" indent="1"/>
    </xf>
    <xf numFmtId="0" fontId="77" fillId="0" borderId="0" xfId="0" applyFont="1" applyBorder="1" applyAlignment="1" applyProtection="1">
      <alignment horizontal="left" vertical="top" indent="1"/>
    </xf>
    <xf numFmtId="0" fontId="66" fillId="0" borderId="0" xfId="0" applyFont="1" applyAlignment="1">
      <alignment vertical="top"/>
    </xf>
    <xf numFmtId="0" fontId="66" fillId="0" borderId="0" xfId="0" applyFont="1" applyBorder="1" applyAlignment="1" applyProtection="1">
      <alignment vertical="top"/>
    </xf>
    <xf numFmtId="0" fontId="69" fillId="0" borderId="2" xfId="0" applyFont="1" applyBorder="1" applyAlignment="1" applyProtection="1">
      <alignment horizontal="center"/>
      <protection locked="0"/>
    </xf>
    <xf numFmtId="164" fontId="68" fillId="0" borderId="0" xfId="0" applyNumberFormat="1" applyFont="1" applyBorder="1" applyAlignment="1" applyProtection="1">
      <alignment horizontal="right"/>
    </xf>
    <xf numFmtId="0" fontId="61" fillId="0" borderId="21" xfId="0" applyFont="1" applyBorder="1" applyAlignment="1" applyProtection="1">
      <alignment horizontal="left"/>
    </xf>
    <xf numFmtId="0" fontId="66" fillId="0" borderId="0" xfId="0" applyFont="1" applyBorder="1" applyAlignment="1" applyProtection="1">
      <alignment horizontal="left" vertical="center"/>
    </xf>
    <xf numFmtId="0" fontId="61" fillId="0" borderId="0" xfId="0" applyFont="1" applyBorder="1" applyAlignment="1" applyProtection="1">
      <alignment horizontal="left" vertical="center"/>
    </xf>
    <xf numFmtId="14" fontId="59" fillId="0" borderId="0" xfId="0" applyNumberFormat="1" applyFont="1" applyBorder="1" applyAlignment="1" applyProtection="1">
      <alignment horizontal="center" vertical="center"/>
    </xf>
    <xf numFmtId="14" fontId="69" fillId="0" borderId="78" xfId="0" applyNumberFormat="1" applyFont="1" applyBorder="1" applyAlignment="1" applyProtection="1">
      <alignment horizontal="center" vertical="center"/>
      <protection locked="0"/>
    </xf>
    <xf numFmtId="0" fontId="79" fillId="0" borderId="0" xfId="0" applyFont="1" applyAlignment="1">
      <alignment horizontal="left" vertical="center"/>
    </xf>
    <xf numFmtId="0" fontId="61" fillId="0" borderId="0" xfId="0" applyFont="1" applyAlignment="1">
      <alignment horizontal="left" vertical="center"/>
    </xf>
    <xf numFmtId="0" fontId="70" fillId="0" borderId="0" xfId="0" applyFont="1" applyBorder="1" applyAlignment="1" applyProtection="1">
      <alignment horizontal="left" vertical="center" wrapText="1"/>
    </xf>
    <xf numFmtId="0" fontId="58" fillId="0" borderId="0" xfId="0" applyFont="1" applyBorder="1" applyAlignment="1" applyProtection="1">
      <alignment horizontal="center" vertical="center" wrapText="1"/>
    </xf>
    <xf numFmtId="0" fontId="59" fillId="0" borderId="0" xfId="0" applyFont="1" applyBorder="1" applyAlignment="1" applyProtection="1">
      <alignment horizontal="left" vertical="top"/>
    </xf>
    <xf numFmtId="0" fontId="61" fillId="0" borderId="0" xfId="0" applyFont="1" applyBorder="1" applyAlignment="1">
      <alignment horizontal="left" vertical="top"/>
    </xf>
    <xf numFmtId="0" fontId="61" fillId="0" borderId="0" xfId="0" applyFont="1" applyBorder="1" applyAlignment="1">
      <alignment horizontal="center" vertical="top"/>
    </xf>
    <xf numFmtId="0" fontId="66" fillId="0" borderId="0" xfId="0" applyFont="1" applyAlignment="1">
      <alignment horizontal="left"/>
    </xf>
    <xf numFmtId="0" fontId="66" fillId="0" borderId="0" xfId="0" applyFont="1"/>
    <xf numFmtId="0" fontId="61" fillId="0" borderId="0" xfId="0" applyFont="1" applyBorder="1" applyAlignment="1" applyProtection="1">
      <alignment horizontal="right" vertical="center"/>
    </xf>
    <xf numFmtId="14" fontId="61" fillId="0" borderId="100" xfId="0" applyNumberFormat="1" applyFont="1" applyBorder="1" applyAlignment="1" applyProtection="1">
      <alignment vertical="center"/>
      <protection locked="0"/>
    </xf>
    <xf numFmtId="164" fontId="58" fillId="0" borderId="0" xfId="0" applyNumberFormat="1" applyFont="1" applyBorder="1" applyAlignment="1" applyProtection="1">
      <alignment horizontal="center" vertical="center"/>
    </xf>
    <xf numFmtId="0" fontId="80" fillId="9" borderId="101" xfId="0" applyFont="1" applyFill="1" applyBorder="1" applyAlignment="1">
      <alignment horizontal="center" vertical="center"/>
    </xf>
    <xf numFmtId="0" fontId="80" fillId="9" borderId="102" xfId="0" applyFont="1" applyFill="1" applyBorder="1" applyAlignment="1">
      <alignment horizontal="center" vertical="center"/>
    </xf>
    <xf numFmtId="0" fontId="58" fillId="17" borderId="118" xfId="0" applyFont="1" applyFill="1" applyBorder="1" applyAlignment="1" applyProtection="1">
      <alignment horizontal="left" vertical="center"/>
    </xf>
    <xf numFmtId="164" fontId="58" fillId="17" borderId="118" xfId="0" applyNumberFormat="1" applyFont="1" applyFill="1" applyBorder="1" applyAlignment="1" applyProtection="1">
      <alignment horizontal="center" vertical="center"/>
    </xf>
    <xf numFmtId="164" fontId="68" fillId="17" borderId="118" xfId="0" applyNumberFormat="1" applyFont="1" applyFill="1" applyBorder="1" applyAlignment="1" applyProtection="1">
      <alignment vertical="center"/>
    </xf>
    <xf numFmtId="0" fontId="81" fillId="10" borderId="119" xfId="0" applyFont="1" applyFill="1" applyBorder="1" applyAlignment="1">
      <alignment horizontal="left" vertical="center"/>
    </xf>
    <xf numFmtId="38" fontId="53" fillId="10" borderId="103" xfId="0" applyNumberFormat="1" applyFont="1" applyFill="1" applyBorder="1" applyAlignment="1">
      <alignment horizontal="right"/>
    </xf>
    <xf numFmtId="38" fontId="53" fillId="10" borderId="107" xfId="0" applyNumberFormat="1" applyFont="1" applyFill="1" applyBorder="1" applyAlignment="1">
      <alignment horizontal="right"/>
    </xf>
    <xf numFmtId="0" fontId="82" fillId="11" borderId="103" xfId="0" applyFont="1" applyFill="1" applyBorder="1" applyAlignment="1">
      <alignment vertical="center"/>
    </xf>
    <xf numFmtId="164" fontId="58" fillId="13" borderId="114" xfId="0" applyNumberFormat="1" applyFont="1" applyFill="1" applyBorder="1" applyAlignment="1" applyProtection="1">
      <alignment horizontal="center" vertical="center"/>
    </xf>
    <xf numFmtId="164" fontId="68" fillId="13" borderId="107" xfId="0" applyNumberFormat="1" applyFont="1" applyFill="1" applyBorder="1" applyAlignment="1" applyProtection="1">
      <alignment vertical="center"/>
    </xf>
    <xf numFmtId="0" fontId="61" fillId="13" borderId="103" xfId="0" applyFont="1" applyFill="1" applyBorder="1" applyAlignment="1" applyProtection="1">
      <alignment vertical="center"/>
    </xf>
    <xf numFmtId="38" fontId="53" fillId="11" borderId="117" xfId="0" applyNumberFormat="1" applyFont="1" applyFill="1" applyBorder="1" applyAlignment="1" applyProtection="1">
      <alignment horizontal="right"/>
      <protection locked="0"/>
    </xf>
    <xf numFmtId="38" fontId="53" fillId="11" borderId="103" xfId="0" applyNumberFormat="1" applyFont="1" applyFill="1" applyBorder="1" applyAlignment="1" applyProtection="1">
      <alignment horizontal="right"/>
      <protection locked="0"/>
    </xf>
    <xf numFmtId="38" fontId="53" fillId="11" borderId="107" xfId="0" applyNumberFormat="1" applyFont="1" applyFill="1" applyBorder="1" applyAlignment="1" applyProtection="1">
      <alignment horizontal="right"/>
      <protection locked="0"/>
    </xf>
    <xf numFmtId="0" fontId="58" fillId="17" borderId="107" xfId="0" applyFont="1" applyFill="1" applyBorder="1" applyAlignment="1" applyProtection="1">
      <alignment horizontal="center" vertical="center"/>
    </xf>
    <xf numFmtId="164" fontId="58" fillId="17" borderId="107" xfId="0" applyNumberFormat="1" applyFont="1" applyFill="1" applyBorder="1" applyAlignment="1" applyProtection="1">
      <alignment horizontal="center" vertical="center"/>
    </xf>
    <xf numFmtId="164" fontId="68" fillId="17" borderId="107" xfId="0" applyNumberFormat="1" applyFont="1" applyFill="1" applyBorder="1" applyAlignment="1" applyProtection="1">
      <alignment vertical="center"/>
    </xf>
    <xf numFmtId="0" fontId="81" fillId="10" borderId="103" xfId="0" applyFont="1" applyFill="1" applyBorder="1" applyAlignment="1">
      <alignment horizontal="left" vertical="center"/>
    </xf>
    <xf numFmtId="0" fontId="58" fillId="17" borderId="0" xfId="0" applyFont="1" applyFill="1" applyBorder="1" applyAlignment="1" applyProtection="1">
      <alignment horizontal="left" vertical="center"/>
    </xf>
    <xf numFmtId="164" fontId="58" fillId="17" borderId="0" xfId="0" applyNumberFormat="1" applyFont="1" applyFill="1" applyBorder="1" applyAlignment="1" applyProtection="1">
      <alignment horizontal="center" vertical="center"/>
    </xf>
    <xf numFmtId="164" fontId="68" fillId="17" borderId="0" xfId="0" applyNumberFormat="1" applyFont="1" applyFill="1" applyBorder="1" applyAlignment="1" applyProtection="1">
      <alignment vertical="center"/>
    </xf>
    <xf numFmtId="0" fontId="66" fillId="13" borderId="114" xfId="0" applyFont="1" applyFill="1" applyBorder="1" applyAlignment="1" applyProtection="1">
      <alignment horizontal="left" vertical="center"/>
    </xf>
    <xf numFmtId="164" fontId="58" fillId="13" borderId="107" xfId="0" applyNumberFormat="1" applyFont="1" applyFill="1" applyBorder="1" applyAlignment="1" applyProtection="1">
      <alignment horizontal="center" vertical="center"/>
    </xf>
    <xf numFmtId="164" fontId="66" fillId="13" borderId="107" xfId="0" applyNumberFormat="1" applyFont="1" applyFill="1" applyBorder="1" applyAlignment="1" applyProtection="1">
      <alignment vertical="center"/>
    </xf>
    <xf numFmtId="0" fontId="82" fillId="11" borderId="103" xfId="0" applyFont="1" applyFill="1" applyBorder="1" applyAlignment="1">
      <alignment horizontal="left" vertical="center"/>
    </xf>
    <xf numFmtId="0" fontId="58" fillId="13" borderId="115" xfId="0" applyFont="1" applyFill="1" applyBorder="1" applyAlignment="1" applyProtection="1">
      <alignment horizontal="center" vertical="center"/>
    </xf>
    <xf numFmtId="164" fontId="58" fillId="13" borderId="116" xfId="0" applyNumberFormat="1" applyFont="1" applyFill="1" applyBorder="1" applyAlignment="1" applyProtection="1">
      <alignment horizontal="center" vertical="center"/>
    </xf>
    <xf numFmtId="164" fontId="68" fillId="13" borderId="116" xfId="0" applyNumberFormat="1" applyFont="1" applyFill="1" applyBorder="1" applyAlignment="1" applyProtection="1">
      <alignment vertical="center"/>
    </xf>
    <xf numFmtId="38" fontId="53" fillId="11" borderId="107" xfId="0" applyNumberFormat="1" applyFont="1" applyFill="1" applyBorder="1" applyAlignment="1">
      <alignment horizontal="right"/>
    </xf>
    <xf numFmtId="0" fontId="81" fillId="10" borderId="104" xfId="0" applyFont="1" applyFill="1" applyBorder="1" applyAlignment="1">
      <alignment horizontal="left" vertical="center"/>
    </xf>
    <xf numFmtId="38" fontId="53" fillId="10" borderId="104" xfId="0" applyNumberFormat="1" applyFont="1" applyFill="1" applyBorder="1" applyAlignment="1">
      <alignment horizontal="right"/>
    </xf>
    <xf numFmtId="38" fontId="53" fillId="10" borderId="0" xfId="0" applyNumberFormat="1" applyFont="1" applyFill="1" applyBorder="1" applyAlignment="1" applyProtection="1">
      <alignment horizontal="right"/>
      <protection locked="0"/>
    </xf>
    <xf numFmtId="1" fontId="59" fillId="0" borderId="0" xfId="0" applyNumberFormat="1" applyFont="1" applyBorder="1" applyAlignment="1" applyProtection="1">
      <alignment horizontal="center" vertical="center"/>
    </xf>
    <xf numFmtId="0" fontId="61" fillId="0" borderId="0" xfId="0" applyFont="1" applyBorder="1" applyAlignment="1" applyProtection="1">
      <alignment horizontal="center" vertical="center"/>
    </xf>
    <xf numFmtId="164" fontId="59" fillId="0" borderId="0" xfId="0" applyNumberFormat="1" applyFont="1" applyBorder="1" applyAlignment="1" applyProtection="1">
      <alignment horizontal="left" vertical="center" indent="1"/>
    </xf>
    <xf numFmtId="0" fontId="70" fillId="0" borderId="0" xfId="3" applyFont="1" applyBorder="1" applyAlignment="1" applyProtection="1">
      <alignment horizontal="left" vertical="center"/>
    </xf>
    <xf numFmtId="0" fontId="79" fillId="0" borderId="0" xfId="3" applyFont="1" applyAlignment="1">
      <alignment horizontal="left" vertical="center"/>
    </xf>
    <xf numFmtId="0" fontId="68" fillId="0" borderId="0" xfId="3" applyFont="1" applyBorder="1" applyAlignment="1" applyProtection="1">
      <alignment horizontal="left" vertical="center"/>
    </xf>
    <xf numFmtId="0" fontId="61" fillId="0" borderId="0" xfId="3" applyFont="1" applyBorder="1" applyAlignment="1" applyProtection="1">
      <alignment horizontal="right" vertical="center"/>
    </xf>
    <xf numFmtId="1" fontId="59" fillId="0" borderId="0" xfId="3" applyNumberFormat="1" applyFont="1" applyBorder="1" applyAlignment="1" applyProtection="1">
      <alignment horizontal="center" vertical="center"/>
    </xf>
    <xf numFmtId="0" fontId="61" fillId="0" borderId="0" xfId="3" applyFont="1" applyBorder="1" applyAlignment="1" applyProtection="1">
      <alignment vertical="center"/>
    </xf>
    <xf numFmtId="0" fontId="61" fillId="0" borderId="0" xfId="3" applyFont="1" applyBorder="1" applyAlignment="1" applyProtection="1">
      <alignment horizontal="center" vertical="center"/>
    </xf>
    <xf numFmtId="0" fontId="61" fillId="0" borderId="0" xfId="3" applyNumberFormat="1" applyFont="1" applyBorder="1" applyAlignment="1" applyProtection="1">
      <alignment vertical="center"/>
    </xf>
    <xf numFmtId="0" fontId="66" fillId="0" borderId="0" xfId="3" applyFont="1" applyBorder="1" applyAlignment="1">
      <alignment horizontal="left" indent="1"/>
    </xf>
    <xf numFmtId="0" fontId="59" fillId="0" borderId="0" xfId="3" applyFont="1" applyBorder="1"/>
    <xf numFmtId="164" fontId="68" fillId="0" borderId="0" xfId="3" applyNumberFormat="1" applyFont="1" applyBorder="1" applyAlignment="1" applyProtection="1">
      <alignment vertical="center"/>
    </xf>
    <xf numFmtId="0" fontId="61" fillId="0" borderId="0" xfId="3" applyFont="1" applyBorder="1"/>
    <xf numFmtId="0" fontId="59" fillId="0" borderId="0" xfId="3" applyFont="1" applyBorder="1" applyAlignment="1" applyProtection="1">
      <alignment horizontal="left" vertical="top"/>
    </xf>
    <xf numFmtId="0" fontId="66" fillId="0" borderId="0" xfId="3" applyFont="1" applyBorder="1"/>
    <xf numFmtId="0" fontId="58" fillId="0" borderId="0" xfId="3" applyFont="1" applyBorder="1" applyAlignment="1" applyProtection="1">
      <alignment horizontal="center" vertical="center"/>
    </xf>
    <xf numFmtId="164" fontId="68" fillId="0" borderId="0" xfId="3" applyNumberFormat="1" applyFont="1" applyBorder="1" applyAlignment="1" applyProtection="1">
      <alignment horizontal="right" vertical="center"/>
    </xf>
    <xf numFmtId="0" fontId="83" fillId="0" borderId="0" xfId="3" applyFont="1" applyBorder="1"/>
    <xf numFmtId="0" fontId="61" fillId="0" borderId="0" xfId="3" applyFont="1"/>
    <xf numFmtId="0" fontId="61" fillId="0" borderId="0" xfId="3" applyFont="1" applyProtection="1"/>
    <xf numFmtId="0" fontId="77" fillId="0" borderId="0" xfId="3" applyFont="1" applyBorder="1"/>
    <xf numFmtId="0" fontId="77" fillId="0" borderId="0" xfId="3" applyFont="1" applyBorder="1" applyAlignment="1">
      <alignment horizontal="center" vertical="top"/>
    </xf>
    <xf numFmtId="171" fontId="61" fillId="0" borderId="0" xfId="3" applyNumberFormat="1" applyFont="1" applyBorder="1" applyAlignment="1" applyProtection="1">
      <alignment horizontal="center" vertical="center"/>
    </xf>
    <xf numFmtId="0" fontId="77" fillId="0" borderId="0" xfId="3" applyFont="1" applyBorder="1" applyAlignment="1">
      <alignment horizontal="center"/>
    </xf>
    <xf numFmtId="0" fontId="61" fillId="0" borderId="0" xfId="3" applyFont="1" applyBorder="1" applyProtection="1"/>
    <xf numFmtId="0" fontId="61" fillId="0" borderId="0" xfId="3" applyFont="1" applyProtection="1">
      <protection locked="0"/>
    </xf>
    <xf numFmtId="0" fontId="61" fillId="0" borderId="0" xfId="3" applyFont="1" applyBorder="1" applyProtection="1">
      <protection locked="0"/>
    </xf>
    <xf numFmtId="0" fontId="61" fillId="0" borderId="0" xfId="3" applyFont="1" applyBorder="1" applyAlignment="1">
      <alignment horizontal="center" vertical="center"/>
    </xf>
    <xf numFmtId="164" fontId="66" fillId="0" borderId="0" xfId="3" applyNumberFormat="1" applyFont="1" applyBorder="1"/>
    <xf numFmtId="0" fontId="77" fillId="0" borderId="15" xfId="3" applyFont="1" applyBorder="1" applyAlignment="1">
      <alignment horizontal="center"/>
    </xf>
    <xf numFmtId="0" fontId="59" fillId="0" borderId="0" xfId="3" applyFont="1" applyBorder="1" applyProtection="1"/>
    <xf numFmtId="0" fontId="61" fillId="0" borderId="0" xfId="0" applyFont="1"/>
    <xf numFmtId="0" fontId="77" fillId="0" borderId="0" xfId="0" applyFont="1" applyBorder="1"/>
    <xf numFmtId="0" fontId="77" fillId="0" borderId="0" xfId="0" applyFont="1" applyBorder="1" applyAlignment="1">
      <alignment horizontal="left" vertical="top" wrapText="1"/>
    </xf>
    <xf numFmtId="0" fontId="77" fillId="0" borderId="0" xfId="0" applyFont="1" applyBorder="1" applyAlignment="1">
      <alignment horizontal="center"/>
    </xf>
    <xf numFmtId="0" fontId="77" fillId="0" borderId="0" xfId="0" applyFont="1" applyBorder="1" applyAlignment="1" applyProtection="1">
      <alignment horizontal="center" vertical="top"/>
    </xf>
    <xf numFmtId="0" fontId="61" fillId="0" borderId="0" xfId="0" applyFont="1" applyBorder="1" applyAlignment="1">
      <alignment horizontal="center" vertical="center"/>
    </xf>
    <xf numFmtId="164" fontId="66" fillId="0" borderId="0" xfId="0" applyNumberFormat="1" applyFont="1" applyBorder="1"/>
    <xf numFmtId="0" fontId="58" fillId="0" borderId="0" xfId="0" applyFont="1" applyBorder="1" applyAlignment="1" applyProtection="1">
      <alignment horizontal="center"/>
    </xf>
    <xf numFmtId="0" fontId="77" fillId="0" borderId="0" xfId="0" applyFont="1" applyBorder="1" applyAlignment="1">
      <alignment horizontal="center" vertical="top"/>
    </xf>
    <xf numFmtId="171" fontId="61" fillId="0" borderId="0" xfId="0" applyNumberFormat="1" applyFont="1" applyBorder="1" applyAlignment="1" applyProtection="1">
      <alignment horizontal="center" vertical="center"/>
    </xf>
    <xf numFmtId="164" fontId="66" fillId="0" borderId="0" xfId="0" applyNumberFormat="1" applyFont="1" applyBorder="1" applyProtection="1"/>
    <xf numFmtId="0" fontId="84" fillId="0" borderId="0" xfId="0" applyFont="1" applyBorder="1" applyAlignment="1">
      <alignment horizontal="left" vertical="top" wrapText="1"/>
    </xf>
    <xf numFmtId="166" fontId="61" fillId="0" borderId="0" xfId="0" applyNumberFormat="1" applyFont="1" applyBorder="1" applyAlignment="1" applyProtection="1">
      <alignment horizontal="left" vertical="center"/>
    </xf>
    <xf numFmtId="164" fontId="66" fillId="0" borderId="0" xfId="0" applyNumberFormat="1" applyFont="1" applyBorder="1" applyAlignment="1" applyProtection="1">
      <alignment horizontal="left" vertical="center"/>
    </xf>
    <xf numFmtId="0" fontId="61" fillId="0" borderId="0" xfId="0" applyFont="1" applyAlignment="1">
      <alignment vertical="center"/>
    </xf>
    <xf numFmtId="0" fontId="68" fillId="0" borderId="0" xfId="0" applyFont="1" applyBorder="1" applyAlignment="1" applyProtection="1">
      <alignment vertical="center"/>
    </xf>
    <xf numFmtId="0" fontId="59" fillId="0" borderId="0" xfId="3" applyFont="1" applyBorder="1" applyAlignment="1">
      <alignment horizontal="left" indent="1"/>
    </xf>
    <xf numFmtId="0" fontId="64" fillId="0" borderId="0" xfId="0" applyFont="1" applyBorder="1" applyAlignment="1" applyProtection="1">
      <alignment horizontal="center" vertical="center"/>
    </xf>
    <xf numFmtId="0" fontId="59" fillId="0" borderId="0" xfId="0" applyFont="1" applyAlignment="1" applyProtection="1">
      <alignment vertical="center"/>
    </xf>
    <xf numFmtId="0" fontId="86" fillId="0" borderId="0" xfId="0" applyFont="1" applyBorder="1" applyAlignment="1" applyProtection="1">
      <alignment horizontal="left" vertical="center"/>
    </xf>
    <xf numFmtId="0" fontId="58" fillId="0" borderId="0" xfId="0" applyFont="1" applyBorder="1" applyAlignment="1" applyProtection="1">
      <alignment vertical="center"/>
    </xf>
    <xf numFmtId="0" fontId="87" fillId="0" borderId="0" xfId="0" applyFont="1" applyBorder="1" applyAlignment="1" applyProtection="1">
      <alignment vertical="center"/>
    </xf>
    <xf numFmtId="0" fontId="66" fillId="0" borderId="0" xfId="0" applyFont="1" applyBorder="1" applyAlignment="1" applyProtection="1">
      <alignment horizontal="left" vertical="center" indent="3"/>
    </xf>
    <xf numFmtId="38" fontId="61" fillId="0" borderId="2" xfId="0" applyNumberFormat="1" applyFont="1" applyBorder="1" applyAlignment="1" applyProtection="1">
      <alignment vertical="center"/>
      <protection locked="0"/>
    </xf>
    <xf numFmtId="0" fontId="68" fillId="0" borderId="0" xfId="0" applyFont="1" applyBorder="1" applyAlignment="1" applyProtection="1">
      <alignment horizontal="center" vertical="center"/>
    </xf>
    <xf numFmtId="0" fontId="68" fillId="0" borderId="0" xfId="0" applyFont="1" applyBorder="1" applyAlignment="1" applyProtection="1">
      <alignment horizontal="center" vertical="center" wrapText="1"/>
    </xf>
    <xf numFmtId="176" fontId="61" fillId="0" borderId="2" xfId="0" applyNumberFormat="1" applyFont="1" applyBorder="1" applyAlignment="1" applyProtection="1">
      <alignment vertical="center" wrapText="1"/>
      <protection locked="0"/>
    </xf>
    <xf numFmtId="0" fontId="59" fillId="0" borderId="0" xfId="0" applyFont="1" applyBorder="1" applyAlignment="1" applyProtection="1">
      <alignment horizontal="center" vertical="center"/>
    </xf>
    <xf numFmtId="0" fontId="89" fillId="0" borderId="0" xfId="0" applyFont="1" applyBorder="1" applyAlignment="1" applyProtection="1">
      <alignment horizontal="center" vertical="center" wrapText="1"/>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0" fontId="68" fillId="0" borderId="0" xfId="0" applyFont="1" applyBorder="1" applyAlignment="1" applyProtection="1">
      <alignment horizontal="center"/>
    </xf>
    <xf numFmtId="0" fontId="59" fillId="0" borderId="0" xfId="0" applyFont="1" applyBorder="1" applyAlignment="1" applyProtection="1"/>
    <xf numFmtId="0" fontId="68" fillId="0" borderId="0" xfId="0" applyFont="1" applyBorder="1" applyAlignment="1" applyProtection="1">
      <alignment horizontal="center" wrapText="1"/>
    </xf>
    <xf numFmtId="0" fontId="59" fillId="0" borderId="0" xfId="0" applyFont="1" applyBorder="1" applyAlignment="1" applyProtection="1">
      <alignment horizontal="right" vertical="center"/>
    </xf>
    <xf numFmtId="0" fontId="85" fillId="0" borderId="0" xfId="0" applyFont="1" applyBorder="1" applyAlignment="1" applyProtection="1">
      <alignment vertical="center"/>
    </xf>
    <xf numFmtId="0" fontId="77" fillId="0" borderId="0" xfId="0" applyFont="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9" fillId="0" borderId="0" xfId="0" applyFont="1" applyAlignment="1" applyProtection="1">
      <alignment horizontal="right" vertical="center"/>
    </xf>
    <xf numFmtId="0" fontId="66" fillId="0" borderId="17" xfId="0" applyFont="1" applyFill="1" applyBorder="1" applyAlignment="1" applyProtection="1">
      <alignment vertical="center"/>
    </xf>
    <xf numFmtId="38" fontId="61" fillId="0" borderId="2" xfId="0" applyNumberFormat="1" applyFont="1" applyBorder="1" applyAlignment="1" applyProtection="1">
      <alignment horizontal="center" vertical="center"/>
      <protection locked="0"/>
    </xf>
    <xf numFmtId="0" fontId="59" fillId="0" borderId="17" xfId="0" applyFont="1" applyBorder="1" applyAlignment="1" applyProtection="1">
      <alignment horizontal="right" vertical="center"/>
    </xf>
    <xf numFmtId="40" fontId="66" fillId="0" borderId="0" xfId="0" applyNumberFormat="1" applyFont="1" applyBorder="1" applyAlignment="1" applyProtection="1">
      <alignment horizontal="center" vertical="center"/>
    </xf>
    <xf numFmtId="0" fontId="91" fillId="0" borderId="0" xfId="0" applyFont="1" applyBorder="1" applyAlignment="1" applyProtection="1">
      <alignment vertical="center"/>
    </xf>
    <xf numFmtId="0" fontId="59" fillId="0" borderId="20" xfId="0" applyFont="1" applyFill="1" applyBorder="1" applyAlignment="1" applyProtection="1">
      <alignment vertical="center"/>
    </xf>
    <xf numFmtId="0" fontId="66" fillId="0" borderId="0" xfId="0" applyFont="1" applyBorder="1" applyAlignment="1" applyProtection="1">
      <alignment horizontal="right" vertical="center"/>
    </xf>
    <xf numFmtId="0" fontId="66" fillId="0" borderId="2" xfId="0" applyFont="1" applyBorder="1" applyAlignment="1" applyProtection="1">
      <alignment vertical="center"/>
    </xf>
    <xf numFmtId="38" fontId="61" fillId="6" borderId="2" xfId="0" applyNumberFormat="1" applyFont="1" applyFill="1" applyBorder="1" applyAlignment="1" applyProtection="1">
      <alignment vertical="center"/>
    </xf>
    <xf numFmtId="0" fontId="59" fillId="3" borderId="2" xfId="0" applyFont="1" applyFill="1" applyBorder="1" applyAlignment="1" applyProtection="1">
      <alignment vertical="center"/>
    </xf>
    <xf numFmtId="0" fontId="69" fillId="0" borderId="2" xfId="0" applyNumberFormat="1" applyFont="1" applyBorder="1" applyAlignment="1" applyProtection="1">
      <alignment horizontal="center" vertical="center"/>
      <protection locked="0"/>
    </xf>
    <xf numFmtId="38" fontId="61" fillId="0" borderId="0" xfId="0" applyNumberFormat="1" applyFont="1" applyBorder="1" applyAlignment="1" applyProtection="1">
      <alignment horizontal="center" vertical="center"/>
    </xf>
    <xf numFmtId="0" fontId="61" fillId="0" borderId="0" xfId="0" applyFont="1" applyBorder="1" applyAlignment="1" applyProtection="1">
      <alignment horizontal="left" vertical="top"/>
    </xf>
    <xf numFmtId="0" fontId="85" fillId="0" borderId="0" xfId="0" applyFont="1" applyBorder="1" applyAlignment="1" applyProtection="1">
      <alignment horizontal="left"/>
    </xf>
    <xf numFmtId="0" fontId="85" fillId="0" borderId="0" xfId="0" applyFont="1" applyBorder="1" applyAlignment="1" applyProtection="1"/>
    <xf numFmtId="0" fontId="92" fillId="0" borderId="0" xfId="0" applyFont="1" applyBorder="1" applyAlignment="1" applyProtection="1">
      <alignment horizontal="right" vertical="center"/>
    </xf>
    <xf numFmtId="0" fontId="61" fillId="0" borderId="0" xfId="0" applyFont="1" applyProtection="1"/>
    <xf numFmtId="0" fontId="59" fillId="0" borderId="0" xfId="0" applyFont="1" applyProtection="1"/>
    <xf numFmtId="0" fontId="93" fillId="0" borderId="0" xfId="2" applyFont="1" applyAlignment="1" applyProtection="1">
      <alignment horizontal="centerContinuous" vertical="center"/>
    </xf>
    <xf numFmtId="0" fontId="61" fillId="0" borderId="0" xfId="0" applyFont="1" applyAlignment="1">
      <alignment horizontal="centerContinuous" vertical="center"/>
    </xf>
    <xf numFmtId="0" fontId="59" fillId="0" borderId="0" xfId="0" applyFont="1" applyAlignment="1" applyProtection="1">
      <alignment horizontal="centerContinuous" vertical="center"/>
    </xf>
    <xf numFmtId="0" fontId="69" fillId="0" borderId="0" xfId="0" applyFont="1"/>
    <xf numFmtId="0" fontId="59" fillId="0" borderId="0" xfId="0" applyNumberFormat="1" applyFont="1" applyAlignment="1">
      <alignment horizontal="left"/>
    </xf>
    <xf numFmtId="0" fontId="61" fillId="0" borderId="0" xfId="0" applyFont="1" applyAlignment="1">
      <alignment horizontal="left"/>
    </xf>
    <xf numFmtId="174" fontId="59" fillId="0" borderId="0" xfId="0" applyNumberFormat="1" applyFont="1" applyAlignment="1">
      <alignment horizontal="left"/>
    </xf>
    <xf numFmtId="174" fontId="61" fillId="0" borderId="0" xfId="0" applyNumberFormat="1" applyFont="1" applyAlignment="1">
      <alignment horizontal="left"/>
    </xf>
    <xf numFmtId="0" fontId="59" fillId="0" borderId="0" xfId="0" applyNumberFormat="1" applyFont="1" applyBorder="1" applyAlignment="1" applyProtection="1">
      <alignment horizontal="left"/>
    </xf>
    <xf numFmtId="0" fontId="59" fillId="0" borderId="0" xfId="0" applyFont="1" applyBorder="1" applyAlignment="1" applyProtection="1">
      <alignment horizontal="right"/>
    </xf>
    <xf numFmtId="49" fontId="59" fillId="0" borderId="0" xfId="0" applyNumberFormat="1" applyFont="1" applyBorder="1" applyAlignment="1" applyProtection="1">
      <alignment horizontal="left" vertical="center"/>
    </xf>
    <xf numFmtId="49" fontId="58" fillId="0" borderId="0" xfId="0" applyNumberFormat="1" applyFont="1" applyBorder="1" applyAlignment="1" applyProtection="1">
      <alignment horizontal="left" vertical="center"/>
    </xf>
    <xf numFmtId="0" fontId="58" fillId="0" borderId="0" xfId="0" applyFont="1" applyBorder="1" applyProtection="1"/>
    <xf numFmtId="0" fontId="58" fillId="0" borderId="0" xfId="0" applyFont="1" applyBorder="1" applyAlignment="1" applyProtection="1">
      <alignment horizontal="right"/>
    </xf>
    <xf numFmtId="0" fontId="61" fillId="0" borderId="0" xfId="5" applyNumberFormat="1" applyFont="1" applyBorder="1" applyAlignment="1" applyProtection="1">
      <alignment horizontal="right"/>
    </xf>
    <xf numFmtId="49" fontId="66" fillId="0" borderId="0" xfId="0" applyNumberFormat="1" applyFont="1" applyBorder="1" applyAlignment="1" applyProtection="1">
      <alignment horizontal="left" vertical="center"/>
    </xf>
    <xf numFmtId="0" fontId="66" fillId="0" borderId="0" xfId="0" applyFont="1" applyFill="1" applyBorder="1" applyProtection="1"/>
    <xf numFmtId="40" fontId="66" fillId="0" borderId="0" xfId="0" applyNumberFormat="1" applyFont="1" applyBorder="1" applyAlignment="1" applyProtection="1">
      <alignment horizontal="right"/>
    </xf>
    <xf numFmtId="37" fontId="66" fillId="0" borderId="0" xfId="0" applyNumberFormat="1" applyFont="1" applyBorder="1" applyProtection="1"/>
    <xf numFmtId="175" fontId="66" fillId="0" borderId="0" xfId="0" applyNumberFormat="1" applyFont="1" applyFill="1" applyBorder="1" applyAlignment="1" applyProtection="1">
      <alignment horizontal="right"/>
    </xf>
    <xf numFmtId="173" fontId="66" fillId="0" borderId="0" xfId="0" applyNumberFormat="1" applyFont="1" applyBorder="1" applyProtection="1"/>
    <xf numFmtId="0" fontId="66" fillId="0" borderId="0" xfId="5" applyNumberFormat="1" applyFont="1" applyBorder="1" applyAlignment="1" applyProtection="1">
      <alignment horizontal="right"/>
    </xf>
    <xf numFmtId="0" fontId="66" fillId="0" borderId="0" xfId="0" applyFont="1" applyProtection="1"/>
    <xf numFmtId="0" fontId="66" fillId="0" borderId="0" xfId="0" applyFont="1" applyBorder="1" applyAlignment="1" applyProtection="1">
      <alignment vertical="center" wrapText="1"/>
    </xf>
    <xf numFmtId="0" fontId="66" fillId="0" borderId="0" xfId="0" applyFont="1" applyBorder="1" applyAlignment="1" applyProtection="1">
      <alignment horizontal="right"/>
    </xf>
    <xf numFmtId="2" fontId="66" fillId="0" borderId="0" xfId="0" applyNumberFormat="1" applyFont="1" applyBorder="1" applyAlignment="1" applyProtection="1">
      <alignment horizontal="right"/>
    </xf>
    <xf numFmtId="0" fontId="94" fillId="0" borderId="0" xfId="0" applyFont="1" applyAlignment="1" applyProtection="1">
      <alignment horizontal="left"/>
    </xf>
    <xf numFmtId="0" fontId="66" fillId="0" borderId="0" xfId="0" applyFont="1" applyAlignment="1">
      <alignment wrapText="1"/>
    </xf>
    <xf numFmtId="0" fontId="59" fillId="0" borderId="0" xfId="0" applyFont="1" applyFill="1" applyBorder="1" applyProtection="1"/>
    <xf numFmtId="0" fontId="59" fillId="0" borderId="0" xfId="0" applyFont="1" applyBorder="1" applyAlignment="1" applyProtection="1">
      <alignment horizontal="center"/>
    </xf>
    <xf numFmtId="175" fontId="66" fillId="0" borderId="0" xfId="0" quotePrefix="1" applyNumberFormat="1" applyFont="1" applyBorder="1" applyAlignment="1" applyProtection="1">
      <alignment horizontal="right"/>
    </xf>
    <xf numFmtId="0" fontId="68" fillId="0" borderId="0" xfId="0" applyFont="1" applyProtection="1"/>
    <xf numFmtId="0" fontId="66" fillId="0" borderId="0" xfId="5" quotePrefix="1" applyNumberFormat="1" applyFont="1" applyBorder="1" applyAlignment="1" applyProtection="1">
      <alignment horizontal="right"/>
    </xf>
    <xf numFmtId="0" fontId="66" fillId="0" borderId="0" xfId="0" applyFont="1" applyBorder="1" applyAlignment="1" applyProtection="1">
      <alignment vertical="top" wrapText="1"/>
    </xf>
    <xf numFmtId="37" fontId="66" fillId="0" borderId="0" xfId="0" applyNumberFormat="1" applyFont="1" applyBorder="1" applyAlignment="1" applyProtection="1">
      <alignment horizontal="right"/>
    </xf>
    <xf numFmtId="175" fontId="66" fillId="8" borderId="0" xfId="0" quotePrefix="1" applyNumberFormat="1" applyFont="1" applyFill="1" applyBorder="1" applyAlignment="1" applyProtection="1">
      <alignment horizontal="right"/>
    </xf>
    <xf numFmtId="38" fontId="66" fillId="0" borderId="0" xfId="0" applyNumberFormat="1" applyFont="1" applyBorder="1" applyProtection="1"/>
    <xf numFmtId="40" fontId="66" fillId="0" borderId="0" xfId="0" applyNumberFormat="1" applyFont="1" applyFill="1" applyBorder="1" applyAlignment="1" applyProtection="1">
      <alignment horizontal="right"/>
    </xf>
    <xf numFmtId="1" fontId="66" fillId="0" borderId="0" xfId="0" applyNumberFormat="1" applyFont="1" applyBorder="1" applyProtection="1"/>
    <xf numFmtId="39" fontId="66" fillId="0" borderId="0" xfId="0" applyNumberFormat="1" applyFont="1" applyBorder="1" applyProtection="1"/>
    <xf numFmtId="1" fontId="61" fillId="0" borderId="0" xfId="5" applyNumberFormat="1" applyFont="1" applyBorder="1" applyAlignment="1" applyProtection="1">
      <alignment horizontal="right"/>
    </xf>
    <xf numFmtId="40" fontId="66" fillId="0" borderId="0" xfId="0" applyNumberFormat="1" applyFont="1" applyBorder="1" applyAlignment="1" applyProtection="1">
      <alignment horizontal="right" vertical="center"/>
    </xf>
    <xf numFmtId="3" fontId="66" fillId="0" borderId="0" xfId="0" applyNumberFormat="1" applyFont="1" applyBorder="1" applyAlignment="1" applyProtection="1">
      <alignment horizontal="right" vertical="center"/>
    </xf>
    <xf numFmtId="173" fontId="66" fillId="0" borderId="0" xfId="0" applyNumberFormat="1" applyFont="1" applyBorder="1" applyAlignment="1" applyProtection="1">
      <alignment horizontal="right"/>
    </xf>
    <xf numFmtId="2" fontId="66" fillId="0" borderId="0" xfId="0" applyNumberFormat="1" applyFont="1" applyBorder="1" applyAlignment="1" applyProtection="1">
      <alignment horizontal="right" vertical="center"/>
    </xf>
    <xf numFmtId="40" fontId="66" fillId="0" borderId="0" xfId="0" applyNumberFormat="1" applyFont="1" applyFill="1" applyBorder="1" applyAlignment="1" applyProtection="1">
      <alignment horizontal="right" vertical="center"/>
    </xf>
    <xf numFmtId="49" fontId="66" fillId="0" borderId="0" xfId="0" applyNumberFormat="1" applyFont="1" applyBorder="1" applyProtection="1"/>
    <xf numFmtId="0" fontId="66" fillId="0" borderId="0" xfId="0" applyFont="1" applyBorder="1" applyAlignment="1" applyProtection="1">
      <alignment horizontal="center"/>
    </xf>
    <xf numFmtId="172" fontId="66" fillId="0" borderId="0" xfId="0" applyNumberFormat="1" applyFont="1" applyBorder="1" applyAlignment="1" applyProtection="1">
      <alignment horizontal="right"/>
    </xf>
    <xf numFmtId="0" fontId="68" fillId="0" borderId="0" xfId="0" applyFont="1" applyFill="1" applyBorder="1" applyAlignment="1" applyProtection="1">
      <alignment horizontal="center"/>
    </xf>
    <xf numFmtId="0" fontId="59" fillId="0" borderId="0" xfId="0" applyFont="1" applyFill="1" applyBorder="1" applyAlignment="1" applyProtection="1">
      <alignment horizontal="right"/>
    </xf>
    <xf numFmtId="0" fontId="58" fillId="0" borderId="0" xfId="0" applyFont="1" applyFill="1" applyBorder="1" applyAlignment="1" applyProtection="1">
      <alignment horizontal="left"/>
    </xf>
    <xf numFmtId="0" fontId="69" fillId="0" borderId="0" xfId="0" applyFont="1" applyFill="1" applyBorder="1" applyAlignment="1" applyProtection="1">
      <alignment horizontal="right"/>
    </xf>
    <xf numFmtId="2" fontId="69" fillId="0" borderId="0" xfId="0" applyNumberFormat="1" applyFont="1" applyFill="1" applyBorder="1" applyAlignment="1" applyProtection="1">
      <alignment horizontal="right"/>
    </xf>
    <xf numFmtId="0" fontId="92" fillId="0" borderId="0" xfId="0" applyFont="1" applyProtection="1"/>
    <xf numFmtId="0" fontId="59" fillId="0" borderId="0" xfId="0" applyFont="1" applyFill="1" applyBorder="1" applyAlignment="1" applyProtection="1">
      <alignment horizontal="center"/>
    </xf>
    <xf numFmtId="0" fontId="70" fillId="0" borderId="0" xfId="5" applyNumberFormat="1" applyFont="1" applyFill="1" applyBorder="1" applyAlignment="1" applyProtection="1">
      <alignment horizontal="right"/>
    </xf>
    <xf numFmtId="49" fontId="92" fillId="0" borderId="0" xfId="0" applyNumberFormat="1" applyFont="1" applyAlignment="1" applyProtection="1">
      <alignment horizontal="right" vertical="top"/>
    </xf>
    <xf numFmtId="0" fontId="66" fillId="0" borderId="0" xfId="0" applyFont="1" applyBorder="1" applyAlignment="1" applyProtection="1">
      <alignment horizontal="left"/>
    </xf>
    <xf numFmtId="49" fontId="59" fillId="0" borderId="0" xfId="0" applyNumberFormat="1" applyFont="1" applyBorder="1" applyAlignment="1" applyProtection="1">
      <alignment horizontal="left" vertical="top"/>
    </xf>
    <xf numFmtId="0" fontId="66" fillId="0" borderId="0" xfId="0" applyFont="1" applyAlignment="1" applyProtection="1">
      <alignment horizontal="left"/>
    </xf>
    <xf numFmtId="49" fontId="59" fillId="0" borderId="0" xfId="0" applyNumberFormat="1" applyFont="1" applyAlignment="1" applyProtection="1">
      <alignment horizontal="left" vertical="center"/>
    </xf>
    <xf numFmtId="49" fontId="59" fillId="0" borderId="0" xfId="0" applyNumberFormat="1" applyFont="1" applyAlignment="1" applyProtection="1">
      <alignment horizontal="left" vertical="top"/>
    </xf>
    <xf numFmtId="0" fontId="59" fillId="0" borderId="0" xfId="0" applyFont="1" applyAlignment="1" applyProtection="1">
      <alignment horizontal="right"/>
    </xf>
    <xf numFmtId="0" fontId="66" fillId="0" borderId="0" xfId="0" applyFont="1" applyAlignment="1" applyProtection="1">
      <alignment horizontal="right"/>
    </xf>
    <xf numFmtId="49" fontId="90" fillId="0" borderId="0" xfId="0" applyNumberFormat="1" applyFont="1" applyAlignment="1" applyProtection="1">
      <alignment horizontal="right" vertical="top"/>
    </xf>
    <xf numFmtId="0" fontId="66" fillId="0" borderId="3" xfId="0"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1" fillId="0" borderId="3" xfId="0" applyNumberFormat="1" applyFont="1" applyBorder="1" applyAlignment="1" applyProtection="1">
      <alignment horizontal="center" vertical="center"/>
    </xf>
    <xf numFmtId="49" fontId="69" fillId="0" borderId="12" xfId="0" applyNumberFormat="1" applyFont="1" applyBorder="1" applyAlignment="1" applyProtection="1">
      <alignment horizontal="centerContinuous" vertical="center"/>
    </xf>
    <xf numFmtId="49" fontId="61" fillId="0" borderId="10" xfId="0" applyNumberFormat="1" applyFont="1" applyBorder="1" applyAlignment="1" applyProtection="1">
      <alignment horizontal="centerContinuous" vertical="center"/>
    </xf>
    <xf numFmtId="0" fontId="61" fillId="0" borderId="0" xfId="0" applyFont="1" applyAlignment="1" applyProtection="1">
      <alignment vertical="center"/>
    </xf>
    <xf numFmtId="1" fontId="68" fillId="0" borderId="4" xfId="0" applyNumberFormat="1" applyFont="1" applyBorder="1" applyAlignment="1" applyProtection="1">
      <alignment horizontal="center" vertical="center" wrapText="1"/>
    </xf>
    <xf numFmtId="3" fontId="68" fillId="0" borderId="4" xfId="0" applyNumberFormat="1" applyFont="1" applyBorder="1" applyAlignment="1" applyProtection="1">
      <alignment horizontal="center" vertical="center" wrapText="1"/>
    </xf>
    <xf numFmtId="0" fontId="68" fillId="0" borderId="4" xfId="0" applyFont="1" applyBorder="1" applyAlignment="1" applyProtection="1">
      <alignment horizontal="center" vertical="center" wrapText="1"/>
    </xf>
    <xf numFmtId="43" fontId="68" fillId="0" borderId="2" xfId="1" applyFont="1" applyBorder="1" applyAlignment="1" applyProtection="1">
      <alignment horizontal="center" vertical="center" wrapText="1"/>
    </xf>
    <xf numFmtId="0" fontId="68" fillId="0" borderId="2" xfId="0" applyFont="1" applyBorder="1" applyAlignment="1" applyProtection="1">
      <alignment horizontal="center" vertical="center" wrapTex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center" vertical="center"/>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3" borderId="26" xfId="0" applyNumberFormat="1" applyFont="1" applyFill="1" applyBorder="1" applyAlignment="1" applyProtection="1">
      <alignment horizontal="right"/>
    </xf>
    <xf numFmtId="38" fontId="59" fillId="3" borderId="18" xfId="0" applyNumberFormat="1" applyFont="1" applyFill="1" applyBorder="1" applyAlignment="1" applyProtection="1">
      <alignment horizontal="right"/>
    </xf>
    <xf numFmtId="0" fontId="66" fillId="0" borderId="2" xfId="0" applyFont="1" applyBorder="1" applyAlignment="1" applyProtection="1">
      <alignment horizontal="center" vertical="center"/>
    </xf>
    <xf numFmtId="38" fontId="59" fillId="0" borderId="0" xfId="0" applyNumberFormat="1" applyFont="1" applyBorder="1" applyAlignment="1" applyProtection="1">
      <alignment horizontal="right"/>
      <protection locked="0"/>
    </xf>
    <xf numFmtId="0" fontId="66" fillId="0" borderId="14" xfId="0" applyFont="1" applyBorder="1" applyAlignment="1" applyProtection="1">
      <alignment horizontal="left" vertical="center" indent="1"/>
    </xf>
    <xf numFmtId="38" fontId="59" fillId="6" borderId="3" xfId="0" applyNumberFormat="1" applyFont="1" applyFill="1" applyBorder="1" applyAlignment="1" applyProtection="1">
      <alignment horizontal="right"/>
    </xf>
    <xf numFmtId="38" fontId="59" fillId="6" borderId="26" xfId="0" applyNumberFormat="1" applyFont="1" applyFill="1" applyBorder="1" applyAlignment="1" applyProtection="1">
      <alignment horizontal="right"/>
    </xf>
    <xf numFmtId="38" fontId="59" fillId="0" borderId="4"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6" borderId="4" xfId="0" applyNumberFormat="1" applyFont="1" applyFill="1" applyBorder="1" applyAlignment="1" applyProtection="1">
      <alignment horizontal="right"/>
    </xf>
    <xf numFmtId="38" fontId="59" fillId="0" borderId="4" xfId="0" applyNumberFormat="1" applyFont="1" applyBorder="1" applyAlignment="1" applyProtection="1">
      <alignment horizontal="right"/>
      <protection locked="0"/>
    </xf>
    <xf numFmtId="164" fontId="66" fillId="0" borderId="2" xfId="0" applyNumberFormat="1" applyFont="1" applyFill="1" applyBorder="1" applyAlignment="1" applyProtection="1">
      <alignment horizontal="left" vertical="center"/>
    </xf>
    <xf numFmtId="0" fontId="66" fillId="0" borderId="2" xfId="0" applyFont="1" applyFill="1" applyBorder="1" applyAlignment="1" applyProtection="1">
      <alignment horizontal="center" vertical="center"/>
    </xf>
    <xf numFmtId="38" fontId="59" fillId="6" borderId="18" xfId="0" applyNumberFormat="1" applyFont="1" applyFill="1" applyBorder="1" applyAlignment="1" applyProtection="1">
      <alignment horizontal="right"/>
    </xf>
    <xf numFmtId="0" fontId="61" fillId="0" borderId="0" xfId="0" applyFont="1" applyFill="1" applyAlignment="1" applyProtection="1">
      <alignment vertical="center"/>
    </xf>
    <xf numFmtId="38" fontId="59" fillId="6" borderId="0" xfId="0" applyNumberFormat="1" applyFont="1" applyFill="1" applyBorder="1" applyAlignment="1" applyProtection="1">
      <alignment horizontal="right"/>
    </xf>
    <xf numFmtId="38" fontId="59" fillId="0" borderId="2" xfId="0" applyNumberFormat="1" applyFont="1" applyFill="1" applyBorder="1" applyAlignment="1" applyProtection="1">
      <alignment horizontal="right"/>
    </xf>
    <xf numFmtId="0" fontId="66" fillId="0" borderId="11" xfId="0" applyFont="1" applyBorder="1" applyAlignment="1" applyProtection="1">
      <alignment horizontal="left" vertical="center" indent="1"/>
    </xf>
    <xf numFmtId="0" fontId="66" fillId="0" borderId="4" xfId="0" applyFont="1" applyBorder="1" applyAlignment="1" applyProtection="1">
      <alignment horizontal="center" vertical="center"/>
    </xf>
    <xf numFmtId="0" fontId="66" fillId="0" borderId="20" xfId="0" applyFont="1" applyBorder="1" applyAlignment="1" applyProtection="1">
      <alignment horizontal="left" vertical="center" indent="1"/>
    </xf>
    <xf numFmtId="0" fontId="66" fillId="0" borderId="14" xfId="0" applyFont="1" applyBorder="1" applyAlignment="1" applyProtection="1">
      <alignment horizontal="left" vertical="center" wrapText="1" indent="1"/>
    </xf>
    <xf numFmtId="38" fontId="59" fillId="0" borderId="4" xfId="0" applyNumberFormat="1" applyFont="1" applyBorder="1" applyAlignment="1" applyProtection="1">
      <alignment horizontal="right"/>
    </xf>
    <xf numFmtId="0" fontId="66" fillId="0" borderId="2" xfId="0" applyFont="1" applyFill="1" applyBorder="1" applyAlignment="1" applyProtection="1">
      <alignment horizontal="left" vertical="center" indent="1"/>
    </xf>
    <xf numFmtId="38" fontId="61" fillId="6" borderId="26" xfId="0" applyNumberFormat="1" applyFont="1" applyFill="1" applyBorder="1" applyAlignment="1">
      <alignment horizontal="right"/>
    </xf>
    <xf numFmtId="0" fontId="66" fillId="0" borderId="16" xfId="0" applyFont="1" applyFill="1" applyBorder="1" applyAlignment="1" applyProtection="1">
      <alignment horizontal="left" vertical="center" indent="1"/>
    </xf>
    <xf numFmtId="0" fontId="66" fillId="0" borderId="10" xfId="0" applyFont="1" applyFill="1" applyBorder="1" applyAlignment="1" applyProtection="1">
      <alignment horizontal="center" vertical="center"/>
    </xf>
    <xf numFmtId="38" fontId="59" fillId="6" borderId="3" xfId="0" applyNumberFormat="1" applyFont="1" applyFill="1" applyBorder="1" applyAlignment="1">
      <alignment horizontal="right"/>
    </xf>
    <xf numFmtId="0" fontId="66" fillId="0" borderId="0" xfId="0" applyFont="1" applyAlignment="1" applyProtection="1">
      <alignment vertical="center"/>
    </xf>
    <xf numFmtId="0" fontId="66" fillId="0" borderId="0" xfId="0" applyFont="1" applyAlignment="1" applyProtection="1">
      <alignment horizontal="center" vertical="center"/>
    </xf>
    <xf numFmtId="38" fontId="61" fillId="0" borderId="0" xfId="0" applyNumberFormat="1" applyFont="1" applyAlignment="1" applyProtection="1">
      <alignment vertical="center"/>
    </xf>
    <xf numFmtId="49" fontId="68" fillId="0" borderId="3" xfId="0" applyNumberFormat="1" applyFont="1" applyBorder="1" applyAlignment="1" applyProtection="1">
      <alignment horizontal="center" vertical="center"/>
    </xf>
    <xf numFmtId="0" fontId="61" fillId="0" borderId="0" xfId="0" applyFont="1" applyAlignment="1" applyProtection="1">
      <alignment horizontal="center" vertical="center"/>
    </xf>
    <xf numFmtId="0" fontId="59" fillId="0" borderId="0" xfId="0" applyFont="1" applyFill="1" applyAlignment="1" applyProtection="1">
      <alignment horizontal="center" vertical="center"/>
    </xf>
    <xf numFmtId="0" fontId="61" fillId="0" borderId="0" xfId="0" applyFont="1" applyFill="1" applyAlignment="1" applyProtection="1">
      <alignment horizontal="center" vertical="center"/>
    </xf>
    <xf numFmtId="38" fontId="59" fillId="3" borderId="21" xfId="0" applyNumberFormat="1" applyFont="1" applyFill="1" applyBorder="1" applyAlignment="1" applyProtection="1">
      <alignment horizontal="right"/>
    </xf>
    <xf numFmtId="38" fontId="59" fillId="3" borderId="0" xfId="0" applyNumberFormat="1" applyFont="1" applyFill="1" applyBorder="1" applyAlignment="1" applyProtection="1">
      <alignment horizontal="right"/>
    </xf>
    <xf numFmtId="38" fontId="59" fillId="3" borderId="3" xfId="0" applyNumberFormat="1" applyFont="1" applyFill="1" applyBorder="1" applyAlignment="1" applyProtection="1">
      <alignment horizontal="right"/>
    </xf>
    <xf numFmtId="38" fontId="59" fillId="3" borderId="13" xfId="0" applyNumberFormat="1" applyFont="1" applyFill="1" applyBorder="1" applyAlignment="1" applyProtection="1">
      <alignment horizontal="right"/>
    </xf>
    <xf numFmtId="38" fontId="59" fillId="3" borderId="2" xfId="0" applyNumberFormat="1" applyFont="1" applyFill="1" applyBorder="1" applyAlignment="1" applyProtection="1">
      <alignment horizontal="right"/>
    </xf>
    <xf numFmtId="3" fontId="61" fillId="0" borderId="0" xfId="0" applyNumberFormat="1" applyFont="1" applyAlignment="1" applyProtection="1">
      <alignment vertical="center"/>
    </xf>
    <xf numFmtId="0" fontId="77" fillId="0" borderId="20" xfId="0" applyFont="1" applyBorder="1" applyAlignment="1" applyProtection="1">
      <alignment horizontal="left" indent="2"/>
    </xf>
    <xf numFmtId="0" fontId="66" fillId="0" borderId="11" xfId="0" applyFont="1" applyBorder="1" applyAlignment="1" applyProtection="1">
      <alignment horizontal="center" vertical="center"/>
    </xf>
    <xf numFmtId="38" fontId="59" fillId="0" borderId="19" xfId="0" applyNumberFormat="1" applyFont="1" applyBorder="1" applyAlignment="1" applyProtection="1">
      <alignment horizontal="right"/>
      <protection locked="0"/>
    </xf>
    <xf numFmtId="38" fontId="59" fillId="0" borderId="11" xfId="0" applyNumberFormat="1" applyFont="1" applyBorder="1" applyAlignment="1" applyProtection="1">
      <alignment horizontal="right"/>
      <protection locked="0"/>
    </xf>
    <xf numFmtId="0" fontId="58" fillId="0" borderId="0" xfId="0" applyFont="1" applyAlignment="1" applyProtection="1">
      <alignment vertical="center"/>
    </xf>
    <xf numFmtId="0" fontId="69" fillId="0" borderId="0" xfId="0" applyFont="1" applyAlignment="1" applyProtection="1">
      <alignment vertical="center"/>
    </xf>
    <xf numFmtId="38" fontId="59" fillId="3" borderId="11" xfId="0" applyNumberFormat="1" applyFont="1" applyFill="1" applyBorder="1" applyAlignment="1" applyProtection="1">
      <alignment horizontal="right"/>
    </xf>
    <xf numFmtId="38" fontId="59" fillId="3" borderId="4" xfId="0" applyNumberFormat="1" applyFont="1" applyFill="1" applyBorder="1" applyAlignment="1" applyProtection="1">
      <alignment horizontal="right"/>
    </xf>
    <xf numFmtId="38" fontId="59" fillId="3" borderId="19" xfId="0" applyNumberFormat="1" applyFont="1" applyFill="1" applyBorder="1" applyAlignment="1" applyProtection="1">
      <alignment horizontal="right"/>
    </xf>
    <xf numFmtId="38" fontId="59" fillId="3" borderId="14" xfId="0" applyNumberFormat="1" applyFont="1" applyFill="1" applyBorder="1" applyAlignment="1" applyProtection="1">
      <alignment horizontal="right"/>
    </xf>
    <xf numFmtId="0" fontId="59" fillId="0" borderId="0" xfId="0" applyFont="1" applyFill="1" applyAlignment="1" applyProtection="1">
      <alignment vertical="center"/>
    </xf>
    <xf numFmtId="0" fontId="66" fillId="0" borderId="4" xfId="0" applyFont="1" applyFill="1" applyBorder="1" applyAlignment="1" applyProtection="1">
      <alignment horizontal="center" vertical="center"/>
    </xf>
    <xf numFmtId="38" fontId="59" fillId="6" borderId="2" xfId="0" applyNumberFormat="1" applyFont="1" applyFill="1" applyBorder="1" applyAlignment="1" applyProtection="1">
      <alignment horizontal="right"/>
    </xf>
    <xf numFmtId="0" fontId="66" fillId="0" borderId="2" xfId="0" applyFont="1" applyFill="1" applyBorder="1" applyAlignment="1" applyProtection="1">
      <alignment horizontal="center" vertical="top"/>
    </xf>
    <xf numFmtId="38" fontId="59" fillId="6" borderId="28" xfId="0" applyNumberFormat="1" applyFont="1" applyFill="1" applyBorder="1" applyAlignment="1" applyProtection="1">
      <alignment horizontal="right"/>
    </xf>
    <xf numFmtId="0" fontId="59" fillId="0" borderId="0" xfId="0" applyFont="1" applyFill="1" applyBorder="1" applyAlignment="1" applyProtection="1">
      <alignment vertical="center"/>
    </xf>
    <xf numFmtId="38" fontId="59" fillId="0" borderId="33" xfId="0" applyNumberFormat="1" applyFont="1" applyFill="1" applyBorder="1" applyAlignment="1" applyProtection="1">
      <alignment horizontal="right"/>
      <protection locked="0"/>
    </xf>
    <xf numFmtId="38" fontId="59" fillId="0" borderId="0" xfId="0" applyNumberFormat="1" applyFont="1" applyAlignment="1" applyProtection="1"/>
    <xf numFmtId="0" fontId="66" fillId="0" borderId="11" xfId="0" applyFont="1" applyFill="1" applyBorder="1" applyAlignment="1" applyProtection="1">
      <alignment horizontal="center" vertical="center"/>
    </xf>
    <xf numFmtId="0" fontId="66" fillId="0" borderId="49" xfId="0" applyFont="1" applyBorder="1" applyAlignment="1" applyProtection="1">
      <alignment horizontal="left" vertical="center" indent="4"/>
    </xf>
    <xf numFmtId="0" fontId="66" fillId="0" borderId="31" xfId="0" applyFont="1" applyBorder="1" applyAlignment="1" applyProtection="1">
      <alignment horizontal="center" vertical="center"/>
    </xf>
    <xf numFmtId="40" fontId="59" fillId="7" borderId="33" xfId="0" applyNumberFormat="1" applyFont="1" applyFill="1" applyBorder="1" applyAlignment="1" applyProtection="1">
      <alignment horizontal="right" vertical="center"/>
    </xf>
    <xf numFmtId="0" fontId="66" fillId="0" borderId="13" xfId="0" applyFont="1" applyBorder="1" applyAlignment="1" applyProtection="1">
      <alignment horizontal="left" vertical="center" indent="4"/>
    </xf>
    <xf numFmtId="9" fontId="59" fillId="7" borderId="33" xfId="0" applyNumberFormat="1" applyFont="1" applyFill="1" applyBorder="1" applyAlignment="1" applyProtection="1">
      <alignment horizontal="right" vertical="center"/>
    </xf>
    <xf numFmtId="1" fontId="58" fillId="0" borderId="4" xfId="0" applyNumberFormat="1" applyFont="1" applyBorder="1" applyAlignment="1" applyProtection="1">
      <alignment horizontal="center" vertical="center" wrapText="1"/>
    </xf>
    <xf numFmtId="3" fontId="58" fillId="0" borderId="4" xfId="0" applyNumberFormat="1" applyFont="1" applyBorder="1" applyAlignment="1" applyProtection="1">
      <alignment horizontal="center" vertical="center" wrapText="1"/>
    </xf>
    <xf numFmtId="3" fontId="59" fillId="3" borderId="4" xfId="0" applyNumberFormat="1" applyFont="1" applyFill="1" applyBorder="1" applyAlignment="1" applyProtection="1">
      <alignment horizontal="center"/>
    </xf>
    <xf numFmtId="3" fontId="61" fillId="3" borderId="11" xfId="0" applyNumberFormat="1" applyFont="1" applyFill="1" applyBorder="1" applyAlignment="1" applyProtection="1">
      <alignment horizontal="center"/>
    </xf>
    <xf numFmtId="38" fontId="61" fillId="3" borderId="4" xfId="0" applyNumberFormat="1" applyFont="1" applyFill="1" applyBorder="1" applyAlignment="1" applyProtection="1">
      <alignment horizontal="center"/>
    </xf>
    <xf numFmtId="3" fontId="61" fillId="3" borderId="4" xfId="0" applyNumberFormat="1" applyFont="1" applyFill="1" applyBorder="1" applyAlignment="1" applyProtection="1">
      <alignment horizontal="center"/>
    </xf>
    <xf numFmtId="0" fontId="66" fillId="0" borderId="14" xfId="0" applyFont="1" applyBorder="1" applyAlignment="1" applyProtection="1">
      <alignment horizontal="center"/>
    </xf>
    <xf numFmtId="0" fontId="66" fillId="0" borderId="2" xfId="0" applyFont="1" applyBorder="1" applyAlignment="1" applyProtection="1">
      <alignment horizontal="center"/>
    </xf>
    <xf numFmtId="0" fontId="66" fillId="0" borderId="2" xfId="0" applyFont="1" applyBorder="1" applyAlignment="1" applyProtection="1">
      <alignment horizontal="center" vertical="center" wrapText="1"/>
    </xf>
    <xf numFmtId="38" fontId="61" fillId="0" borderId="0" xfId="0" applyNumberFormat="1" applyFont="1" applyProtection="1"/>
    <xf numFmtId="38" fontId="59" fillId="3" borderId="17" xfId="0" applyNumberFormat="1" applyFont="1" applyFill="1" applyBorder="1" applyAlignment="1" applyProtection="1">
      <alignment horizontal="right"/>
    </xf>
    <xf numFmtId="37" fontId="59" fillId="3" borderId="17" xfId="0" applyNumberFormat="1" applyFont="1" applyFill="1" applyBorder="1" applyAlignment="1" applyProtection="1">
      <alignment horizontal="right"/>
    </xf>
    <xf numFmtId="37" fontId="59" fillId="3" borderId="26" xfId="0" applyNumberFormat="1" applyFont="1" applyFill="1" applyBorder="1" applyAlignment="1" applyProtection="1">
      <alignment horizontal="right"/>
    </xf>
    <xf numFmtId="0" fontId="66" fillId="0" borderId="26" xfId="0" applyFont="1" applyFill="1" applyBorder="1" applyAlignment="1" applyProtection="1">
      <alignment horizontal="center" vertical="center"/>
    </xf>
    <xf numFmtId="0" fontId="66" fillId="0" borderId="2" xfId="0" applyFont="1" applyBorder="1" applyAlignment="1" applyProtection="1">
      <alignment horizontal="center" vertical="top"/>
    </xf>
    <xf numFmtId="0" fontId="66" fillId="0" borderId="26" xfId="0" applyFont="1" applyFill="1" applyBorder="1" applyAlignment="1" applyProtection="1">
      <alignment horizontal="center" vertical="top"/>
    </xf>
    <xf numFmtId="0" fontId="66" fillId="0" borderId="18" xfId="0" applyFont="1" applyFill="1" applyBorder="1" applyAlignment="1" applyProtection="1">
      <alignment horizontal="center" vertical="center"/>
    </xf>
    <xf numFmtId="38" fontId="59" fillId="0" borderId="19" xfId="0" applyNumberFormat="1" applyFont="1" applyFill="1" applyBorder="1" applyAlignment="1" applyProtection="1">
      <alignment horizontal="right"/>
      <protection locked="0"/>
    </xf>
    <xf numFmtId="38" fontId="59" fillId="3" borderId="0" xfId="0" applyNumberFormat="1" applyFont="1" applyFill="1" applyAlignment="1" applyProtection="1">
      <alignment horizontal="right"/>
    </xf>
    <xf numFmtId="1" fontId="66" fillId="0" borderId="2" xfId="0" applyNumberFormat="1" applyFont="1" applyBorder="1" applyAlignment="1" applyProtection="1">
      <alignment horizontal="center" vertical="center"/>
    </xf>
    <xf numFmtId="0" fontId="66" fillId="0" borderId="21" xfId="0" applyFont="1" applyBorder="1" applyAlignment="1" applyProtection="1">
      <alignment horizontal="left" vertical="top" wrapText="1" indent="1"/>
    </xf>
    <xf numFmtId="1" fontId="66" fillId="0" borderId="2" xfId="0" applyNumberFormat="1" applyFont="1" applyBorder="1" applyAlignment="1" applyProtection="1">
      <alignment horizontal="center" vertical="top"/>
    </xf>
    <xf numFmtId="38" fontId="59" fillId="3" borderId="38" xfId="0" applyNumberFormat="1" applyFont="1" applyFill="1" applyBorder="1" applyAlignment="1" applyProtection="1">
      <alignment horizontal="right"/>
    </xf>
    <xf numFmtId="38" fontId="59" fillId="3" borderId="28" xfId="0" applyNumberFormat="1" applyFont="1" applyFill="1" applyBorder="1" applyAlignment="1" applyProtection="1">
      <alignment horizontal="right"/>
    </xf>
    <xf numFmtId="1" fontId="66" fillId="0" borderId="4" xfId="0" applyNumberFormat="1" applyFont="1" applyBorder="1" applyAlignment="1" applyProtection="1">
      <alignment horizontal="center" vertical="center"/>
    </xf>
    <xf numFmtId="1" fontId="66" fillId="0" borderId="124" xfId="0" applyNumberFormat="1" applyFont="1" applyBorder="1" applyAlignment="1" applyProtection="1">
      <alignment horizontal="center" vertical="center"/>
    </xf>
    <xf numFmtId="38" fontId="59" fillId="3" borderId="124" xfId="0" applyNumberFormat="1" applyFont="1" applyFill="1" applyBorder="1" applyAlignment="1" applyProtection="1">
      <alignment horizontal="right"/>
    </xf>
    <xf numFmtId="38" fontId="59" fillId="3" borderId="29" xfId="0" applyNumberFormat="1" applyFont="1" applyFill="1" applyBorder="1" applyAlignment="1" applyProtection="1">
      <alignment horizontal="right"/>
    </xf>
    <xf numFmtId="1" fontId="66" fillId="0" borderId="32" xfId="0" applyNumberFormat="1" applyFont="1" applyBorder="1" applyAlignment="1" applyProtection="1">
      <alignment horizontal="center" vertical="center"/>
    </xf>
    <xf numFmtId="1" fontId="66" fillId="0" borderId="33" xfId="0" applyNumberFormat="1" applyFont="1" applyBorder="1" applyAlignment="1" applyProtection="1">
      <alignment horizontal="center" vertical="center"/>
    </xf>
    <xf numFmtId="38" fontId="59" fillId="0" borderId="33"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vertical="center"/>
      <protection locked="0"/>
    </xf>
    <xf numFmtId="0" fontId="66" fillId="0" borderId="2" xfId="0" applyFont="1" applyBorder="1" applyAlignment="1" applyProtection="1">
      <alignment horizontal="center" vertical="top" wrapText="1"/>
    </xf>
    <xf numFmtId="38" fontId="59" fillId="3" borderId="39" xfId="0" applyNumberFormat="1" applyFont="1" applyFill="1" applyBorder="1" applyAlignment="1" applyProtection="1">
      <alignment horizontal="right"/>
    </xf>
    <xf numFmtId="38" fontId="59" fillId="0" borderId="2" xfId="0" applyNumberFormat="1" applyFont="1" applyFill="1" applyBorder="1" applyAlignment="1" applyProtection="1">
      <alignment horizontal="right" vertical="center"/>
      <protection locked="0"/>
    </xf>
    <xf numFmtId="38" fontId="59" fillId="6" borderId="2" xfId="0" applyNumberFormat="1" applyFont="1" applyFill="1" applyBorder="1" applyAlignment="1" applyProtection="1">
      <alignment horizontal="right" vertical="center"/>
    </xf>
    <xf numFmtId="0" fontId="66" fillId="0" borderId="26" xfId="0" applyFont="1" applyBorder="1" applyAlignment="1" applyProtection="1">
      <alignment horizontal="center" vertical="center"/>
    </xf>
    <xf numFmtId="0" fontId="66" fillId="0" borderId="127" xfId="0" applyFont="1" applyFill="1" applyBorder="1" applyAlignment="1" applyProtection="1">
      <alignment horizontal="center" vertical="center"/>
    </xf>
    <xf numFmtId="0" fontId="66" fillId="0" borderId="100" xfId="0" applyFont="1" applyFill="1" applyBorder="1" applyAlignment="1" applyProtection="1">
      <alignment horizontal="center" vertical="center"/>
    </xf>
    <xf numFmtId="0" fontId="61" fillId="0" borderId="0" xfId="0" applyFont="1" applyAlignment="1" applyProtection="1"/>
    <xf numFmtId="0" fontId="66" fillId="0" borderId="0" xfId="0" applyFont="1" applyAlignment="1" applyProtection="1">
      <alignment horizontal="left" vertical="center" wrapText="1"/>
    </xf>
    <xf numFmtId="0" fontId="66" fillId="0" borderId="0" xfId="0" applyFont="1" applyAlignment="1" applyProtection="1">
      <alignment horizontal="center" vertical="center" wrapText="1"/>
    </xf>
    <xf numFmtId="0" fontId="61" fillId="0" borderId="0" xfId="0" applyFont="1" applyAlignment="1" applyProtection="1">
      <alignment wrapText="1"/>
    </xf>
    <xf numFmtId="0" fontId="61" fillId="0" borderId="0" xfId="0" applyFont="1" applyAlignment="1"/>
    <xf numFmtId="38" fontId="59" fillId="3" borderId="31" xfId="0" applyNumberFormat="1" applyFont="1" applyFill="1" applyBorder="1" applyAlignment="1" applyProtection="1">
      <alignment horizontal="right" vertical="center"/>
    </xf>
    <xf numFmtId="38" fontId="59" fillId="3" borderId="28" xfId="0" applyNumberFormat="1" applyFont="1" applyFill="1" applyBorder="1" applyAlignment="1" applyProtection="1">
      <alignment horizontal="right" vertical="center"/>
    </xf>
    <xf numFmtId="38" fontId="59" fillId="3" borderId="0" xfId="0" applyNumberFormat="1" applyFont="1" applyFill="1" applyAlignment="1" applyProtection="1">
      <alignment horizontal="right" vertical="center"/>
    </xf>
    <xf numFmtId="38" fontId="59" fillId="3" borderId="26" xfId="0" applyNumberFormat="1" applyFont="1" applyFill="1" applyBorder="1" applyAlignment="1" applyProtection="1">
      <alignment horizontal="right" vertical="center"/>
    </xf>
    <xf numFmtId="49" fontId="66"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8" fillId="0" borderId="26" xfId="0" applyNumberFormat="1" applyFont="1" applyBorder="1" applyAlignment="1">
      <alignment horizontal="center" vertical="center" wrapText="1"/>
    </xf>
    <xf numFmtId="3" fontId="58" fillId="0" borderId="26" xfId="0" applyNumberFormat="1" applyFont="1" applyBorder="1" applyAlignment="1">
      <alignment horizontal="center" vertical="center"/>
    </xf>
    <xf numFmtId="3" fontId="58" fillId="0" borderId="26" xfId="0" applyNumberFormat="1" applyFont="1" applyBorder="1" applyAlignment="1">
      <alignment horizontal="center" vertical="center" wrapText="1"/>
    </xf>
    <xf numFmtId="0" fontId="61" fillId="0" borderId="0" xfId="0" applyFont="1" applyAlignment="1">
      <alignment horizontal="center" vertical="top" wrapText="1"/>
    </xf>
    <xf numFmtId="0" fontId="61" fillId="0" borderId="0" xfId="0" applyFont="1" applyBorder="1" applyAlignment="1">
      <alignment vertical="center"/>
    </xf>
    <xf numFmtId="3" fontId="59" fillId="3" borderId="124" xfId="0" applyNumberFormat="1" applyFont="1" applyFill="1" applyBorder="1" applyAlignment="1">
      <alignment horizontal="center"/>
    </xf>
    <xf numFmtId="3" fontId="59" fillId="3" borderId="26" xfId="0" applyNumberFormat="1" applyFont="1" applyFill="1" applyBorder="1" applyAlignment="1">
      <alignment horizontal="center"/>
    </xf>
    <xf numFmtId="3" fontId="59" fillId="3" borderId="124" xfId="0" applyNumberFormat="1" applyFont="1" applyFill="1" applyBorder="1" applyAlignment="1">
      <alignment horizontal="right"/>
    </xf>
    <xf numFmtId="0" fontId="66" fillId="0" borderId="0" xfId="0" applyFont="1" applyBorder="1" applyAlignment="1"/>
    <xf numFmtId="49" fontId="66" fillId="0" borderId="2" xfId="0" applyNumberFormat="1" applyFont="1" applyBorder="1" applyAlignment="1">
      <alignment horizontal="center" vertical="center"/>
    </xf>
    <xf numFmtId="38" fontId="59" fillId="2" borderId="2" xfId="0" applyNumberFormat="1" applyFont="1" applyFill="1" applyBorder="1" applyAlignment="1">
      <alignment horizontal="right"/>
    </xf>
    <xf numFmtId="38" fontId="59" fillId="3" borderId="26" xfId="0" applyNumberFormat="1" applyFont="1" applyFill="1" applyBorder="1" applyAlignment="1">
      <alignment horizontal="right"/>
    </xf>
    <xf numFmtId="49" fontId="68" fillId="2" borderId="27" xfId="0" applyNumberFormat="1" applyFont="1" applyFill="1" applyBorder="1" applyAlignment="1">
      <alignment horizontal="center" vertical="center"/>
    </xf>
    <xf numFmtId="38" fontId="59" fillId="3" borderId="28" xfId="0" applyNumberFormat="1" applyFont="1" applyFill="1" applyBorder="1" applyAlignment="1">
      <alignment horizontal="right"/>
    </xf>
    <xf numFmtId="0" fontId="66" fillId="0" borderId="0" xfId="0" applyFont="1" applyFill="1" applyBorder="1" applyAlignment="1"/>
    <xf numFmtId="0" fontId="66" fillId="0" borderId="0" xfId="0" applyFont="1" applyFill="1"/>
    <xf numFmtId="3" fontId="68" fillId="3" borderId="13" xfId="0" applyNumberFormat="1" applyFont="1" applyFill="1" applyBorder="1" applyAlignment="1">
      <alignment horizontal="left" vertical="center" wrapText="1" indent="1"/>
    </xf>
    <xf numFmtId="49" fontId="68" fillId="3" borderId="14" xfId="0" applyNumberFormat="1" applyFont="1" applyFill="1" applyBorder="1" applyAlignment="1">
      <alignment horizontal="center" vertical="center"/>
    </xf>
    <xf numFmtId="38" fontId="59" fillId="3" borderId="4" xfId="0" applyNumberFormat="1" applyFont="1" applyFill="1" applyBorder="1" applyAlignment="1">
      <alignment horizontal="right"/>
    </xf>
    <xf numFmtId="164" fontId="68" fillId="3" borderId="122" xfId="0" applyNumberFormat="1" applyFont="1" applyFill="1" applyBorder="1" applyAlignment="1">
      <alignment horizontal="left" vertical="center" wrapText="1" indent="1"/>
    </xf>
    <xf numFmtId="49" fontId="68" fillId="3" borderId="31" xfId="0" applyNumberFormat="1" applyFont="1" applyFill="1" applyBorder="1" applyAlignment="1">
      <alignment horizontal="center" vertical="center"/>
    </xf>
    <xf numFmtId="38" fontId="59" fillId="3" borderId="29" xfId="0" applyNumberFormat="1" applyFont="1" applyFill="1" applyBorder="1" applyAlignment="1">
      <alignment horizontal="right"/>
    </xf>
    <xf numFmtId="49" fontId="66" fillId="0" borderId="3" xfId="0" applyNumberFormat="1" applyFont="1" applyBorder="1" applyAlignment="1">
      <alignment horizontal="center" vertical="center" wrapText="1"/>
    </xf>
    <xf numFmtId="49" fontId="66" fillId="0" borderId="2" xfId="0" applyNumberFormat="1" applyFont="1" applyBorder="1" applyAlignment="1">
      <alignment horizontal="center" vertical="top"/>
    </xf>
    <xf numFmtId="38" fontId="59" fillId="3" borderId="31" xfId="0" applyNumberFormat="1" applyFont="1" applyFill="1" applyBorder="1" applyAlignment="1">
      <alignment horizontal="right"/>
    </xf>
    <xf numFmtId="49" fontId="66" fillId="0" borderId="4" xfId="0" applyNumberFormat="1" applyFont="1" applyBorder="1" applyAlignment="1">
      <alignment horizontal="center" vertical="center"/>
    </xf>
    <xf numFmtId="49" fontId="68" fillId="3" borderId="11" xfId="0" applyNumberFormat="1" applyFont="1" applyFill="1" applyBorder="1" applyAlignment="1">
      <alignment horizontal="center" vertical="center"/>
    </xf>
    <xf numFmtId="49" fontId="66" fillId="0" borderId="33" xfId="0" applyNumberFormat="1" applyFont="1" applyFill="1" applyBorder="1" applyAlignment="1">
      <alignment horizontal="center" vertical="center"/>
    </xf>
    <xf numFmtId="0" fontId="66" fillId="0" borderId="0" xfId="0" applyFont="1" applyAlignment="1">
      <alignment vertical="center"/>
    </xf>
    <xf numFmtId="38" fontId="59" fillId="5" borderId="4" xfId="0" applyNumberFormat="1" applyFont="1" applyFill="1" applyBorder="1" applyAlignment="1" applyProtection="1">
      <alignment horizontal="right"/>
      <protection locked="0"/>
    </xf>
    <xf numFmtId="0" fontId="66" fillId="0" borderId="29" xfId="0" applyFont="1" applyFill="1" applyBorder="1" applyAlignment="1">
      <alignment horizontal="center" vertical="center"/>
    </xf>
    <xf numFmtId="38" fontId="59" fillId="6" borderId="28" xfId="0" applyNumberFormat="1" applyFont="1" applyFill="1" applyBorder="1" applyAlignment="1">
      <alignment horizontal="right"/>
    </xf>
    <xf numFmtId="0" fontId="66" fillId="0" borderId="4" xfId="0" applyFont="1" applyFill="1" applyBorder="1" applyAlignment="1">
      <alignment horizontal="center" vertical="center"/>
    </xf>
    <xf numFmtId="38" fontId="59" fillId="6" borderId="26" xfId="0" applyNumberFormat="1" applyFont="1" applyFill="1" applyBorder="1" applyAlignment="1">
      <alignment horizontal="right"/>
    </xf>
    <xf numFmtId="0" fontId="66" fillId="0" borderId="2" xfId="0" applyFont="1" applyFill="1" applyBorder="1" applyAlignment="1">
      <alignment horizontal="center" vertical="center"/>
    </xf>
    <xf numFmtId="0" fontId="66" fillId="0" borderId="124" xfId="0" applyFont="1" applyFill="1" applyBorder="1" applyAlignment="1">
      <alignment horizontal="center" vertical="center"/>
    </xf>
    <xf numFmtId="38" fontId="59" fillId="6" borderId="4" xfId="0" applyNumberFormat="1" applyFont="1" applyFill="1" applyBorder="1" applyAlignment="1">
      <alignment horizontal="right"/>
    </xf>
    <xf numFmtId="49" fontId="66" fillId="0" borderId="4" xfId="0" applyNumberFormat="1" applyFont="1" applyFill="1" applyBorder="1" applyAlignment="1">
      <alignment horizontal="center" vertical="center"/>
    </xf>
    <xf numFmtId="164" fontId="68" fillId="6" borderId="13" xfId="0" applyNumberFormat="1"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0" fontId="66" fillId="0" borderId="0" xfId="0" applyFont="1" applyAlignment="1"/>
    <xf numFmtId="49" fontId="68" fillId="0" borderId="29" xfId="0" applyNumberFormat="1" applyFont="1" applyFill="1" applyBorder="1" applyAlignment="1">
      <alignment horizontal="center" vertical="center"/>
    </xf>
    <xf numFmtId="3" fontId="68" fillId="0" borderId="13" xfId="0" applyNumberFormat="1" applyFont="1" applyBorder="1" applyAlignment="1">
      <alignment horizontal="left" vertical="top" wrapText="1" indent="2"/>
    </xf>
    <xf numFmtId="49" fontId="66" fillId="0" borderId="21" xfId="0" applyNumberFormat="1" applyFont="1" applyFill="1" applyBorder="1" applyAlignment="1">
      <alignment horizontal="left" vertical="top" indent="1"/>
    </xf>
    <xf numFmtId="38" fontId="59" fillId="0" borderId="21" xfId="0" applyNumberFormat="1" applyFont="1" applyFill="1" applyBorder="1" applyAlignment="1">
      <alignment horizontal="right"/>
    </xf>
    <xf numFmtId="0" fontId="59" fillId="0" borderId="0" xfId="0" applyFont="1" applyAlignment="1">
      <alignment vertical="center"/>
    </xf>
    <xf numFmtId="3" fontId="68" fillId="3" borderId="12" xfId="0" applyNumberFormat="1" applyFont="1" applyFill="1" applyBorder="1" applyAlignment="1">
      <alignment horizontal="left" vertical="center" wrapText="1" indent="1"/>
    </xf>
    <xf numFmtId="164" fontId="68" fillId="3" borderId="13" xfId="0" applyNumberFormat="1" applyFont="1" applyFill="1" applyBorder="1" applyAlignment="1">
      <alignment horizontal="left" vertical="center" wrapText="1" indent="1"/>
    </xf>
    <xf numFmtId="38" fontId="59" fillId="3" borderId="2" xfId="0" applyNumberFormat="1" applyFont="1" applyFill="1" applyBorder="1" applyAlignment="1">
      <alignment horizontal="right"/>
    </xf>
    <xf numFmtId="49" fontId="66" fillId="0" borderId="29" xfId="0" applyNumberFormat="1" applyFont="1" applyFill="1" applyBorder="1" applyAlignment="1">
      <alignment horizontal="center" vertical="center"/>
    </xf>
    <xf numFmtId="164" fontId="68" fillId="3" borderId="13" xfId="0" applyNumberFormat="1" applyFont="1" applyFill="1" applyBorder="1" applyAlignment="1" applyProtection="1">
      <alignment horizontal="left" vertical="center" wrapText="1" indent="1"/>
    </xf>
    <xf numFmtId="49" fontId="68" fillId="3" borderId="14" xfId="0" applyNumberFormat="1" applyFont="1" applyFill="1" applyBorder="1" applyAlignment="1" applyProtection="1">
      <alignment horizontal="center" vertical="center"/>
    </xf>
    <xf numFmtId="49" fontId="68" fillId="7" borderId="27" xfId="0" applyNumberFormat="1" applyFont="1" applyFill="1" applyBorder="1" applyAlignment="1">
      <alignment horizontal="center" vertical="center"/>
    </xf>
    <xf numFmtId="3" fontId="68" fillId="6" borderId="17" xfId="0" applyNumberFormat="1" applyFont="1" applyFill="1" applyBorder="1" applyAlignment="1">
      <alignment horizontal="left" vertical="center" wrapText="1" indent="1"/>
    </xf>
    <xf numFmtId="49" fontId="68" fillId="6" borderId="26" xfId="0" applyNumberFormat="1" applyFont="1" applyFill="1" applyBorder="1" applyAlignment="1">
      <alignment horizontal="center" vertical="center"/>
    </xf>
    <xf numFmtId="38" fontId="59" fillId="6" borderId="29" xfId="0" applyNumberFormat="1" applyFont="1" applyFill="1" applyBorder="1" applyAlignment="1">
      <alignment horizontal="right"/>
    </xf>
    <xf numFmtId="3" fontId="68" fillId="0" borderId="13" xfId="0" applyNumberFormat="1" applyFont="1" applyFill="1" applyBorder="1" applyAlignment="1">
      <alignment horizontal="left" vertical="top" wrapText="1" indent="2"/>
    </xf>
    <xf numFmtId="0" fontId="61" fillId="0" borderId="21" xfId="0" applyFont="1" applyFill="1" applyBorder="1" applyAlignment="1">
      <alignment horizontal="left" vertical="top" wrapText="1" indent="2"/>
    </xf>
    <xf numFmtId="0" fontId="61" fillId="0" borderId="0" xfId="0" applyFont="1" applyFill="1" applyBorder="1" applyAlignment="1"/>
    <xf numFmtId="0" fontId="61" fillId="0" borderId="0" xfId="0" applyFont="1" applyFill="1" applyBorder="1"/>
    <xf numFmtId="0" fontId="59" fillId="0" borderId="0" xfId="0" applyFont="1" applyBorder="1" applyAlignment="1"/>
    <xf numFmtId="0" fontId="59" fillId="0" borderId="0" xfId="0" applyFont="1"/>
    <xf numFmtId="3" fontId="68" fillId="3" borderId="122" xfId="0" applyNumberFormat="1" applyFont="1" applyFill="1" applyBorder="1" applyAlignment="1">
      <alignment horizontal="left" vertical="center" wrapText="1" indent="1"/>
    </xf>
    <xf numFmtId="49" fontId="68" fillId="3" borderId="29" xfId="0" applyNumberFormat="1" applyFont="1" applyFill="1" applyBorder="1" applyAlignment="1">
      <alignment horizontal="center" vertical="center"/>
    </xf>
    <xf numFmtId="49" fontId="68" fillId="3" borderId="4" xfId="0" applyNumberFormat="1" applyFont="1" applyFill="1" applyBorder="1" applyAlignment="1">
      <alignment horizontal="center" vertical="top"/>
    </xf>
    <xf numFmtId="49" fontId="68" fillId="3" borderId="2" xfId="0" applyNumberFormat="1" applyFont="1" applyFill="1" applyBorder="1" applyAlignment="1">
      <alignment horizontal="center" vertical="top"/>
    </xf>
    <xf numFmtId="49" fontId="66" fillId="0" borderId="21" xfId="0" applyNumberFormat="1" applyFont="1" applyFill="1" applyBorder="1" applyAlignment="1">
      <alignment horizontal="center" vertical="top"/>
    </xf>
    <xf numFmtId="0" fontId="61" fillId="0" borderId="0" xfId="0" applyFont="1" applyFill="1"/>
    <xf numFmtId="0" fontId="68" fillId="3" borderId="13" xfId="0" applyFont="1" applyFill="1" applyBorder="1" applyAlignment="1">
      <alignment horizontal="left" vertical="center" wrapText="1" indent="1"/>
    </xf>
    <xf numFmtId="49" fontId="68" fillId="3" borderId="123" xfId="0" applyNumberFormat="1" applyFont="1" applyFill="1" applyBorder="1" applyAlignment="1">
      <alignment horizontal="center" vertical="center"/>
    </xf>
    <xf numFmtId="49" fontId="66" fillId="0" borderId="124" xfId="0" applyNumberFormat="1" applyFont="1" applyBorder="1" applyAlignment="1">
      <alignment horizontal="center" vertical="center"/>
    </xf>
    <xf numFmtId="49" fontId="68" fillId="3" borderId="4" xfId="0" applyNumberFormat="1" applyFont="1" applyFill="1" applyBorder="1" applyAlignment="1">
      <alignment horizontal="center" vertical="center"/>
    </xf>
    <xf numFmtId="3" fontId="68" fillId="6" borderId="29" xfId="0" applyNumberFormat="1" applyFont="1" applyFill="1" applyBorder="1" applyAlignment="1">
      <alignment horizontal="left" vertical="center" wrapText="1" indent="1"/>
    </xf>
    <xf numFmtId="49" fontId="68" fillId="6" borderId="29" xfId="0" applyNumberFormat="1" applyFont="1" applyFill="1" applyBorder="1" applyAlignment="1">
      <alignment horizontal="center" vertical="center"/>
    </xf>
    <xf numFmtId="3" fontId="68" fillId="3" borderId="2" xfId="0" applyNumberFormat="1" applyFont="1" applyFill="1" applyBorder="1" applyAlignment="1">
      <alignment horizontal="left" vertical="center" wrapText="1" indent="1"/>
    </xf>
    <xf numFmtId="49" fontId="68" fillId="3" borderId="11" xfId="0" applyNumberFormat="1" applyFont="1" applyFill="1" applyBorder="1" applyAlignment="1">
      <alignment horizontal="center" vertical="center" wrapText="1"/>
    </xf>
    <xf numFmtId="49" fontId="66" fillId="0" borderId="3" xfId="0" applyNumberFormat="1" applyFont="1" applyBorder="1" applyAlignment="1">
      <alignment horizontal="center" vertical="top"/>
    </xf>
    <xf numFmtId="49" fontId="68" fillId="3" borderId="31" xfId="0" applyNumberFormat="1" applyFont="1" applyFill="1" applyBorder="1" applyAlignment="1">
      <alignment horizontal="center" vertical="center" wrapText="1"/>
    </xf>
    <xf numFmtId="49" fontId="66" fillId="0" borderId="2" xfId="0" applyNumberFormat="1" applyFont="1" applyBorder="1" applyAlignment="1">
      <alignment horizontal="center" vertical="center" wrapText="1"/>
    </xf>
    <xf numFmtId="38" fontId="59" fillId="3" borderId="124" xfId="0" applyNumberFormat="1" applyFont="1" applyFill="1" applyBorder="1" applyAlignment="1">
      <alignment horizontal="right"/>
    </xf>
    <xf numFmtId="38" fontId="59" fillId="3" borderId="3" xfId="0" applyNumberFormat="1" applyFont="1" applyFill="1" applyBorder="1" applyAlignment="1">
      <alignment horizontal="right"/>
    </xf>
    <xf numFmtId="164" fontId="68" fillId="3" borderId="17" xfId="0" applyNumberFormat="1" applyFont="1" applyFill="1" applyBorder="1" applyAlignment="1">
      <alignment horizontal="left" vertical="center" wrapText="1" indent="1"/>
    </xf>
    <xf numFmtId="0" fontId="66" fillId="0" borderId="2" xfId="0" applyFont="1" applyBorder="1" applyAlignment="1">
      <alignment horizontal="center" vertical="center"/>
    </xf>
    <xf numFmtId="49" fontId="66" fillId="0" borderId="2" xfId="0" applyNumberFormat="1" applyFont="1" applyFill="1" applyBorder="1" applyAlignment="1">
      <alignment horizontal="center" vertical="center"/>
    </xf>
    <xf numFmtId="3" fontId="68" fillId="0" borderId="122" xfId="0" applyNumberFormat="1" applyFont="1" applyFill="1" applyBorder="1" applyAlignment="1">
      <alignment horizontal="left" vertical="top" wrapText="1" indent="1"/>
    </xf>
    <xf numFmtId="0" fontId="61" fillId="0" borderId="20" xfId="0" applyFont="1" applyFill="1" applyBorder="1" applyAlignment="1">
      <alignment horizontal="left" vertical="top" wrapText="1"/>
    </xf>
    <xf numFmtId="38" fontId="59" fillId="0" borderId="20" xfId="0" applyNumberFormat="1" applyFont="1" applyFill="1" applyBorder="1" applyAlignment="1">
      <alignment horizontal="right"/>
    </xf>
    <xf numFmtId="38" fontId="59" fillId="0" borderId="0" xfId="0" applyNumberFormat="1" applyFont="1" applyFill="1" applyBorder="1" applyAlignment="1">
      <alignment horizontal="right"/>
    </xf>
    <xf numFmtId="0" fontId="68" fillId="6" borderId="12" xfId="0"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top"/>
    </xf>
    <xf numFmtId="164" fontId="68" fillId="3" borderId="13" xfId="0" applyNumberFormat="1" applyFont="1" applyFill="1" applyBorder="1" applyAlignment="1">
      <alignment horizontal="left" vertical="top" wrapText="1" indent="1"/>
    </xf>
    <xf numFmtId="49" fontId="68" fillId="3" borderId="14" xfId="0" applyNumberFormat="1" applyFont="1" applyFill="1" applyBorder="1" applyAlignment="1">
      <alignment horizontal="center" vertical="top"/>
    </xf>
    <xf numFmtId="0" fontId="61" fillId="6" borderId="0" xfId="0" applyFont="1" applyFill="1" applyAlignment="1">
      <alignment vertical="center"/>
    </xf>
    <xf numFmtId="49" fontId="68" fillId="6" borderId="2" xfId="7" applyNumberFormat="1" applyFont="1" applyFill="1" applyBorder="1" applyAlignment="1">
      <alignment horizontal="left" vertical="center" wrapText="1" indent="1"/>
    </xf>
    <xf numFmtId="0" fontId="68" fillId="6" borderId="2" xfId="8" applyNumberFormat="1" applyFont="1" applyFill="1" applyBorder="1" applyAlignment="1">
      <alignment horizontal="center" vertical="top"/>
    </xf>
    <xf numFmtId="38" fontId="59" fillId="6" borderId="0" xfId="8" applyNumberFormat="1" applyFont="1" applyFill="1" applyBorder="1" applyAlignment="1" applyProtection="1">
      <alignment horizontal="right"/>
    </xf>
    <xf numFmtId="38" fontId="59" fillId="6" borderId="26" xfId="8" applyNumberFormat="1" applyFont="1" applyFill="1" applyBorder="1" applyAlignment="1" applyProtection="1">
      <alignment horizontal="right"/>
    </xf>
    <xf numFmtId="0" fontId="85" fillId="0" borderId="0" xfId="6" applyFont="1"/>
    <xf numFmtId="0" fontId="66" fillId="0" borderId="17" xfId="0" applyFont="1" applyBorder="1" applyAlignment="1">
      <alignment horizontal="left" vertical="center" wrapText="1"/>
    </xf>
    <xf numFmtId="49" fontId="66" fillId="0" borderId="0" xfId="0" applyNumberFormat="1" applyFont="1" applyAlignment="1">
      <alignment horizontal="center" vertical="center"/>
    </xf>
    <xf numFmtId="0" fontId="61" fillId="0" borderId="0" xfId="0" applyFont="1" applyAlignment="1">
      <alignment horizontal="right" vertical="center"/>
    </xf>
    <xf numFmtId="38" fontId="61" fillId="0" borderId="0" xfId="0" applyNumberFormat="1" applyFont="1" applyAlignment="1">
      <alignment horizontal="right" vertical="center"/>
    </xf>
    <xf numFmtId="38" fontId="61" fillId="0" borderId="0" xfId="0" applyNumberFormat="1" applyFont="1" applyFill="1" applyAlignment="1">
      <alignment horizontal="right" vertical="center"/>
    </xf>
    <xf numFmtId="38" fontId="68" fillId="6" borderId="3" xfId="0" applyNumberFormat="1" applyFont="1" applyFill="1" applyBorder="1" applyAlignment="1">
      <alignment horizontal="center" vertical="center" wrapText="1"/>
    </xf>
    <xf numFmtId="0" fontId="66" fillId="0" borderId="2" xfId="0" applyFont="1" applyBorder="1" applyAlignment="1">
      <alignment horizontal="left" vertical="center" wrapText="1" indent="1"/>
    </xf>
    <xf numFmtId="38" fontId="61" fillId="0" borderId="0" xfId="0" applyNumberFormat="1" applyFont="1"/>
    <xf numFmtId="0" fontId="77" fillId="0" borderId="0" xfId="0" applyFont="1" applyAlignment="1">
      <alignment horizontal="left" indent="2"/>
    </xf>
    <xf numFmtId="0" fontId="77" fillId="0" borderId="0" xfId="0" applyFont="1" applyAlignment="1">
      <alignment horizontal="left"/>
    </xf>
    <xf numFmtId="0" fontId="77" fillId="0" borderId="0" xfId="0" applyFont="1" applyAlignment="1">
      <alignment horizontal="left" vertical="top" indent="2"/>
    </xf>
    <xf numFmtId="0" fontId="77" fillId="0" borderId="0" xfId="0" applyFont="1" applyAlignment="1">
      <alignment horizontal="left" vertical="top"/>
    </xf>
    <xf numFmtId="49" fontId="66" fillId="0" borderId="0" xfId="0" applyNumberFormat="1" applyFont="1" applyFill="1" applyBorder="1" applyAlignment="1" applyProtection="1">
      <alignment horizontal="left" vertical="center"/>
    </xf>
    <xf numFmtId="49" fontId="66" fillId="0" borderId="0" xfId="0" applyNumberFormat="1" applyFont="1" applyAlignment="1" applyProtection="1">
      <alignment horizontal="left" vertical="center"/>
    </xf>
    <xf numFmtId="49" fontId="68" fillId="0" borderId="2" xfId="0" applyNumberFormat="1" applyFont="1" applyFill="1" applyBorder="1" applyAlignment="1" applyProtection="1">
      <alignment horizontal="center" vertical="center" wrapText="1"/>
    </xf>
    <xf numFmtId="49" fontId="66" fillId="0" borderId="13" xfId="0" applyNumberFormat="1" applyFont="1" applyBorder="1" applyAlignment="1" applyProtection="1">
      <alignment horizontal="left" vertical="center" indent="1"/>
    </xf>
    <xf numFmtId="49" fontId="66" fillId="0" borderId="21" xfId="0" applyNumberFormat="1" applyFont="1" applyBorder="1" applyAlignment="1" applyProtection="1">
      <alignment horizontal="left" vertical="center"/>
    </xf>
    <xf numFmtId="38" fontId="59" fillId="0" borderId="2" xfId="0" applyNumberFormat="1" applyFont="1" applyBorder="1" applyAlignment="1" applyProtection="1">
      <alignment horizontal="right" vertical="center"/>
      <protection locked="0"/>
    </xf>
    <xf numFmtId="38" fontId="59" fillId="3" borderId="0" xfId="0" applyNumberFormat="1" applyFont="1" applyFill="1" applyBorder="1" applyAlignment="1" applyProtection="1">
      <alignment horizontal="right" vertical="center"/>
    </xf>
    <xf numFmtId="38" fontId="59" fillId="3" borderId="18" xfId="0" applyNumberFormat="1" applyFont="1" applyFill="1" applyBorder="1" applyAlignment="1" applyProtection="1">
      <alignment horizontal="right" vertical="center"/>
    </xf>
    <xf numFmtId="0" fontId="85" fillId="0" borderId="0" xfId="9" applyFont="1" applyFill="1"/>
    <xf numFmtId="49" fontId="68" fillId="0" borderId="2" xfId="9" applyNumberFormat="1" applyFont="1" applyFill="1" applyBorder="1" applyAlignment="1">
      <alignment horizontal="center" vertical="center" wrapText="1"/>
    </xf>
    <xf numFmtId="0" fontId="61" fillId="0" borderId="0" xfId="9" applyFont="1" applyFill="1"/>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38" fontId="59" fillId="0" borderId="2" xfId="9" applyNumberFormat="1" applyFont="1" applyFill="1" applyBorder="1" applyAlignment="1" applyProtection="1">
      <alignment horizontal="right"/>
      <protection locked="0"/>
    </xf>
    <xf numFmtId="3" fontId="59" fillId="0" borderId="2" xfId="9" applyNumberFormat="1" applyFont="1" applyFill="1" applyBorder="1" applyAlignment="1" applyProtection="1">
      <alignment horizontal="right" vertical="center"/>
      <protection locked="0"/>
    </xf>
    <xf numFmtId="0" fontId="61" fillId="0" borderId="0" xfId="9" applyFont="1" applyFill="1" applyAlignment="1"/>
    <xf numFmtId="0" fontId="66" fillId="0" borderId="0" xfId="9" applyFont="1" applyFill="1" applyAlignment="1"/>
    <xf numFmtId="38" fontId="59" fillId="0" borderId="2" xfId="9" applyNumberFormat="1" applyFont="1" applyFill="1" applyBorder="1" applyAlignment="1" applyProtection="1">
      <alignment horizontal="right" vertical="center"/>
      <protection locked="0"/>
    </xf>
    <xf numFmtId="0" fontId="85" fillId="0" borderId="0" xfId="9" applyFont="1" applyFill="1" applyAlignment="1">
      <alignment vertical="top"/>
    </xf>
    <xf numFmtId="0" fontId="59" fillId="0" borderId="2" xfId="0" applyFont="1" applyFill="1" applyBorder="1" applyAlignment="1" applyProtection="1">
      <alignment horizontal="right"/>
      <protection locked="0"/>
    </xf>
    <xf numFmtId="0" fontId="59" fillId="0" borderId="2" xfId="9" applyFont="1" applyFill="1" applyBorder="1" applyAlignment="1" applyProtection="1">
      <alignment horizontal="right" vertical="top"/>
      <protection locked="0"/>
    </xf>
    <xf numFmtId="38" fontId="59" fillId="0" borderId="2" xfId="9" applyNumberFormat="1" applyFont="1" applyFill="1" applyBorder="1" applyAlignment="1" applyProtection="1">
      <alignment horizontal="right" vertical="top"/>
      <protection locked="0"/>
    </xf>
    <xf numFmtId="38" fontId="59" fillId="0" borderId="2" xfId="9" quotePrefix="1" applyNumberFormat="1" applyFont="1" applyFill="1" applyBorder="1" applyAlignment="1" applyProtection="1">
      <alignment horizontal="right"/>
      <protection locked="0"/>
    </xf>
    <xf numFmtId="0" fontId="66" fillId="0" borderId="0" xfId="9" applyFont="1" applyFill="1" applyBorder="1" applyAlignment="1"/>
    <xf numFmtId="38" fontId="59" fillId="6" borderId="2" xfId="9" applyNumberFormat="1" applyFont="1" applyFill="1" applyBorder="1" applyAlignment="1" applyProtection="1">
      <alignment horizontal="right"/>
    </xf>
    <xf numFmtId="0" fontId="85" fillId="0" borderId="0" xfId="9" applyFont="1" applyFill="1" applyAlignment="1"/>
    <xf numFmtId="0" fontId="66" fillId="0" borderId="0" xfId="9" applyFont="1" applyFill="1" applyAlignment="1">
      <alignment vertical="top"/>
    </xf>
    <xf numFmtId="0" fontId="66" fillId="0" borderId="0" xfId="9" applyFont="1" applyFill="1" applyAlignment="1">
      <alignment horizontal="left" indent="1"/>
    </xf>
    <xf numFmtId="49" fontId="66" fillId="0" borderId="0" xfId="9" applyNumberFormat="1" applyFont="1" applyFill="1" applyAlignment="1">
      <alignment horizontal="right" vertical="center"/>
    </xf>
    <xf numFmtId="0" fontId="66" fillId="0" borderId="0" xfId="9" applyFont="1" applyFill="1" applyAlignment="1">
      <alignment horizontal="left" vertical="center" indent="1"/>
    </xf>
    <xf numFmtId="0" fontId="66" fillId="0" borderId="0" xfId="9" applyFont="1" applyFill="1" applyAlignment="1">
      <alignment vertical="center"/>
    </xf>
    <xf numFmtId="0" fontId="66" fillId="0" borderId="0" xfId="9" applyFont="1" applyFill="1" applyAlignment="1">
      <alignment horizontal="left" vertical="top" indent="1"/>
    </xf>
    <xf numFmtId="0" fontId="66" fillId="0" borderId="0" xfId="9" applyFont="1" applyFill="1" applyAlignment="1">
      <alignment horizontal="left"/>
    </xf>
    <xf numFmtId="0" fontId="85" fillId="0" borderId="0" xfId="9" applyFont="1" applyFill="1" applyBorder="1" applyAlignment="1">
      <alignment horizontal="left" vertical="center"/>
    </xf>
    <xf numFmtId="0" fontId="66" fillId="0" borderId="0" xfId="9" applyFont="1" applyFill="1" applyBorder="1" applyAlignment="1">
      <alignment horizontal="left"/>
    </xf>
    <xf numFmtId="49" fontId="66" fillId="0" borderId="0" xfId="9" applyNumberFormat="1" applyFont="1" applyFill="1" applyBorder="1" applyAlignment="1">
      <alignment horizontal="right"/>
    </xf>
    <xf numFmtId="0" fontId="61" fillId="0" borderId="15" xfId="9" applyFont="1" applyFill="1" applyBorder="1" applyAlignment="1" applyProtection="1">
      <protection locked="0"/>
    </xf>
    <xf numFmtId="49" fontId="66" fillId="0" borderId="0" xfId="9" applyNumberFormat="1" applyFont="1" applyFill="1" applyAlignment="1">
      <alignment horizontal="left" vertical="center"/>
    </xf>
    <xf numFmtId="49" fontId="77" fillId="0" borderId="0" xfId="9" applyNumberFormat="1" applyFont="1" applyFill="1" applyAlignment="1">
      <alignment horizontal="left" vertical="center"/>
    </xf>
    <xf numFmtId="0" fontId="68" fillId="0" borderId="9" xfId="0" applyFont="1" applyBorder="1" applyAlignment="1" applyProtection="1">
      <alignment horizontal="center" vertical="center" wrapText="1"/>
    </xf>
    <xf numFmtId="0" fontId="68" fillId="0" borderId="22" xfId="0" applyFont="1" applyFill="1" applyBorder="1" applyAlignment="1" applyProtection="1">
      <alignment horizontal="center" vertical="center"/>
    </xf>
    <xf numFmtId="0" fontId="68" fillId="0" borderId="22" xfId="0" applyFont="1" applyFill="1" applyBorder="1" applyAlignment="1" applyProtection="1">
      <alignment horizontal="center" vertical="center" wrapText="1"/>
    </xf>
    <xf numFmtId="0" fontId="61" fillId="0" borderId="7" xfId="0" applyFont="1" applyBorder="1" applyAlignment="1" applyProtection="1">
      <alignment vertical="center"/>
    </xf>
    <xf numFmtId="38" fontId="59" fillId="0" borderId="22" xfId="0" applyNumberFormat="1" applyFont="1" applyBorder="1" applyAlignment="1" applyProtection="1">
      <alignment vertical="center"/>
      <protection locked="0"/>
    </xf>
    <xf numFmtId="38" fontId="59" fillId="0" borderId="22" xfId="0" applyNumberFormat="1" applyFont="1" applyFill="1" applyBorder="1" applyAlignment="1" applyProtection="1">
      <alignment horizontal="right" vertical="center"/>
      <protection locked="0"/>
    </xf>
    <xf numFmtId="0" fontId="61" fillId="6" borderId="7" xfId="0" applyFont="1" applyFill="1" applyBorder="1" applyAlignment="1" applyProtection="1">
      <alignment vertical="center"/>
    </xf>
    <xf numFmtId="38" fontId="59" fillId="6" borderId="45" xfId="0" applyNumberFormat="1" applyFont="1" applyFill="1" applyBorder="1" applyAlignment="1" applyProtection="1">
      <alignment vertical="center"/>
    </xf>
    <xf numFmtId="38" fontId="59" fillId="6" borderId="22" xfId="0" applyNumberFormat="1" applyFont="1" applyFill="1" applyBorder="1" applyAlignment="1" applyProtection="1">
      <alignment vertical="center"/>
    </xf>
    <xf numFmtId="38" fontId="59" fillId="6" borderId="45" xfId="0" applyNumberFormat="1" applyFont="1" applyFill="1" applyBorder="1" applyAlignment="1" applyProtection="1">
      <alignment horizontal="right" vertical="center"/>
    </xf>
    <xf numFmtId="49" fontId="66" fillId="0" borderId="7" xfId="0" applyNumberFormat="1" applyFont="1" applyBorder="1" applyAlignment="1" applyProtection="1">
      <alignment horizontal="center" vertical="center" wrapText="1"/>
    </xf>
    <xf numFmtId="38" fontId="59" fillId="6" borderId="8" xfId="0" applyNumberFormat="1" applyFont="1" applyFill="1" applyBorder="1" applyAlignment="1" applyProtection="1">
      <alignment vertical="center"/>
    </xf>
    <xf numFmtId="38" fontId="59" fillId="0" borderId="22" xfId="0" applyNumberFormat="1" applyFont="1" applyFill="1" applyBorder="1" applyAlignment="1" applyProtection="1">
      <alignment vertical="center"/>
      <protection locked="0"/>
    </xf>
    <xf numFmtId="38" fontId="59" fillId="6" borderId="8" xfId="0" applyNumberFormat="1" applyFont="1" applyFill="1" applyBorder="1" applyAlignment="1" applyProtection="1">
      <alignment horizontal="right" vertical="center"/>
    </xf>
    <xf numFmtId="0" fontId="66" fillId="0" borderId="46" xfId="0" applyFont="1" applyBorder="1" applyAlignment="1" applyProtection="1">
      <alignment horizontal="left" indent="1"/>
    </xf>
    <xf numFmtId="0" fontId="66" fillId="0" borderId="6" xfId="0" applyFont="1" applyBorder="1" applyAlignment="1" applyProtection="1">
      <alignment horizontal="left" indent="1"/>
    </xf>
    <xf numFmtId="0" fontId="61" fillId="0" borderId="7" xfId="0" applyFont="1" applyBorder="1" applyAlignment="1">
      <alignment horizontal="left" indent="1"/>
    </xf>
    <xf numFmtId="49" fontId="66" fillId="0" borderId="7" xfId="0" applyNumberFormat="1" applyFont="1" applyBorder="1" applyAlignment="1" applyProtection="1">
      <alignment horizontal="center" vertical="center"/>
    </xf>
    <xf numFmtId="0" fontId="66" fillId="0" borderId="46" xfId="0" applyFont="1" applyBorder="1" applyAlignment="1" applyProtection="1">
      <alignment horizontal="left" vertical="center"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38" fontId="59" fillId="6" borderId="22"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vertical="center"/>
    </xf>
    <xf numFmtId="49" fontId="66" fillId="0" borderId="6" xfId="0" applyNumberFormat="1" applyFont="1" applyBorder="1" applyAlignment="1" applyProtection="1">
      <alignment horizontal="center" vertical="center"/>
    </xf>
    <xf numFmtId="38" fontId="59" fillId="0" borderId="7" xfId="0" applyNumberFormat="1" applyFont="1" applyBorder="1" applyAlignment="1" applyProtection="1">
      <alignment vertical="center"/>
      <protection locked="0"/>
    </xf>
    <xf numFmtId="49" fontId="66" fillId="6" borderId="59" xfId="0" applyNumberFormat="1" applyFont="1" applyFill="1" applyBorder="1" applyAlignment="1" applyProtection="1">
      <alignment horizontal="center" vertical="center"/>
    </xf>
    <xf numFmtId="0" fontId="59" fillId="6" borderId="42" xfId="0" applyFont="1" applyFill="1" applyBorder="1" applyAlignment="1" applyProtection="1">
      <alignment horizontal="right" vertical="center"/>
    </xf>
    <xf numFmtId="0" fontId="59" fillId="6" borderId="43" xfId="0" applyFont="1" applyFill="1" applyBorder="1" applyAlignment="1" applyProtection="1">
      <alignment horizontal="right" vertical="center"/>
    </xf>
    <xf numFmtId="0" fontId="59" fillId="6" borderId="40" xfId="0" applyFont="1" applyFill="1" applyBorder="1" applyAlignment="1" applyProtection="1">
      <alignment horizontal="right" vertical="center"/>
    </xf>
    <xf numFmtId="49" fontId="66" fillId="0" borderId="22" xfId="0" applyNumberFormat="1" applyFont="1" applyBorder="1" applyAlignment="1" applyProtection="1">
      <alignment horizontal="center" vertical="center"/>
    </xf>
    <xf numFmtId="49" fontId="66" fillId="3" borderId="22" xfId="0" applyNumberFormat="1" applyFont="1" applyFill="1" applyBorder="1" applyAlignment="1" applyProtection="1">
      <alignment horizontal="center" vertical="center"/>
    </xf>
    <xf numFmtId="38" fontId="59" fillId="3" borderId="45" xfId="0" applyNumberFormat="1" applyFont="1" applyFill="1" applyBorder="1" applyAlignment="1" applyProtection="1">
      <alignment vertical="center"/>
    </xf>
    <xf numFmtId="38" fontId="59" fillId="3" borderId="44" xfId="0" applyNumberFormat="1" applyFont="1" applyFill="1" applyBorder="1" applyAlignment="1" applyProtection="1">
      <alignment vertical="center"/>
    </xf>
    <xf numFmtId="38" fontId="59" fillId="3" borderId="8" xfId="0" applyNumberFormat="1" applyFont="1" applyFill="1" applyBorder="1" applyAlignment="1" applyProtection="1">
      <alignment horizontal="right" vertical="center"/>
    </xf>
    <xf numFmtId="38" fontId="59" fillId="3" borderId="44"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horizontal="right" vertical="center"/>
    </xf>
    <xf numFmtId="38" fontId="59" fillId="3" borderId="8" xfId="0" applyNumberFormat="1" applyFont="1" applyFill="1" applyBorder="1" applyAlignment="1" applyProtection="1">
      <alignment vertical="center"/>
    </xf>
    <xf numFmtId="38" fontId="59" fillId="0" borderId="8" xfId="0" applyNumberFormat="1" applyFont="1" applyFill="1" applyBorder="1" applyAlignment="1" applyProtection="1">
      <alignment horizontal="right" vertical="center"/>
      <protection locked="0"/>
    </xf>
    <xf numFmtId="0" fontId="68" fillId="0" borderId="46" xfId="0" applyFont="1" applyFill="1" applyBorder="1" applyAlignment="1">
      <alignment horizontal="left" indent="2"/>
    </xf>
    <xf numFmtId="0" fontId="68" fillId="0" borderId="6" xfId="0" applyFont="1" applyFill="1" applyBorder="1" applyAlignment="1" applyProtection="1">
      <alignment horizontal="left" vertical="center"/>
    </xf>
    <xf numFmtId="0" fontId="61" fillId="0" borderId="7" xfId="0" applyFont="1" applyBorder="1" applyAlignment="1" applyProtection="1"/>
    <xf numFmtId="0" fontId="66" fillId="0" borderId="22" xfId="0" applyFont="1" applyFill="1" applyBorder="1" applyAlignment="1">
      <alignment horizontal="center" wrapText="1"/>
    </xf>
    <xf numFmtId="38" fontId="59" fillId="0" borderId="8" xfId="0" applyNumberFormat="1" applyFont="1" applyFill="1" applyBorder="1" applyAlignment="1" applyProtection="1">
      <alignment vertical="center"/>
      <protection locked="0"/>
    </xf>
    <xf numFmtId="0" fontId="59" fillId="0" borderId="50" xfId="0" applyFont="1" applyBorder="1" applyAlignment="1" applyProtection="1">
      <alignment vertical="center"/>
    </xf>
    <xf numFmtId="0" fontId="61" fillId="0" borderId="9" xfId="0" applyFont="1" applyBorder="1" applyProtection="1"/>
    <xf numFmtId="0" fontId="61" fillId="0" borderId="40" xfId="0" applyFont="1" applyBorder="1" applyProtection="1"/>
    <xf numFmtId="0" fontId="69" fillId="0" borderId="0" xfId="0" applyFont="1" applyBorder="1" applyAlignment="1" applyProtection="1">
      <alignment horizontal="center"/>
    </xf>
    <xf numFmtId="0" fontId="69" fillId="0" borderId="22" xfId="0" applyFont="1" applyBorder="1" applyAlignment="1" applyProtection="1">
      <alignment horizontal="center"/>
      <protection locked="0"/>
    </xf>
    <xf numFmtId="0" fontId="66" fillId="0" borderId="0" xfId="0" applyFont="1" applyAlignment="1" applyProtection="1">
      <alignment horizontal="left" vertical="center" indent="1"/>
    </xf>
    <xf numFmtId="0" fontId="66" fillId="0" borderId="5" xfId="0" applyFont="1" applyBorder="1" applyAlignment="1" applyProtection="1">
      <alignment vertical="center"/>
    </xf>
    <xf numFmtId="0" fontId="66" fillId="0" borderId="0" xfId="0" applyFont="1" applyAlignment="1" applyProtection="1">
      <alignment horizontal="left" indent="1"/>
    </xf>
    <xf numFmtId="0" fontId="66" fillId="0" borderId="22" xfId="0" applyFont="1" applyBorder="1" applyAlignment="1" applyProtection="1">
      <alignment horizontal="left" vertical="center"/>
    </xf>
    <xf numFmtId="0" fontId="77" fillId="0" borderId="5" xfId="0" applyFont="1" applyBorder="1" applyAlignment="1" applyProtection="1"/>
    <xf numFmtId="0" fontId="59" fillId="0" borderId="40" xfId="0" applyFont="1" applyBorder="1" applyAlignment="1" applyProtection="1">
      <alignment vertical="center"/>
    </xf>
    <xf numFmtId="0" fontId="77" fillId="0" borderId="5" xfId="0" applyFont="1" applyBorder="1" applyAlignment="1" applyProtection="1">
      <alignment vertical="top"/>
    </xf>
    <xf numFmtId="0" fontId="61" fillId="6" borderId="6" xfId="0" applyFont="1" applyFill="1" applyBorder="1" applyProtection="1"/>
    <xf numFmtId="0" fontId="59" fillId="6" borderId="22" xfId="0" applyFont="1" applyFill="1" applyBorder="1" applyAlignment="1" applyProtection="1">
      <alignment vertical="center"/>
    </xf>
    <xf numFmtId="0" fontId="98" fillId="0" borderId="0" xfId="0" applyFont="1" applyAlignment="1" applyProtection="1">
      <alignment horizontal="left" indent="2"/>
    </xf>
    <xf numFmtId="0" fontId="66" fillId="0" borderId="6" xfId="0" applyFont="1" applyBorder="1" applyAlignment="1" applyProtection="1">
      <alignment vertical="center"/>
    </xf>
    <xf numFmtId="0" fontId="66" fillId="0" borderId="7" xfId="0" applyFont="1" applyBorder="1" applyAlignment="1" applyProtection="1">
      <alignment vertical="center"/>
    </xf>
    <xf numFmtId="0" fontId="66" fillId="0" borderId="6" xfId="0" applyFont="1" applyBorder="1" applyAlignment="1" applyProtection="1">
      <alignment horizontal="left" vertical="center" indent="1"/>
    </xf>
    <xf numFmtId="0" fontId="98" fillId="0" borderId="0" xfId="0" applyFont="1" applyAlignment="1" applyProtection="1">
      <alignment horizontal="left" vertical="top"/>
    </xf>
    <xf numFmtId="0" fontId="66" fillId="0" borderId="0" xfId="0" applyFont="1" applyAlignment="1" applyProtection="1">
      <alignment vertical="top"/>
    </xf>
    <xf numFmtId="0" fontId="61" fillId="0" borderId="0" xfId="0" applyFont="1" applyAlignment="1" applyProtection="1">
      <alignment vertical="top"/>
    </xf>
    <xf numFmtId="0" fontId="61" fillId="0" borderId="0" xfId="0" applyFont="1" applyBorder="1" applyAlignment="1" applyProtection="1">
      <alignment vertical="top"/>
    </xf>
    <xf numFmtId="0" fontId="68" fillId="6" borderId="46" xfId="0" applyFont="1" applyFill="1" applyBorder="1" applyAlignment="1" applyProtection="1">
      <alignment vertical="center"/>
    </xf>
    <xf numFmtId="0" fontId="83" fillId="0" borderId="50" xfId="0" applyFont="1" applyFill="1" applyBorder="1" applyAlignment="1" applyProtection="1">
      <alignment horizontal="left" indent="2"/>
    </xf>
    <xf numFmtId="0" fontId="61" fillId="0" borderId="9" xfId="0" applyFont="1" applyBorder="1" applyAlignment="1">
      <alignment horizontal="left" vertical="center"/>
    </xf>
    <xf numFmtId="0" fontId="61" fillId="0" borderId="9" xfId="0" applyFont="1" applyFill="1" applyBorder="1" applyAlignment="1" applyProtection="1">
      <alignment vertical="center"/>
    </xf>
    <xf numFmtId="0" fontId="58" fillId="0" borderId="9" xfId="0" applyFont="1" applyFill="1" applyBorder="1" applyAlignment="1" applyProtection="1">
      <alignment horizontal="left" vertical="center"/>
    </xf>
    <xf numFmtId="0" fontId="61" fillId="0" borderId="9" xfId="0" applyFont="1" applyFill="1" applyBorder="1" applyAlignment="1">
      <alignment horizontal="left" vertical="center"/>
    </xf>
    <xf numFmtId="0" fontId="68" fillId="0" borderId="50" xfId="0" applyFont="1" applyBorder="1" applyAlignment="1" applyProtection="1">
      <alignment horizontal="center" vertical="center" wrapText="1"/>
    </xf>
    <xf numFmtId="0" fontId="68" fillId="0" borderId="8" xfId="0" applyFont="1" applyBorder="1" applyAlignment="1" applyProtection="1">
      <alignment horizontal="center" vertical="center" wrapText="1"/>
    </xf>
    <xf numFmtId="0" fontId="58" fillId="0" borderId="8" xfId="0" applyFont="1" applyBorder="1" applyAlignment="1" applyProtection="1">
      <alignment horizontal="center" vertical="center" wrapText="1"/>
    </xf>
    <xf numFmtId="0" fontId="61" fillId="0" borderId="0" xfId="0" applyFont="1" applyAlignment="1" applyProtection="1">
      <alignment horizontal="center" vertical="center" wrapText="1"/>
    </xf>
    <xf numFmtId="38" fontId="59" fillId="0" borderId="44" xfId="0" applyNumberFormat="1" applyFont="1" applyFill="1" applyBorder="1" applyAlignment="1" applyProtection="1">
      <alignment horizontal="right" vertical="center"/>
      <protection locked="0"/>
    </xf>
    <xf numFmtId="0" fontId="68" fillId="6" borderId="44" xfId="0" applyFont="1" applyFill="1" applyBorder="1" applyAlignment="1" applyProtection="1">
      <alignment horizontal="center" vertical="center" wrapText="1"/>
    </xf>
    <xf numFmtId="38" fontId="68" fillId="6" borderId="44" xfId="0" quotePrefix="1" applyNumberFormat="1" applyFont="1" applyFill="1" applyBorder="1" applyAlignment="1" applyProtection="1">
      <alignment horizontal="center" vertical="center"/>
    </xf>
    <xf numFmtId="49" fontId="59" fillId="6" borderId="45" xfId="0" applyNumberFormat="1" applyFont="1" applyFill="1" applyBorder="1" applyAlignment="1" applyProtection="1">
      <alignment horizontal="right" vertical="center"/>
    </xf>
    <xf numFmtId="49" fontId="59" fillId="6" borderId="44" xfId="0" applyNumberFormat="1" applyFont="1" applyFill="1" applyBorder="1" applyAlignment="1" applyProtection="1">
      <alignment horizontal="right" vertical="center"/>
    </xf>
    <xf numFmtId="0" fontId="66" fillId="0" borderId="22" xfId="0" applyFont="1" applyBorder="1" applyAlignment="1" applyProtection="1">
      <alignment horizontal="center" vertical="center"/>
    </xf>
    <xf numFmtId="38" fontId="59" fillId="0" borderId="8" xfId="0" applyNumberFormat="1" applyFont="1" applyBorder="1" applyAlignment="1" applyProtection="1">
      <alignment horizontal="right" vertical="center"/>
      <protection locked="0"/>
    </xf>
    <xf numFmtId="49" fontId="59" fillId="3" borderId="8" xfId="0" applyNumberFormat="1" applyFont="1" applyFill="1" applyBorder="1" applyAlignment="1" applyProtection="1">
      <alignment horizontal="right" vertical="center"/>
    </xf>
    <xf numFmtId="38" fontId="68" fillId="6" borderId="44" xfId="0" applyNumberFormat="1" applyFont="1" applyFill="1" applyBorder="1" applyAlignment="1" applyProtection="1">
      <alignment horizontal="center" vertical="center"/>
    </xf>
    <xf numFmtId="38" fontId="59" fillId="0" borderId="22" xfId="0" applyNumberFormat="1" applyFont="1" applyBorder="1" applyAlignment="1" applyProtection="1">
      <alignment horizontal="right" vertical="center"/>
      <protection locked="0"/>
    </xf>
    <xf numFmtId="0" fontId="66" fillId="0" borderId="46" xfId="0" applyFont="1" applyBorder="1" applyAlignment="1" applyProtection="1">
      <alignment horizontal="left" vertical="center" wrapText="1" indent="1"/>
    </xf>
    <xf numFmtId="38" fontId="59" fillId="0" borderId="22" xfId="0" applyNumberFormat="1" applyFont="1" applyBorder="1" applyAlignment="1" applyProtection="1">
      <alignment horizontal="right"/>
      <protection locked="0"/>
    </xf>
    <xf numFmtId="38" fontId="59" fillId="0" borderId="22" xfId="0" applyNumberFormat="1" applyFont="1" applyFill="1" applyBorder="1" applyAlignment="1" applyProtection="1">
      <alignment horizontal="right"/>
      <protection locked="0"/>
    </xf>
    <xf numFmtId="0" fontId="66" fillId="0" borderId="46" xfId="0" applyFont="1" applyBorder="1" applyAlignment="1" applyProtection="1">
      <alignment horizontal="left" vertical="center" wrapText="1" indent="2"/>
    </xf>
    <xf numFmtId="49" fontId="68" fillId="6" borderId="44" xfId="0" applyNumberFormat="1" applyFont="1" applyFill="1" applyBorder="1" applyAlignment="1" applyProtection="1">
      <alignment horizontal="center" vertical="center"/>
    </xf>
    <xf numFmtId="38" fontId="59" fillId="6" borderId="43" xfId="0" applyNumberFormat="1" applyFont="1" applyFill="1" applyBorder="1" applyAlignment="1" applyProtection="1">
      <alignment horizontal="right" vertical="center"/>
    </xf>
    <xf numFmtId="0" fontId="61" fillId="6" borderId="8" xfId="0" applyFont="1" applyFill="1" applyBorder="1" applyAlignment="1" applyProtection="1">
      <alignment vertical="center"/>
    </xf>
    <xf numFmtId="0" fontId="61" fillId="0" borderId="0" xfId="0" applyFont="1" applyAlignment="1" applyProtection="1">
      <alignment horizontal="right" vertical="center" indent="1"/>
    </xf>
    <xf numFmtId="0" fontId="66" fillId="0" borderId="0" xfId="0" applyFont="1" applyAlignment="1" applyProtection="1">
      <alignment horizontal="right" vertical="center" indent="1"/>
    </xf>
    <xf numFmtId="0" fontId="66" fillId="0" borderId="0" xfId="0" applyFont="1" applyBorder="1" applyAlignment="1" applyProtection="1">
      <alignment horizontal="right" vertical="center" indent="1"/>
    </xf>
    <xf numFmtId="0" fontId="66" fillId="0" borderId="56" xfId="10" applyFont="1" applyFill="1" applyBorder="1" applyAlignment="1">
      <alignment vertical="center"/>
    </xf>
    <xf numFmtId="0" fontId="66" fillId="0" borderId="0" xfId="10" applyFont="1" applyAlignment="1">
      <alignment vertical="center"/>
    </xf>
    <xf numFmtId="0" fontId="66" fillId="0" borderId="56" xfId="10" applyFont="1" applyFill="1" applyBorder="1" applyAlignment="1">
      <alignment horizontal="centerContinuous" vertical="center"/>
    </xf>
    <xf numFmtId="0" fontId="100" fillId="0" borderId="0" xfId="10" applyFont="1" applyBorder="1" applyAlignment="1">
      <alignment vertical="top"/>
    </xf>
    <xf numFmtId="0" fontId="66" fillId="0" borderId="0" xfId="10" applyFont="1" applyBorder="1" applyAlignment="1">
      <alignment vertical="center"/>
    </xf>
    <xf numFmtId="0" fontId="66" fillId="0" borderId="0" xfId="10" applyFont="1" applyBorder="1" applyAlignment="1">
      <alignment horizontal="right" vertical="center"/>
    </xf>
    <xf numFmtId="0" fontId="72" fillId="0" borderId="0" xfId="10" applyFont="1" applyFill="1" applyAlignment="1">
      <alignment horizontal="left" vertical="center" indent="1"/>
    </xf>
    <xf numFmtId="0" fontId="72" fillId="0" borderId="0" xfId="10" applyFont="1" applyAlignment="1">
      <alignment horizontal="center" vertical="center"/>
    </xf>
    <xf numFmtId="0" fontId="66" fillId="0" borderId="0" xfId="10" applyFont="1" applyAlignment="1">
      <alignment horizontal="right" vertical="center"/>
    </xf>
    <xf numFmtId="0" fontId="72" fillId="0" borderId="0" xfId="10" applyFont="1" applyAlignment="1">
      <alignment vertical="center"/>
    </xf>
    <xf numFmtId="0" fontId="66" fillId="0" borderId="0" xfId="10" applyFont="1" applyFill="1" applyAlignment="1">
      <alignment vertical="center"/>
    </xf>
    <xf numFmtId="0" fontId="68" fillId="0" borderId="0" xfId="10" applyFont="1" applyFill="1" applyBorder="1" applyAlignment="1">
      <alignment horizontal="left"/>
    </xf>
    <xf numFmtId="0" fontId="66" fillId="0" borderId="0" xfId="10" applyFont="1" applyFill="1" applyBorder="1" applyAlignment="1">
      <alignment vertical="center"/>
    </xf>
    <xf numFmtId="0" fontId="66" fillId="0" borderId="0" xfId="10" applyFont="1" applyFill="1" applyBorder="1" applyAlignment="1">
      <alignment horizontal="right" vertical="center"/>
    </xf>
    <xf numFmtId="0" fontId="66" fillId="0" borderId="0" xfId="10" applyFont="1" applyFill="1" applyAlignment="1">
      <alignment horizontal="left" vertical="center"/>
    </xf>
    <xf numFmtId="49" fontId="66" fillId="0" borderId="0" xfId="10" applyNumberFormat="1" applyFont="1" applyFill="1" applyAlignment="1">
      <alignment horizontal="left" vertical="center"/>
    </xf>
    <xf numFmtId="0" fontId="66" fillId="0" borderId="0" xfId="10" applyFont="1" applyFill="1" applyAlignment="1">
      <alignment horizontal="right" vertical="center"/>
    </xf>
    <xf numFmtId="3" fontId="66" fillId="0" borderId="0" xfId="10" applyNumberFormat="1" applyFont="1" applyFill="1" applyAlignment="1">
      <alignment vertical="center"/>
    </xf>
    <xf numFmtId="3" fontId="66" fillId="0" borderId="0" xfId="10" applyNumberFormat="1" applyFont="1" applyFill="1" applyBorder="1" applyAlignment="1">
      <alignment vertical="center"/>
    </xf>
    <xf numFmtId="0" fontId="68" fillId="0" borderId="0" xfId="10" applyFont="1" applyFill="1" applyBorder="1" applyAlignment="1">
      <alignment horizontal="left" vertical="center"/>
    </xf>
    <xf numFmtId="0" fontId="66" fillId="0" borderId="0" xfId="10" applyFont="1" applyFill="1" applyAlignment="1">
      <alignment horizontal="center" vertical="center"/>
    </xf>
    <xf numFmtId="0" fontId="66" fillId="0" borderId="0" xfId="10" applyFont="1" applyFill="1" applyAlignment="1">
      <alignment vertical="center" wrapText="1"/>
    </xf>
    <xf numFmtId="0" fontId="66" fillId="0" borderId="0" xfId="10" applyFont="1" applyFill="1" applyAlignment="1">
      <alignment horizontal="center" vertical="top"/>
    </xf>
    <xf numFmtId="0" fontId="66" fillId="0" borderId="0" xfId="10" applyFont="1" applyFill="1" applyAlignment="1">
      <alignment vertical="top" wrapText="1"/>
    </xf>
    <xf numFmtId="0" fontId="66" fillId="0" borderId="0" xfId="10" applyFont="1" applyFill="1" applyBorder="1" applyAlignment="1">
      <alignment horizontal="right" vertical="top"/>
    </xf>
    <xf numFmtId="1" fontId="66" fillId="0" borderId="0" xfId="10" applyNumberFormat="1" applyFont="1" applyFill="1" applyAlignment="1">
      <alignment horizontal="center" vertical="center"/>
    </xf>
    <xf numFmtId="1" fontId="66" fillId="0" borderId="0" xfId="10" applyNumberFormat="1" applyFont="1" applyFill="1" applyAlignment="1">
      <alignment horizontal="left" vertical="center"/>
    </xf>
    <xf numFmtId="38" fontId="66" fillId="0" borderId="0" xfId="10" applyNumberFormat="1" applyFont="1" applyFill="1" applyAlignment="1">
      <alignment horizontal="right"/>
    </xf>
    <xf numFmtId="0" fontId="66" fillId="0" borderId="0" xfId="10" quotePrefix="1" applyFont="1" applyFill="1" applyAlignment="1">
      <alignment horizontal="left" vertical="center" wrapText="1"/>
    </xf>
    <xf numFmtId="167" fontId="66" fillId="0" borderId="0" xfId="10" applyNumberFormat="1" applyFont="1" applyFill="1" applyBorder="1" applyAlignment="1" applyProtection="1">
      <alignment horizontal="right" vertical="center"/>
    </xf>
    <xf numFmtId="0" fontId="66" fillId="0" borderId="0" xfId="10" applyFont="1" applyFill="1" applyAlignment="1">
      <alignment horizontal="left" vertical="center" wrapText="1"/>
    </xf>
    <xf numFmtId="49" fontId="66" fillId="0" borderId="0" xfId="10" applyNumberFormat="1" applyFont="1" applyFill="1" applyAlignment="1">
      <alignment horizontal="center" vertical="center"/>
    </xf>
    <xf numFmtId="3" fontId="66" fillId="0" borderId="0" xfId="10" quotePrefix="1" applyNumberFormat="1" applyFont="1" applyFill="1" applyAlignment="1">
      <alignment horizontal="left" vertical="center" wrapText="1"/>
    </xf>
    <xf numFmtId="3" fontId="66" fillId="0" borderId="0" xfId="10" applyNumberFormat="1" applyFont="1" applyFill="1" applyAlignment="1">
      <alignment vertical="center" wrapText="1"/>
    </xf>
    <xf numFmtId="0" fontId="66" fillId="0" borderId="0" xfId="10" applyNumberFormat="1" applyFont="1" applyFill="1" applyAlignment="1">
      <alignment horizontal="center" vertical="center"/>
    </xf>
    <xf numFmtId="3" fontId="66" fillId="0" borderId="0" xfId="10" applyNumberFormat="1" applyFont="1" applyFill="1" applyAlignment="1">
      <alignment horizontal="center" vertical="center" wrapText="1"/>
    </xf>
    <xf numFmtId="3" fontId="66" fillId="0" borderId="0" xfId="10" applyNumberFormat="1" applyFont="1" applyAlignment="1">
      <alignment vertical="center"/>
    </xf>
    <xf numFmtId="3" fontId="66" fillId="0" borderId="0" xfId="10" applyNumberFormat="1" applyFont="1" applyFill="1" applyAlignment="1">
      <alignment horizontal="left" vertical="center" wrapText="1"/>
    </xf>
    <xf numFmtId="0" fontId="66" fillId="0" borderId="0" xfId="10" applyFont="1" applyAlignment="1">
      <alignment horizontal="left" vertical="center"/>
    </xf>
    <xf numFmtId="0" fontId="66" fillId="0" borderId="0" xfId="10" applyFont="1" applyAlignment="1">
      <alignment horizontal="center" vertical="center"/>
    </xf>
    <xf numFmtId="0" fontId="66" fillId="0" borderId="0" xfId="10" applyFont="1" applyFill="1" applyAlignment="1">
      <alignment horizontal="left" vertical="top"/>
    </xf>
    <xf numFmtId="49" fontId="66" fillId="0" borderId="0" xfId="10" applyNumberFormat="1" applyFont="1" applyFill="1" applyAlignment="1">
      <alignment horizontal="center" vertical="top"/>
    </xf>
    <xf numFmtId="3" fontId="66" fillId="0" borderId="0" xfId="10" applyNumberFormat="1" applyFont="1" applyFill="1" applyAlignment="1">
      <alignment horizontal="left" vertical="top" wrapText="1"/>
    </xf>
    <xf numFmtId="40" fontId="66" fillId="0" borderId="9" xfId="10" applyNumberFormat="1" applyFont="1" applyFill="1" applyBorder="1" applyAlignment="1" applyProtection="1">
      <alignment horizontal="right"/>
      <protection locked="0"/>
    </xf>
    <xf numFmtId="0" fontId="66" fillId="0" borderId="0" xfId="10" applyFont="1" applyFill="1" applyBorder="1" applyAlignment="1">
      <alignment horizontal="left" vertical="center"/>
    </xf>
    <xf numFmtId="0" fontId="68" fillId="0" borderId="0" xfId="10" quotePrefix="1" applyFont="1" applyFill="1" applyAlignment="1">
      <alignment horizontal="left" vertical="center"/>
    </xf>
    <xf numFmtId="0" fontId="68" fillId="0" borderId="0" xfId="10" applyFont="1" applyFill="1" applyAlignment="1">
      <alignment horizontal="right" vertical="center"/>
    </xf>
    <xf numFmtId="4" fontId="68" fillId="0" borderId="0" xfId="10" applyNumberFormat="1" applyFont="1" applyFill="1" applyBorder="1" applyAlignment="1" applyProtection="1">
      <alignment vertical="center"/>
    </xf>
    <xf numFmtId="0" fontId="66" fillId="0" borderId="0" xfId="10" applyFont="1" applyFill="1" applyAlignment="1" applyProtection="1">
      <alignment horizontal="left" vertical="center"/>
    </xf>
    <xf numFmtId="0" fontId="68" fillId="0" borderId="0" xfId="11" applyFont="1" applyFill="1" applyBorder="1" applyAlignment="1">
      <alignment vertical="center"/>
    </xf>
    <xf numFmtId="0" fontId="66" fillId="0" borderId="0" xfId="11" applyFont="1" applyFill="1" applyBorder="1" applyAlignment="1">
      <alignment vertical="center"/>
    </xf>
    <xf numFmtId="0" fontId="66" fillId="0" borderId="0" xfId="11" applyFont="1" applyFill="1" applyBorder="1" applyAlignment="1">
      <alignment horizontal="right" vertical="center"/>
    </xf>
    <xf numFmtId="0" fontId="89" fillId="0" borderId="0" xfId="0" quotePrefix="1" applyFont="1" applyFill="1" applyBorder="1" applyAlignment="1">
      <alignment horizontal="left" vertical="center"/>
    </xf>
    <xf numFmtId="0" fontId="66" fillId="0" borderId="0" xfId="11" applyFont="1" applyFill="1" applyAlignment="1">
      <alignment horizontal="left" vertical="center"/>
    </xf>
    <xf numFmtId="49" fontId="66" fillId="0" borderId="0" xfId="11" applyNumberFormat="1" applyFont="1" applyFill="1" applyAlignment="1">
      <alignment horizontal="left" vertical="center"/>
    </xf>
    <xf numFmtId="0" fontId="66" fillId="0" borderId="0" xfId="11" applyFont="1" applyFill="1" applyAlignment="1">
      <alignment horizontal="center" vertical="center"/>
    </xf>
    <xf numFmtId="0" fontId="66" fillId="0" borderId="0" xfId="11" applyFont="1" applyFill="1" applyAlignment="1">
      <alignment vertical="center" wrapText="1"/>
    </xf>
    <xf numFmtId="0" fontId="66" fillId="0" borderId="0" xfId="11" applyFont="1" applyFill="1" applyAlignment="1">
      <alignment vertical="center"/>
    </xf>
    <xf numFmtId="0" fontId="66" fillId="0" borderId="0" xfId="11" applyNumberFormat="1" applyFont="1" applyFill="1" applyAlignment="1">
      <alignment horizontal="center" vertical="center"/>
    </xf>
    <xf numFmtId="3" fontId="66" fillId="0" borderId="0" xfId="11" applyNumberFormat="1" applyFont="1" applyFill="1" applyAlignment="1">
      <alignment vertical="center"/>
    </xf>
    <xf numFmtId="0" fontId="66" fillId="0" borderId="0" xfId="11" applyFont="1" applyFill="1" applyAlignment="1">
      <alignment horizontal="center" vertical="top"/>
    </xf>
    <xf numFmtId="3" fontId="66" fillId="0" borderId="0" xfId="11" applyNumberFormat="1" applyFont="1" applyFill="1" applyBorder="1" applyAlignment="1">
      <alignment vertical="center"/>
    </xf>
    <xf numFmtId="38" fontId="66" fillId="0" borderId="0" xfId="11" applyNumberFormat="1" applyFont="1" applyFill="1" applyAlignment="1">
      <alignment horizontal="left" vertical="center" wrapText="1"/>
    </xf>
    <xf numFmtId="0" fontId="66" fillId="0" borderId="0" xfId="11" applyFont="1" applyFill="1" applyAlignment="1">
      <alignment horizontal="left" vertical="center" wrapText="1"/>
    </xf>
    <xf numFmtId="0" fontId="66" fillId="0" borderId="0" xfId="11" quotePrefix="1" applyFont="1" applyFill="1" applyAlignment="1">
      <alignment horizontal="left" vertical="center" wrapText="1"/>
    </xf>
    <xf numFmtId="1" fontId="66" fillId="0" borderId="0" xfId="11" applyNumberFormat="1" applyFont="1" applyFill="1" applyAlignment="1">
      <alignment horizontal="center" vertical="center"/>
    </xf>
    <xf numFmtId="0" fontId="66" fillId="0" borderId="0" xfId="11" quotePrefix="1" applyFont="1" applyFill="1" applyAlignment="1">
      <alignment horizontal="left" vertical="center"/>
    </xf>
    <xf numFmtId="1" fontId="66" fillId="0" borderId="0" xfId="11" quotePrefix="1" applyNumberFormat="1" applyFont="1" applyFill="1" applyAlignment="1">
      <alignment horizontal="center" vertical="center"/>
    </xf>
    <xf numFmtId="0" fontId="66" fillId="0" borderId="0" xfId="11" applyFont="1" applyFill="1" applyAlignment="1">
      <alignment horizontal="left" vertical="top"/>
    </xf>
    <xf numFmtId="1" fontId="66" fillId="0" borderId="0" xfId="11" applyNumberFormat="1" applyFont="1" applyFill="1" applyAlignment="1">
      <alignment horizontal="center" vertical="top"/>
    </xf>
    <xf numFmtId="0" fontId="66" fillId="0" borderId="0" xfId="11" applyFont="1" applyFill="1" applyAlignment="1">
      <alignment vertical="top" wrapText="1"/>
    </xf>
    <xf numFmtId="0" fontId="66" fillId="0" borderId="0" xfId="11" applyFont="1" applyFill="1" applyBorder="1" applyAlignment="1">
      <alignment horizontal="right" vertical="top"/>
    </xf>
    <xf numFmtId="0" fontId="66" fillId="0" borderId="0" xfId="11" applyFont="1" applyAlignment="1">
      <alignment horizontal="left" vertical="center"/>
    </xf>
    <xf numFmtId="1" fontId="66" fillId="0" borderId="0" xfId="11" applyNumberFormat="1" applyFont="1" applyAlignment="1">
      <alignment horizontal="center" vertical="center"/>
    </xf>
    <xf numFmtId="0" fontId="66" fillId="0" borderId="0" xfId="11" applyFont="1" applyAlignment="1">
      <alignment vertical="center" wrapText="1"/>
    </xf>
    <xf numFmtId="0" fontId="66" fillId="0" borderId="0" xfId="11" applyFont="1" applyAlignment="1">
      <alignment vertical="center"/>
    </xf>
    <xf numFmtId="167" fontId="66" fillId="0" borderId="0" xfId="11" applyNumberFormat="1" applyFont="1" applyFill="1" applyBorder="1" applyAlignment="1" applyProtection="1">
      <alignment horizontal="right" vertical="center"/>
    </xf>
    <xf numFmtId="0" fontId="66" fillId="0" borderId="0" xfId="11" applyFont="1" applyAlignment="1">
      <alignment horizontal="center" vertical="center"/>
    </xf>
    <xf numFmtId="0" fontId="66" fillId="0" borderId="0" xfId="11" applyFont="1" applyAlignment="1">
      <alignment horizontal="left" vertical="center" wrapText="1"/>
    </xf>
    <xf numFmtId="49" fontId="66" fillId="4" borderId="0" xfId="11" applyNumberFormat="1" applyFont="1" applyFill="1" applyBorder="1" applyAlignment="1">
      <alignment horizontal="left" vertical="center"/>
    </xf>
    <xf numFmtId="49" fontId="66" fillId="4" borderId="0" xfId="11" applyNumberFormat="1" applyFont="1" applyFill="1" applyBorder="1" applyAlignment="1">
      <alignment horizontal="center" vertical="center"/>
    </xf>
    <xf numFmtId="0" fontId="66" fillId="4" borderId="0" xfId="11" applyNumberFormat="1" applyFont="1" applyFill="1" applyBorder="1" applyAlignment="1">
      <alignment vertical="center" wrapText="1"/>
    </xf>
    <xf numFmtId="49" fontId="66" fillId="4" borderId="0" xfId="11" applyNumberFormat="1" applyFont="1" applyFill="1" applyBorder="1" applyAlignment="1">
      <alignment horizontal="right" vertical="center"/>
    </xf>
    <xf numFmtId="49" fontId="66" fillId="0" borderId="0" xfId="11" applyNumberFormat="1" applyFont="1" applyFill="1" applyBorder="1" applyAlignment="1">
      <alignment horizontal="left" vertical="center"/>
    </xf>
    <xf numFmtId="49" fontId="66" fillId="0" borderId="0" xfId="11" applyNumberFormat="1" applyFont="1" applyFill="1" applyBorder="1" applyAlignment="1">
      <alignment horizontal="left" vertical="center" wrapText="1"/>
    </xf>
    <xf numFmtId="49" fontId="66" fillId="0" borderId="0" xfId="11" applyNumberFormat="1" applyFont="1" applyFill="1" applyBorder="1" applyAlignment="1">
      <alignment horizontal="center" vertical="center"/>
    </xf>
    <xf numFmtId="0" fontId="66" fillId="0" borderId="0" xfId="11" applyNumberFormat="1" applyFont="1" applyFill="1" applyBorder="1" applyAlignment="1">
      <alignment vertical="center" wrapText="1"/>
    </xf>
    <xf numFmtId="49" fontId="66" fillId="0" borderId="0" xfId="11" applyNumberFormat="1" applyFont="1" applyFill="1" applyBorder="1" applyAlignment="1">
      <alignment horizontal="right" vertical="center"/>
    </xf>
    <xf numFmtId="0" fontId="66" fillId="0" borderId="0" xfId="11" applyFont="1" applyBorder="1" applyAlignment="1">
      <alignment vertical="center"/>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1" applyFont="1" applyBorder="1" applyAlignment="1">
      <alignment horizontal="left" vertical="center"/>
    </xf>
    <xf numFmtId="0" fontId="66" fillId="0" borderId="0" xfId="11" quotePrefix="1" applyFont="1" applyAlignment="1">
      <alignment horizontal="left" vertical="top"/>
    </xf>
    <xf numFmtId="0" fontId="66" fillId="0" borderId="0" xfId="11" applyFont="1" applyAlignment="1">
      <alignment horizontal="right" vertical="center"/>
    </xf>
    <xf numFmtId="38" fontId="66" fillId="0" borderId="0" xfId="11" applyNumberFormat="1" applyFont="1" applyFill="1" applyAlignment="1">
      <alignment horizontal="right"/>
    </xf>
    <xf numFmtId="0" fontId="66" fillId="0" borderId="0" xfId="11" applyFont="1" applyAlignment="1" applyProtection="1">
      <alignment vertical="center"/>
    </xf>
    <xf numFmtId="0" fontId="58" fillId="6" borderId="12" xfId="0" applyFont="1" applyFill="1" applyBorder="1" applyAlignment="1">
      <alignment horizontal="left"/>
    </xf>
    <xf numFmtId="0" fontId="58" fillId="6" borderId="16" xfId="0" applyFont="1" applyFill="1" applyBorder="1"/>
    <xf numFmtId="0" fontId="61" fillId="6" borderId="16" xfId="0" applyFont="1" applyFill="1" applyBorder="1"/>
    <xf numFmtId="0" fontId="61" fillId="6" borderId="10" xfId="0" applyFont="1" applyFill="1" applyBorder="1"/>
    <xf numFmtId="0" fontId="58" fillId="6" borderId="0" xfId="0" applyFont="1" applyFill="1" applyBorder="1" applyAlignment="1"/>
    <xf numFmtId="0" fontId="58" fillId="6" borderId="0" xfId="0" applyFont="1" applyFill="1" applyBorder="1"/>
    <xf numFmtId="0" fontId="61" fillId="6" borderId="0" xfId="0" applyFont="1" applyFill="1" applyBorder="1"/>
    <xf numFmtId="0" fontId="61" fillId="6" borderId="18" xfId="0" applyFont="1" applyFill="1" applyBorder="1"/>
    <xf numFmtId="0" fontId="91" fillId="6" borderId="0" xfId="0" applyFont="1" applyFill="1" applyAlignment="1">
      <alignment horizontal="left"/>
    </xf>
    <xf numFmtId="0" fontId="61" fillId="6" borderId="0" xfId="0" applyFont="1" applyFill="1" applyAlignment="1"/>
    <xf numFmtId="0" fontId="61" fillId="6" borderId="0" xfId="0" applyFont="1" applyFill="1" applyBorder="1" applyAlignment="1">
      <alignment vertical="center"/>
    </xf>
    <xf numFmtId="0" fontId="61" fillId="6" borderId="0" xfId="0" applyFont="1" applyFill="1" applyBorder="1" applyAlignment="1">
      <alignment horizontal="left" vertical="center"/>
    </xf>
    <xf numFmtId="0" fontId="61" fillId="6" borderId="18" xfId="0" applyFont="1" applyFill="1" applyBorder="1" applyAlignment="1">
      <alignment horizontal="left" vertical="center"/>
    </xf>
    <xf numFmtId="0" fontId="58" fillId="6" borderId="12" xfId="0" applyFont="1" applyFill="1" applyBorder="1" applyAlignment="1" applyProtection="1">
      <alignment vertical="center"/>
    </xf>
    <xf numFmtId="0" fontId="68" fillId="6" borderId="16" xfId="0" applyFont="1" applyFill="1" applyBorder="1" applyAlignment="1" applyProtection="1">
      <alignment vertical="center"/>
    </xf>
    <xf numFmtId="0" fontId="61" fillId="6" borderId="16" xfId="0" applyFont="1" applyFill="1" applyBorder="1" applyAlignment="1" applyProtection="1">
      <alignment vertical="center"/>
    </xf>
    <xf numFmtId="0" fontId="61" fillId="0" borderId="17" xfId="0" applyFont="1" applyFill="1" applyBorder="1" applyAlignment="1" applyProtection="1">
      <alignment vertical="center"/>
    </xf>
    <xf numFmtId="0" fontId="61" fillId="0" borderId="18" xfId="0" applyFont="1" applyFill="1" applyBorder="1" applyAlignment="1" applyProtection="1">
      <alignment vertical="center"/>
    </xf>
    <xf numFmtId="0" fontId="66" fillId="0" borderId="13" xfId="0" applyFont="1" applyBorder="1" applyAlignment="1" applyProtection="1">
      <alignment horizontal="left" vertical="center" indent="1"/>
    </xf>
    <xf numFmtId="0" fontId="61" fillId="0" borderId="21" xfId="0" applyFont="1" applyBorder="1" applyAlignment="1" applyProtection="1">
      <alignment vertical="center"/>
    </xf>
    <xf numFmtId="0" fontId="66" fillId="0" borderId="14" xfId="0" applyFont="1" applyBorder="1" applyAlignment="1" applyProtection="1">
      <alignment horizontal="right" vertical="center"/>
    </xf>
    <xf numFmtId="38" fontId="59" fillId="0" borderId="13" xfId="0" applyNumberFormat="1" applyFont="1" applyBorder="1" applyAlignment="1" applyProtection="1">
      <alignment vertical="center"/>
      <protection locked="0"/>
    </xf>
    <xf numFmtId="0" fontId="66" fillId="0" borderId="17" xfId="0" applyFont="1" applyFill="1" applyBorder="1" applyAlignment="1" applyProtection="1">
      <alignment horizontal="center" vertical="center"/>
    </xf>
    <xf numFmtId="38" fontId="59" fillId="0" borderId="18" xfId="0" applyNumberFormat="1" applyFont="1" applyFill="1" applyBorder="1" applyAlignment="1" applyProtection="1">
      <alignment vertical="center"/>
    </xf>
    <xf numFmtId="0" fontId="77" fillId="0" borderId="21" xfId="0" applyFont="1" applyBorder="1" applyAlignment="1" applyProtection="1">
      <alignment vertical="center"/>
    </xf>
    <xf numFmtId="38" fontId="59" fillId="19" borderId="13" xfId="0" applyNumberFormat="1" applyFont="1" applyFill="1" applyBorder="1" applyAlignment="1" applyProtection="1">
      <protection locked="0"/>
    </xf>
    <xf numFmtId="38" fontId="59" fillId="0" borderId="18" xfId="0" applyNumberFormat="1" applyFont="1" applyFill="1" applyBorder="1" applyAlignment="1" applyProtection="1"/>
    <xf numFmtId="0" fontId="66" fillId="0" borderId="19" xfId="0" applyFont="1" applyFill="1" applyBorder="1" applyAlignment="1" applyProtection="1">
      <alignment horizontal="center" vertical="center"/>
    </xf>
    <xf numFmtId="38" fontId="59" fillId="0" borderId="11" xfId="0" applyNumberFormat="1" applyFont="1" applyFill="1" applyBorder="1" applyAlignment="1" applyProtection="1">
      <alignment vertical="center"/>
    </xf>
    <xf numFmtId="0" fontId="61" fillId="6" borderId="10" xfId="0" applyFont="1" applyFill="1" applyBorder="1" applyAlignment="1" applyProtection="1">
      <alignment vertical="center"/>
    </xf>
    <xf numFmtId="0" fontId="58" fillId="6" borderId="19" xfId="0" applyFont="1" applyFill="1" applyBorder="1" applyAlignment="1">
      <alignment vertical="center"/>
    </xf>
    <xf numFmtId="0" fontId="69" fillId="6" borderId="20" xfId="0" applyFont="1" applyFill="1" applyBorder="1" applyAlignment="1">
      <alignment horizontal="left" vertical="center" indent="1"/>
    </xf>
    <xf numFmtId="0" fontId="61" fillId="6" borderId="20" xfId="0" applyFont="1" applyFill="1" applyBorder="1" applyAlignment="1">
      <alignment horizontal="left" vertical="center"/>
    </xf>
    <xf numFmtId="0" fontId="61" fillId="0" borderId="17" xfId="0" applyFont="1" applyBorder="1"/>
    <xf numFmtId="0" fontId="59" fillId="0" borderId="0" xfId="0" applyNumberFormat="1" applyFont="1" applyFill="1" applyBorder="1" applyAlignment="1">
      <alignment horizontal="left" vertical="center"/>
    </xf>
    <xf numFmtId="0" fontId="59" fillId="0" borderId="17" xfId="0" applyFont="1" applyBorder="1"/>
    <xf numFmtId="0" fontId="66" fillId="0" borderId="17" xfId="0" applyFont="1" applyBorder="1"/>
    <xf numFmtId="0" fontId="68" fillId="0" borderId="0" xfId="0" applyFont="1" applyBorder="1" applyAlignment="1">
      <alignment horizontal="center"/>
    </xf>
    <xf numFmtId="0" fontId="68" fillId="0" borderId="13" xfId="0" applyFont="1" applyBorder="1" applyAlignment="1">
      <alignment horizontal="left"/>
    </xf>
    <xf numFmtId="0" fontId="68" fillId="0" borderId="14" xfId="0" applyFont="1" applyBorder="1" applyAlignment="1">
      <alignment horizontal="left" indent="1"/>
    </xf>
    <xf numFmtId="49" fontId="66" fillId="0" borderId="2" xfId="0" applyNumberFormat="1" applyFont="1" applyBorder="1" applyAlignment="1">
      <alignment horizontal="center"/>
    </xf>
    <xf numFmtId="0" fontId="66" fillId="0" borderId="2" xfId="0" applyFont="1" applyBorder="1" applyAlignment="1">
      <alignment horizontal="center"/>
    </xf>
    <xf numFmtId="0" fontId="66" fillId="0" borderId="13" xfId="0" applyFont="1" applyBorder="1" applyAlignment="1">
      <alignment horizontal="left" indent="1"/>
    </xf>
    <xf numFmtId="0" fontId="66" fillId="0" borderId="14" xfId="0" applyFont="1" applyBorder="1" applyAlignment="1">
      <alignment horizontal="left" indent="2"/>
    </xf>
    <xf numFmtId="0" fontId="68" fillId="0" borderId="14" xfId="0" applyFont="1" applyBorder="1" applyAlignment="1">
      <alignment horizontal="left" indent="2"/>
    </xf>
    <xf numFmtId="0" fontId="66" fillId="0" borderId="14" xfId="0" applyFont="1" applyBorder="1" applyAlignment="1">
      <alignment horizontal="left" indent="4"/>
    </xf>
    <xf numFmtId="0" fontId="68" fillId="7" borderId="13" xfId="0" applyFont="1" applyFill="1" applyBorder="1" applyAlignment="1">
      <alignment horizontal="left" indent="2"/>
    </xf>
    <xf numFmtId="0" fontId="68" fillId="7" borderId="14" xfId="0" applyFont="1" applyFill="1" applyBorder="1" applyAlignment="1">
      <alignment horizontal="left" indent="2"/>
    </xf>
    <xf numFmtId="0" fontId="66" fillId="7" borderId="2" xfId="0" applyFont="1" applyFill="1" applyBorder="1"/>
    <xf numFmtId="0" fontId="59" fillId="0" borderId="18" xfId="0" applyFont="1" applyBorder="1"/>
    <xf numFmtId="0" fontId="68" fillId="0" borderId="20" xfId="0" applyFont="1" applyBorder="1" applyAlignment="1">
      <alignment horizontal="centerContinuous"/>
    </xf>
    <xf numFmtId="0" fontId="59" fillId="0" borderId="11" xfId="0" applyFont="1" applyBorder="1" applyAlignment="1">
      <alignment horizontal="centerContinuous"/>
    </xf>
    <xf numFmtId="0" fontId="61" fillId="0" borderId="19" xfId="0" applyFont="1" applyBorder="1"/>
    <xf numFmtId="0" fontId="61" fillId="0" borderId="20" xfId="0" applyFont="1" applyBorder="1"/>
    <xf numFmtId="0" fontId="59" fillId="0" borderId="19" xfId="0" applyFont="1" applyBorder="1"/>
    <xf numFmtId="0" fontId="59" fillId="0" borderId="11" xfId="0" applyFont="1" applyBorder="1"/>
    <xf numFmtId="0" fontId="66" fillId="0" borderId="0" xfId="3" applyNumberFormat="1" applyFont="1" applyBorder="1" applyAlignment="1">
      <alignment vertical="center"/>
    </xf>
    <xf numFmtId="0" fontId="61" fillId="0" borderId="0" xfId="3" applyNumberFormat="1" applyFont="1" applyBorder="1" applyAlignment="1">
      <alignment vertical="center"/>
    </xf>
    <xf numFmtId="0" fontId="61" fillId="0" borderId="0" xfId="3" applyNumberFormat="1" applyFont="1" applyAlignment="1">
      <alignment vertical="center"/>
    </xf>
    <xf numFmtId="0" fontId="66" fillId="0" borderId="0" xfId="3" applyNumberFormat="1" applyFont="1" applyAlignment="1">
      <alignment vertical="center"/>
    </xf>
    <xf numFmtId="0" fontId="68" fillId="0" borderId="0" xfId="3" applyNumberFormat="1" applyFont="1" applyAlignment="1">
      <alignment horizontal="center" vertical="center"/>
    </xf>
    <xf numFmtId="0" fontId="68" fillId="0" borderId="0" xfId="3" applyNumberFormat="1" applyFont="1" applyBorder="1" applyAlignment="1">
      <alignment horizontal="left" vertical="center"/>
    </xf>
    <xf numFmtId="0" fontId="66" fillId="0" borderId="0" xfId="3" applyNumberFormat="1" applyFont="1" applyAlignment="1">
      <alignment horizontal="center" vertical="center"/>
    </xf>
    <xf numFmtId="0" fontId="66" fillId="0" borderId="17" xfId="3" applyNumberFormat="1" applyFont="1" applyBorder="1" applyAlignment="1">
      <alignment horizontal="center" vertical="center"/>
    </xf>
    <xf numFmtId="0" fontId="66" fillId="0" borderId="0" xfId="3" applyNumberFormat="1" applyFont="1" applyBorder="1" applyAlignment="1">
      <alignment horizontal="right" vertical="center" indent="1"/>
    </xf>
    <xf numFmtId="0" fontId="61" fillId="0" borderId="17" xfId="3" applyNumberFormat="1" applyFont="1" applyBorder="1" applyAlignment="1">
      <alignment vertical="center"/>
    </xf>
    <xf numFmtId="0" fontId="61" fillId="0" borderId="19" xfId="3" applyNumberFormat="1" applyFont="1" applyBorder="1" applyAlignment="1">
      <alignment vertical="center"/>
    </xf>
    <xf numFmtId="0" fontId="61" fillId="0" borderId="20" xfId="3" applyNumberFormat="1" applyFont="1" applyBorder="1" applyAlignment="1">
      <alignment vertical="center"/>
    </xf>
    <xf numFmtId="0" fontId="61" fillId="0" borderId="12" xfId="3" applyNumberFormat="1" applyFont="1" applyBorder="1" applyAlignment="1">
      <alignment vertical="center"/>
    </xf>
    <xf numFmtId="0" fontId="61" fillId="0" borderId="16" xfId="3" applyNumberFormat="1" applyFont="1" applyBorder="1" applyAlignment="1">
      <alignment vertical="center"/>
    </xf>
    <xf numFmtId="0" fontId="61" fillId="0" borderId="3" xfId="3" applyNumberFormat="1" applyFont="1" applyBorder="1" applyAlignment="1">
      <alignment vertical="center"/>
    </xf>
    <xf numFmtId="0" fontId="61" fillId="0" borderId="16" xfId="3" applyNumberFormat="1" applyFont="1" applyFill="1" applyBorder="1" applyAlignment="1">
      <alignment horizontal="centerContinuous" vertical="center"/>
    </xf>
    <xf numFmtId="0" fontId="61" fillId="0" borderId="10" xfId="3" applyNumberFormat="1" applyFont="1" applyFill="1" applyBorder="1" applyAlignment="1">
      <alignment horizontal="centerContinuous" vertical="center"/>
    </xf>
    <xf numFmtId="0" fontId="59" fillId="0" borderId="17" xfId="3" applyNumberFormat="1" applyFont="1" applyFill="1" applyBorder="1" applyAlignment="1">
      <alignment vertical="center"/>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8" fillId="0" borderId="10" xfId="3" applyNumberFormat="1" applyFont="1" applyBorder="1" applyAlignment="1">
      <alignment horizontal="center" vertical="center"/>
    </xf>
    <xf numFmtId="0" fontId="68" fillId="0" borderId="3"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59" fillId="0" borderId="0" xfId="3" applyNumberFormat="1" applyFont="1" applyAlignment="1">
      <alignment vertical="center"/>
    </xf>
    <xf numFmtId="0" fontId="68" fillId="0" borderId="4" xfId="3" applyNumberFormat="1" applyFont="1" applyBorder="1" applyAlignment="1">
      <alignment horizontal="center" vertical="center" wrapText="1"/>
    </xf>
    <xf numFmtId="0" fontId="68" fillId="0" borderId="4" xfId="3" applyNumberFormat="1" applyFont="1" applyBorder="1" applyAlignment="1">
      <alignment horizontal="center" vertical="center"/>
    </xf>
    <xf numFmtId="164" fontId="68" fillId="0" borderId="13" xfId="3" applyNumberFormat="1" applyFont="1" applyBorder="1" applyAlignment="1">
      <alignment horizontal="right" vertical="center"/>
    </xf>
    <xf numFmtId="0" fontId="66" fillId="0" borderId="21" xfId="3" applyNumberFormat="1" applyFont="1" applyBorder="1" applyAlignment="1">
      <alignment horizontal="left" vertical="center"/>
    </xf>
    <xf numFmtId="0" fontId="61" fillId="0" borderId="14" xfId="3" applyNumberFormat="1" applyFont="1" applyBorder="1" applyAlignment="1">
      <alignment horizontal="left" vertical="center"/>
    </xf>
    <xf numFmtId="0" fontId="66" fillId="0" borderId="2" xfId="3" applyNumberFormat="1" applyFont="1" applyBorder="1" applyAlignment="1">
      <alignment horizontal="left" vertical="center" indent="1"/>
    </xf>
    <xf numFmtId="0" fontId="59" fillId="15" borderId="2" xfId="3" applyNumberFormat="1" applyFont="1" applyFill="1" applyBorder="1" applyAlignment="1">
      <alignment vertical="center"/>
    </xf>
    <xf numFmtId="38" fontId="59" fillId="0" borderId="2" xfId="3" applyNumberFormat="1" applyFont="1" applyBorder="1" applyAlignment="1" applyProtection="1">
      <alignment vertical="center"/>
      <protection locked="0"/>
    </xf>
    <xf numFmtId="0" fontId="66" fillId="0" borderId="2" xfId="3" applyNumberFormat="1" applyFont="1" applyBorder="1" applyAlignment="1">
      <alignment horizontal="left" vertical="top" indent="1"/>
    </xf>
    <xf numFmtId="164" fontId="68" fillId="0" borderId="13" xfId="3" applyNumberFormat="1" applyFont="1" applyBorder="1" applyAlignment="1">
      <alignment vertical="top"/>
    </xf>
    <xf numFmtId="38" fontId="59" fillId="0" borderId="2" xfId="3" applyNumberFormat="1" applyFont="1" applyFill="1" applyBorder="1" applyAlignment="1" applyProtection="1">
      <alignment vertical="center"/>
      <protection locked="0"/>
    </xf>
    <xf numFmtId="0" fontId="68" fillId="0" borderId="21" xfId="3" applyNumberFormat="1" applyFont="1" applyBorder="1" applyAlignment="1">
      <alignment horizontal="left" vertical="center"/>
    </xf>
    <xf numFmtId="0" fontId="66" fillId="0" borderId="14" xfId="3" applyNumberFormat="1" applyFont="1" applyBorder="1" applyAlignment="1">
      <alignment horizontal="center" vertical="center"/>
    </xf>
    <xf numFmtId="0" fontId="59" fillId="15" borderId="4" xfId="3" applyNumberFormat="1" applyFont="1" applyFill="1" applyBorder="1" applyAlignment="1">
      <alignment vertical="center"/>
    </xf>
    <xf numFmtId="0" fontId="61" fillId="0" borderId="0" xfId="3" applyNumberFormat="1" applyFont="1" applyAlignment="1">
      <alignment horizontal="right" vertical="center"/>
    </xf>
    <xf numFmtId="0" fontId="69" fillId="0" borderId="0" xfId="3" applyNumberFormat="1" applyFont="1" applyAlignment="1">
      <alignment vertical="center"/>
    </xf>
    <xf numFmtId="0" fontId="77" fillId="0" borderId="0" xfId="3" applyNumberFormat="1" applyFont="1" applyAlignment="1">
      <alignment vertical="center"/>
    </xf>
    <xf numFmtId="171" fontId="61" fillId="0" borderId="0" xfId="3" applyNumberFormat="1" applyFont="1" applyBorder="1" applyAlignment="1" applyProtection="1">
      <alignment horizontal="center"/>
    </xf>
    <xf numFmtId="0" fontId="77" fillId="0" borderId="130" xfId="3" applyNumberFormat="1" applyFont="1" applyBorder="1" applyAlignment="1">
      <alignment horizontal="center" vertical="center"/>
    </xf>
    <xf numFmtId="0" fontId="61" fillId="0" borderId="130" xfId="3" applyNumberFormat="1" applyFont="1" applyBorder="1" applyAlignment="1">
      <alignment vertical="center"/>
    </xf>
    <xf numFmtId="0" fontId="77" fillId="0" borderId="0" xfId="3" applyNumberFormat="1" applyFont="1" applyBorder="1" applyAlignment="1">
      <alignment vertical="center" wrapText="1"/>
    </xf>
    <xf numFmtId="0" fontId="61" fillId="0" borderId="0" xfId="3" applyNumberFormat="1" applyFont="1" applyBorder="1" applyAlignment="1">
      <alignment wrapText="1"/>
    </xf>
    <xf numFmtId="0" fontId="77" fillId="0" borderId="130" xfId="3" applyNumberFormat="1" applyFont="1" applyBorder="1" applyAlignment="1">
      <alignment horizontal="center"/>
    </xf>
    <xf numFmtId="0" fontId="77" fillId="0" borderId="0" xfId="3" applyNumberFormat="1" applyFont="1" applyBorder="1" applyAlignment="1"/>
    <xf numFmtId="0" fontId="68" fillId="0" borderId="0" xfId="3" applyNumberFormat="1" applyFont="1" applyAlignment="1">
      <alignment horizontal="right"/>
    </xf>
    <xf numFmtId="0" fontId="59" fillId="0" borderId="0" xfId="3" applyNumberFormat="1" applyFont="1" applyBorder="1" applyAlignment="1">
      <alignment horizontal="center" wrapText="1"/>
    </xf>
    <xf numFmtId="0" fontId="77" fillId="0" borderId="0" xfId="3" applyFont="1" applyBorder="1" applyAlignment="1">
      <alignment horizontal="center" vertical="center" wrapText="1"/>
    </xf>
    <xf numFmtId="0" fontId="83" fillId="0" borderId="0" xfId="3" applyNumberFormat="1" applyFont="1" applyAlignment="1">
      <alignment vertical="center"/>
    </xf>
    <xf numFmtId="0" fontId="69" fillId="0" borderId="22" xfId="3" applyNumberFormat="1" applyFont="1" applyBorder="1" applyAlignment="1" applyProtection="1">
      <alignment horizontal="center" vertical="center"/>
      <protection locked="0"/>
    </xf>
    <xf numFmtId="0" fontId="66" fillId="0" borderId="0" xfId="3" applyNumberFormat="1" applyFont="1" applyAlignment="1">
      <alignment horizontal="left" vertical="center" indent="2"/>
    </xf>
    <xf numFmtId="0" fontId="61" fillId="0" borderId="0" xfId="3" applyFont="1" applyAlignment="1">
      <alignment horizontal="left" wrapText="1" indent="2"/>
    </xf>
    <xf numFmtId="0" fontId="59" fillId="0" borderId="0" xfId="3" applyNumberFormat="1" applyFont="1" applyBorder="1" applyAlignment="1">
      <alignment vertical="center"/>
    </xf>
    <xf numFmtId="0" fontId="87" fillId="0" borderId="0" xfId="3" applyNumberFormat="1" applyFont="1" applyBorder="1" applyAlignment="1">
      <alignment horizontal="centerContinuous" vertical="center"/>
    </xf>
    <xf numFmtId="0" fontId="60" fillId="0" borderId="0" xfId="2" applyNumberFormat="1" applyFont="1" applyBorder="1" applyAlignment="1" applyProtection="1">
      <alignment horizontal="centerContinuous" vertical="center"/>
    </xf>
    <xf numFmtId="0" fontId="61" fillId="0" borderId="0" xfId="3" applyFont="1" applyAlignment="1">
      <alignment vertical="top" wrapText="1"/>
    </xf>
    <xf numFmtId="164" fontId="66" fillId="0" borderId="0" xfId="0" applyNumberFormat="1" applyFont="1"/>
    <xf numFmtId="164" fontId="61" fillId="0" borderId="0" xfId="0" applyNumberFormat="1" applyFont="1"/>
    <xf numFmtId="166" fontId="66" fillId="0" borderId="0" xfId="0" applyNumberFormat="1" applyFont="1" applyAlignment="1">
      <alignment horizontal="left"/>
    </xf>
    <xf numFmtId="0" fontId="61" fillId="0" borderId="0" xfId="0" applyFont="1" applyAlignment="1">
      <alignment vertical="top"/>
    </xf>
    <xf numFmtId="0" fontId="105" fillId="0" borderId="0" xfId="0" applyFont="1"/>
    <xf numFmtId="0" fontId="59" fillId="0" borderId="0" xfId="0" applyFont="1" applyAlignment="1">
      <alignment vertical="top" wrapText="1"/>
    </xf>
    <xf numFmtId="0" fontId="61" fillId="0" borderId="0" xfId="3" applyFont="1" applyAlignment="1">
      <alignment wrapText="1"/>
    </xf>
    <xf numFmtId="0" fontId="61" fillId="0" borderId="0" xfId="3" applyFont="1" applyAlignment="1">
      <alignment vertical="center"/>
    </xf>
    <xf numFmtId="0" fontId="68" fillId="0" borderId="46" xfId="3" applyFont="1" applyFill="1" applyBorder="1" applyAlignment="1">
      <alignment horizontal="center" vertical="center"/>
    </xf>
    <xf numFmtId="0" fontId="68" fillId="0" borderId="22" xfId="3" applyFont="1" applyBorder="1" applyAlignment="1">
      <alignment horizontal="center" vertical="center" wrapText="1"/>
    </xf>
    <xf numFmtId="0" fontId="58" fillId="0" borderId="22" xfId="3" applyFont="1" applyBorder="1" applyAlignment="1">
      <alignment horizontal="left" vertical="center" wrapText="1" indent="1"/>
    </xf>
    <xf numFmtId="0" fontId="61" fillId="0" borderId="0" xfId="3" applyFont="1" applyAlignment="1">
      <alignment horizontal="left" vertical="center"/>
    </xf>
    <xf numFmtId="0" fontId="68" fillId="0" borderId="45" xfId="3" applyFont="1" applyBorder="1" applyAlignment="1">
      <alignment horizontal="left" vertical="center" wrapText="1" indent="2"/>
    </xf>
    <xf numFmtId="0" fontId="68" fillId="0" borderId="22" xfId="3" applyFont="1" applyBorder="1" applyAlignment="1">
      <alignment horizontal="left" vertical="center" wrapText="1" indent="1"/>
    </xf>
    <xf numFmtId="0" fontId="58" fillId="0" borderId="0" xfId="3" applyFont="1" applyFill="1" applyBorder="1" applyAlignment="1">
      <alignment wrapText="1"/>
    </xf>
    <xf numFmtId="38" fontId="69" fillId="0" borderId="0" xfId="3" applyNumberFormat="1" applyFont="1" applyFill="1" applyBorder="1"/>
    <xf numFmtId="0" fontId="66" fillId="0" borderId="0" xfId="3" applyNumberFormat="1" applyFont="1" applyBorder="1" applyAlignment="1">
      <alignment horizontal="left" vertical="center" wrapText="1"/>
    </xf>
    <xf numFmtId="0" fontId="61" fillId="0" borderId="0" xfId="3" applyFont="1" applyBorder="1" applyAlignment="1">
      <alignment horizontal="left" vertical="center" wrapText="1"/>
    </xf>
    <xf numFmtId="0" fontId="61" fillId="0" borderId="0" xfId="3" applyFont="1" applyAlignment="1">
      <alignment horizontal="left"/>
    </xf>
    <xf numFmtId="0" fontId="61" fillId="0" borderId="0" xfId="3" applyFont="1" applyAlignment="1"/>
    <xf numFmtId="49" fontId="108" fillId="0" borderId="0" xfId="0" applyNumberFormat="1" applyFont="1" applyFill="1" applyBorder="1" applyAlignment="1">
      <alignment horizontal="centerContinuous" vertical="top"/>
    </xf>
    <xf numFmtId="0" fontId="59" fillId="0" borderId="0" xfId="0" applyFont="1" applyAlignment="1">
      <alignment horizontal="centerContinuous" vertical="top"/>
    </xf>
    <xf numFmtId="0" fontId="59" fillId="0" borderId="0" xfId="0" applyFont="1" applyAlignment="1">
      <alignment horizontal="centerContinuous" vertical="top" wrapText="1"/>
    </xf>
    <xf numFmtId="0" fontId="68" fillId="0" borderId="0" xfId="0" applyFont="1" applyBorder="1" applyAlignment="1">
      <alignment horizontal="centerContinuous" vertical="top"/>
    </xf>
    <xf numFmtId="0" fontId="59" fillId="0" borderId="0" xfId="0" applyFont="1" applyAlignment="1"/>
    <xf numFmtId="164" fontId="110" fillId="0" borderId="21" xfId="0" applyNumberFormat="1" applyFont="1" applyBorder="1" applyAlignment="1">
      <alignment vertical="top"/>
    </xf>
    <xf numFmtId="0" fontId="59" fillId="0" borderId="21" xfId="0" applyFont="1" applyBorder="1" applyAlignment="1">
      <alignment vertical="top"/>
    </xf>
    <xf numFmtId="0" fontId="66" fillId="0" borderId="14" xfId="0" applyFont="1" applyBorder="1"/>
    <xf numFmtId="0" fontId="59" fillId="0" borderId="21" xfId="0" applyFont="1" applyBorder="1" applyAlignment="1">
      <alignment vertical="top" wrapText="1"/>
    </xf>
    <xf numFmtId="0" fontId="61" fillId="0" borderId="14" xfId="0" applyFont="1" applyBorder="1" applyAlignment="1">
      <alignment wrapText="1"/>
    </xf>
    <xf numFmtId="0" fontId="59"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9" fillId="0" borderId="21" xfId="0" applyFont="1" applyBorder="1" applyAlignment="1">
      <alignment horizontal="left" vertical="top"/>
    </xf>
    <xf numFmtId="0" fontId="59" fillId="0" borderId="21" xfId="0" applyFont="1" applyBorder="1" applyAlignment="1">
      <alignment horizontal="left" vertical="top" indent="1"/>
    </xf>
    <xf numFmtId="0" fontId="89" fillId="0" borderId="2" xfId="0" applyFont="1" applyBorder="1" applyAlignment="1">
      <alignment vertical="top" wrapText="1"/>
    </xf>
    <xf numFmtId="0" fontId="59" fillId="0" borderId="14" xfId="0" applyFont="1" applyBorder="1" applyAlignment="1">
      <alignment horizontal="left" vertical="top" indent="1"/>
    </xf>
    <xf numFmtId="0" fontId="89"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9"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66" fillId="0" borderId="14" xfId="0" applyFont="1" applyBorder="1" applyAlignment="1">
      <alignment vertical="top" wrapText="1"/>
    </xf>
    <xf numFmtId="0" fontId="112" fillId="0" borderId="21" xfId="0" applyNumberFormat="1" applyFont="1" applyBorder="1" applyAlignment="1">
      <alignment horizontal="left" vertical="center"/>
    </xf>
    <xf numFmtId="0" fontId="89" fillId="0" borderId="2" xfId="0" applyNumberFormat="1" applyFont="1" applyBorder="1" applyAlignment="1" applyProtection="1">
      <alignment horizontal="left" vertical="center" wrapText="1"/>
    </xf>
    <xf numFmtId="0" fontId="59" fillId="0" borderId="14" xfId="0" applyFont="1" applyBorder="1" applyAlignment="1">
      <alignment horizontal="left" vertical="top" wrapText="1"/>
    </xf>
    <xf numFmtId="0" fontId="73" fillId="0" borderId="17" xfId="0" applyFont="1" applyBorder="1" applyAlignment="1"/>
    <xf numFmtId="0" fontId="110" fillId="0" borderId="21" xfId="0" applyFont="1" applyBorder="1" applyAlignment="1">
      <alignment vertical="top"/>
    </xf>
    <xf numFmtId="0" fontId="89" fillId="0" borderId="14" xfId="0" applyFont="1" applyBorder="1" applyAlignment="1">
      <alignment vertical="top" wrapText="1"/>
    </xf>
    <xf numFmtId="0" fontId="73" fillId="0" borderId="0" xfId="0" applyFont="1" applyAlignment="1"/>
    <xf numFmtId="0" fontId="73" fillId="0" borderId="13" xfId="0" applyFont="1" applyBorder="1" applyAlignment="1"/>
    <xf numFmtId="0" fontId="59" fillId="0" borderId="21" xfId="0" applyFont="1" applyBorder="1" applyAlignment="1">
      <alignment horizontal="left" vertical="top" wrapText="1" indent="1"/>
    </xf>
    <xf numFmtId="0" fontId="59"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9" fillId="0" borderId="21" xfId="0" applyNumberFormat="1" applyFont="1" applyBorder="1" applyAlignment="1">
      <alignment horizontal="left" vertical="center" wrapText="1" indent="1"/>
    </xf>
    <xf numFmtId="0" fontId="89" fillId="0" borderId="2" xfId="0" applyFont="1" applyBorder="1" applyAlignment="1"/>
    <xf numFmtId="0" fontId="89" fillId="0" borderId="2" xfId="0" applyFont="1" applyBorder="1" applyAlignment="1">
      <alignment horizontal="left" vertical="top"/>
    </xf>
    <xf numFmtId="0" fontId="66" fillId="0" borderId="2" xfId="0" applyFont="1" applyBorder="1" applyAlignment="1">
      <alignment horizontal="left" vertical="top" wrapText="1"/>
    </xf>
    <xf numFmtId="0" fontId="89"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66"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9" fillId="0" borderId="2" xfId="0" applyFont="1" applyBorder="1" applyAlignment="1">
      <alignment horizontal="left"/>
    </xf>
    <xf numFmtId="0" fontId="89" fillId="0" borderId="2" xfId="0" applyFont="1" applyBorder="1"/>
    <xf numFmtId="0" fontId="59" fillId="0" borderId="0" xfId="0" applyFont="1" applyAlignment="1">
      <alignment horizontal="left" vertical="top"/>
    </xf>
    <xf numFmtId="0" fontId="59" fillId="0" borderId="21" xfId="0" applyFont="1" applyBorder="1" applyAlignment="1"/>
    <xf numFmtId="164" fontId="110" fillId="0" borderId="21" xfId="0" applyNumberFormat="1" applyFont="1" applyBorder="1" applyAlignment="1">
      <alignment vertical="center"/>
    </xf>
    <xf numFmtId="0" fontId="59" fillId="0" borderId="21" xfId="0" applyFont="1" applyBorder="1" applyAlignment="1">
      <alignment vertical="center"/>
    </xf>
    <xf numFmtId="0" fontId="66" fillId="0" borderId="146" xfId="0" applyFont="1" applyBorder="1"/>
    <xf numFmtId="0" fontId="59" fillId="0" borderId="13" xfId="0" applyFont="1" applyBorder="1"/>
    <xf numFmtId="0" fontId="59" fillId="0" borderId="122" xfId="0" applyFont="1" applyBorder="1" applyAlignment="1">
      <alignment horizontal="left" vertical="top"/>
    </xf>
    <xf numFmtId="164" fontId="110" fillId="0" borderId="125" xfId="0" applyNumberFormat="1" applyFont="1" applyBorder="1" applyAlignment="1">
      <alignment horizontal="right" vertical="top"/>
    </xf>
    <xf numFmtId="0" fontId="59" fillId="0" borderId="125" xfId="0" applyNumberFormat="1" applyFont="1" applyBorder="1" applyAlignment="1">
      <alignment horizontal="left" vertical="center" wrapText="1" indent="1"/>
    </xf>
    <xf numFmtId="0" fontId="89" fillId="0" borderId="124" xfId="0" applyFont="1" applyBorder="1" applyAlignment="1">
      <alignment horizontal="left" vertical="center" wrapText="1"/>
    </xf>
    <xf numFmtId="0" fontId="59" fillId="0" borderId="125" xfId="0" applyFont="1" applyBorder="1" applyAlignment="1">
      <alignment horizontal="left" vertical="top"/>
    </xf>
    <xf numFmtId="0" fontId="59" fillId="0" borderId="0" xfId="0" applyFont="1" applyBorder="1" applyAlignment="1">
      <alignment vertical="top"/>
    </xf>
    <xf numFmtId="0" fontId="112" fillId="0" borderId="125" xfId="0" applyNumberFormat="1" applyFont="1" applyBorder="1" applyAlignment="1">
      <alignment horizontal="left" vertical="center"/>
    </xf>
    <xf numFmtId="0" fontId="110" fillId="0" borderId="125" xfId="0" applyFont="1" applyBorder="1" applyAlignment="1">
      <alignment vertical="top"/>
    </xf>
    <xf numFmtId="0" fontId="110" fillId="0" borderId="125" xfId="0" applyFont="1" applyBorder="1" applyAlignment="1">
      <alignment horizontal="left" vertical="top"/>
    </xf>
    <xf numFmtId="0" fontId="59" fillId="0" borderId="122" xfId="0" applyFont="1" applyBorder="1" applyAlignment="1"/>
    <xf numFmtId="164" fontId="110" fillId="0" borderId="125" xfId="0" applyNumberFormat="1" applyFont="1" applyBorder="1" applyAlignment="1"/>
    <xf numFmtId="0" fontId="59" fillId="0" borderId="125" xfId="0" applyFont="1" applyBorder="1" applyAlignment="1"/>
    <xf numFmtId="0" fontId="66" fillId="0" borderId="123" xfId="0" applyFont="1" applyBorder="1" applyAlignment="1"/>
    <xf numFmtId="0" fontId="87" fillId="0" borderId="12" xfId="0" applyFont="1" applyBorder="1" applyAlignment="1">
      <alignment horizontal="left"/>
    </xf>
    <xf numFmtId="0" fontId="64" fillId="0" borderId="16" xfId="0" applyFont="1" applyBorder="1" applyAlignment="1">
      <alignment horizontal="left" vertical="center" indent="1"/>
    </xf>
    <xf numFmtId="0" fontId="63" fillId="0" borderId="16" xfId="0" applyFont="1" applyBorder="1" applyAlignment="1">
      <alignment horizontal="left" vertical="center"/>
    </xf>
    <xf numFmtId="0" fontId="72" fillId="0" borderId="10" xfId="0" applyFont="1" applyBorder="1" applyAlignment="1">
      <alignment horizontal="left" vertical="center"/>
    </xf>
    <xf numFmtId="49" fontId="87" fillId="0" borderId="12" xfId="0" applyNumberFormat="1" applyFont="1" applyFill="1" applyBorder="1" applyAlignment="1">
      <alignment horizontal="left" vertical="center"/>
    </xf>
    <xf numFmtId="49" fontId="59" fillId="0" borderId="16" xfId="0" applyNumberFormat="1" applyFont="1" applyFill="1" applyBorder="1" applyAlignment="1">
      <alignment horizontal="left" vertical="center"/>
    </xf>
    <xf numFmtId="0" fontId="59" fillId="0" borderId="16" xfId="0" applyFont="1" applyFill="1" applyBorder="1" applyAlignment="1" applyProtection="1">
      <alignment horizontal="left" vertical="center"/>
    </xf>
    <xf numFmtId="0" fontId="66" fillId="0" borderId="148" xfId="0" applyFont="1" applyFill="1" applyBorder="1" applyAlignment="1" applyProtection="1">
      <alignment horizontal="left" vertical="center"/>
      <protection locked="0"/>
    </xf>
    <xf numFmtId="49" fontId="87" fillId="0" borderId="17" xfId="0" applyNumberFormat="1" applyFont="1" applyFill="1" applyBorder="1" applyAlignment="1">
      <alignment horizontal="left" vertical="center"/>
    </xf>
    <xf numFmtId="49" fontId="59" fillId="0" borderId="0" xfId="0" applyNumberFormat="1" applyFont="1" applyFill="1" applyBorder="1" applyAlignment="1">
      <alignment horizontal="left" vertical="center"/>
    </xf>
    <xf numFmtId="0" fontId="59" fillId="0" borderId="0" xfId="0" applyFont="1" applyFill="1" applyBorder="1" applyAlignment="1">
      <alignment horizontal="left" vertical="center"/>
    </xf>
    <xf numFmtId="0" fontId="66" fillId="0" borderId="63" xfId="0" applyFont="1" applyFill="1" applyBorder="1" applyAlignment="1">
      <alignment horizontal="left" vertical="center"/>
    </xf>
    <xf numFmtId="0" fontId="59" fillId="0" borderId="55" xfId="0" applyFont="1" applyFill="1" applyBorder="1" applyAlignment="1">
      <alignment horizontal="left" vertical="center"/>
    </xf>
    <xf numFmtId="0" fontId="59" fillId="0" borderId="24" xfId="0" applyFont="1" applyFill="1" applyBorder="1" applyAlignment="1">
      <alignment horizontal="left" vertical="center"/>
    </xf>
    <xf numFmtId="0" fontId="59" fillId="0" borderId="24" xfId="0" applyFont="1" applyFill="1" applyBorder="1" applyAlignment="1">
      <alignment horizontal="left" vertical="center" indent="2"/>
    </xf>
    <xf numFmtId="0" fontId="68" fillId="0" borderId="64" xfId="0" applyFont="1" applyFill="1" applyBorder="1" applyAlignment="1">
      <alignment horizontal="left" vertical="center"/>
    </xf>
    <xf numFmtId="0" fontId="58" fillId="0" borderId="122" xfId="0" applyFont="1" applyFill="1" applyBorder="1" applyAlignment="1"/>
    <xf numFmtId="0" fontId="58" fillId="0" borderId="125" xfId="0" applyFont="1" applyFill="1" applyBorder="1" applyAlignment="1">
      <alignment horizontal="left" vertical="top"/>
    </xf>
    <xf numFmtId="0" fontId="58" fillId="0" borderId="123" xfId="0" applyFont="1" applyFill="1" applyBorder="1" applyAlignment="1">
      <alignment horizontal="left"/>
    </xf>
    <xf numFmtId="0" fontId="58" fillId="0" borderId="0" xfId="0" applyFont="1" applyAlignment="1"/>
    <xf numFmtId="0" fontId="59" fillId="0" borderId="0" xfId="0" applyFont="1" applyAlignment="1">
      <alignment horizontal="left"/>
    </xf>
    <xf numFmtId="0" fontId="58" fillId="0" borderId="123" xfId="0" applyFont="1" applyFill="1" applyBorder="1" applyAlignment="1">
      <alignment horizontal="center" vertical="center"/>
    </xf>
    <xf numFmtId="0" fontId="113" fillId="0" borderId="21" xfId="0" applyFont="1" applyBorder="1" applyAlignment="1">
      <alignment horizontal="left" vertical="top" wrapText="1"/>
    </xf>
    <xf numFmtId="0" fontId="61" fillId="0" borderId="0" xfId="3" applyNumberFormat="1" applyFont="1" applyAlignment="1" applyProtection="1">
      <alignment horizontal="centerContinuous"/>
    </xf>
    <xf numFmtId="0" fontId="61" fillId="0" borderId="0" xfId="3" applyNumberFormat="1" applyFont="1" applyBorder="1" applyAlignment="1" applyProtection="1">
      <alignment horizontal="center"/>
    </xf>
    <xf numFmtId="0" fontId="69" fillId="0" borderId="0" xfId="3" applyNumberFormat="1" applyFont="1" applyAlignment="1" applyProtection="1">
      <alignment horizontal="centerContinuous"/>
    </xf>
    <xf numFmtId="0" fontId="68" fillId="0" borderId="0" xfId="3" applyNumberFormat="1" applyFont="1" applyAlignment="1" applyProtection="1">
      <alignment horizontal="right" vertical="center" textRotation="180"/>
    </xf>
    <xf numFmtId="0" fontId="68" fillId="0" borderId="0" xfId="3" applyNumberFormat="1" applyFont="1" applyAlignment="1" applyProtection="1">
      <alignment vertical="center" textRotation="180"/>
    </xf>
    <xf numFmtId="0" fontId="61" fillId="0" borderId="0" xfId="3" applyNumberFormat="1" applyFont="1" applyProtection="1"/>
    <xf numFmtId="0" fontId="61" fillId="0" borderId="9" xfId="3" applyNumberFormat="1" applyFont="1" applyBorder="1" applyProtection="1"/>
    <xf numFmtId="0" fontId="61" fillId="0" borderId="9" xfId="3" applyNumberFormat="1" applyFont="1" applyBorder="1" applyAlignment="1" applyProtection="1">
      <alignment horizontal="center"/>
    </xf>
    <xf numFmtId="0" fontId="66" fillId="0" borderId="0" xfId="3" applyNumberFormat="1" applyFont="1" applyProtection="1"/>
    <xf numFmtId="0" fontId="59" fillId="0" borderId="137" xfId="3" quotePrefix="1" applyNumberFormat="1" applyFont="1" applyBorder="1" applyAlignment="1" applyProtection="1">
      <alignment horizontal="left"/>
    </xf>
    <xf numFmtId="0" fontId="66" fillId="0" borderId="138" xfId="3" applyNumberFormat="1" applyFont="1" applyBorder="1" applyAlignment="1" applyProtection="1">
      <alignment horizontal="center"/>
    </xf>
    <xf numFmtId="0" fontId="66" fillId="0" borderId="138" xfId="3" applyNumberFormat="1" applyFont="1" applyBorder="1" applyProtection="1"/>
    <xf numFmtId="0" fontId="59" fillId="0" borderId="137" xfId="3" applyNumberFormat="1" applyFont="1" applyBorder="1" applyAlignment="1" applyProtection="1"/>
    <xf numFmtId="0" fontId="66" fillId="0" borderId="139" xfId="3" applyNumberFormat="1" applyFont="1" applyBorder="1" applyAlignment="1" applyProtection="1">
      <alignment horizontal="centerContinuous"/>
    </xf>
    <xf numFmtId="0" fontId="59" fillId="0" borderId="137" xfId="3" applyNumberFormat="1" applyFont="1" applyBorder="1" applyAlignment="1" applyProtection="1">
      <alignment horizontal="left"/>
    </xf>
    <xf numFmtId="0" fontId="66" fillId="0" borderId="139" xfId="3" applyNumberFormat="1" applyFont="1" applyBorder="1" applyProtection="1"/>
    <xf numFmtId="0" fontId="66" fillId="0" borderId="138" xfId="3" quotePrefix="1" applyNumberFormat="1" applyFont="1" applyBorder="1" applyAlignment="1" applyProtection="1">
      <alignment horizontal="left"/>
    </xf>
    <xf numFmtId="0" fontId="59" fillId="0" borderId="5" xfId="3" quotePrefix="1" applyNumberFormat="1" applyFont="1" applyBorder="1" applyAlignment="1" applyProtection="1">
      <alignment horizontal="left"/>
    </xf>
    <xf numFmtId="0" fontId="66" fillId="0" borderId="0" xfId="3" applyNumberFormat="1" applyFont="1" applyBorder="1" applyProtection="1"/>
    <xf numFmtId="0" fontId="66" fillId="0" borderId="40" xfId="3" applyNumberFormat="1" applyFont="1" applyBorder="1" applyProtection="1"/>
    <xf numFmtId="0" fontId="59" fillId="0" borderId="5" xfId="3" applyNumberFormat="1" applyFont="1" applyBorder="1" applyProtection="1"/>
    <xf numFmtId="0" fontId="69" fillId="0" borderId="0" xfId="3" applyNumberFormat="1" applyFont="1" applyBorder="1" applyProtection="1"/>
    <xf numFmtId="0" fontId="59" fillId="0" borderId="137" xfId="3" applyNumberFormat="1" applyFont="1" applyBorder="1" applyProtection="1"/>
    <xf numFmtId="0" fontId="61" fillId="0" borderId="0" xfId="3" applyNumberFormat="1" applyFont="1" applyBorder="1" applyProtection="1"/>
    <xf numFmtId="0" fontId="58" fillId="0" borderId="0" xfId="3" applyNumberFormat="1" applyFont="1" applyAlignment="1" applyProtection="1">
      <alignment horizontal="left"/>
    </xf>
    <xf numFmtId="0" fontId="69" fillId="0" borderId="0" xfId="3" applyNumberFormat="1" applyFont="1" applyAlignment="1" applyProtection="1">
      <alignment horizontal="left"/>
    </xf>
    <xf numFmtId="0" fontId="61" fillId="0" borderId="1" xfId="3" applyNumberFormat="1" applyFont="1" applyBorder="1" applyAlignment="1" applyProtection="1">
      <alignment horizontal="center" vertical="center"/>
      <protection locked="0"/>
    </xf>
    <xf numFmtId="0" fontId="59" fillId="0" borderId="0" xfId="3" applyNumberFormat="1" applyFont="1" applyBorder="1" applyAlignment="1" applyProtection="1">
      <alignment vertical="center"/>
    </xf>
    <xf numFmtId="0" fontId="66" fillId="0" borderId="0" xfId="3" applyNumberFormat="1" applyFont="1" applyBorder="1" applyAlignment="1" applyProtection="1">
      <alignment horizontal="center"/>
    </xf>
    <xf numFmtId="0" fontId="75" fillId="0" borderId="0" xfId="3" applyNumberFormat="1" applyFont="1" applyAlignment="1" applyProtection="1">
      <alignment vertical="center"/>
    </xf>
    <xf numFmtId="0" fontId="68" fillId="0" borderId="0" xfId="3" applyNumberFormat="1" applyFont="1" applyBorder="1" applyProtection="1"/>
    <xf numFmtId="0" fontId="59" fillId="0" borderId="0" xfId="3" applyNumberFormat="1" applyFont="1" applyAlignment="1" applyProtection="1">
      <alignment vertical="center"/>
    </xf>
    <xf numFmtId="0" fontId="68" fillId="0" borderId="0" xfId="3" applyNumberFormat="1" applyFont="1" applyProtection="1"/>
    <xf numFmtId="0" fontId="69" fillId="0" borderId="0" xfId="3" applyNumberFormat="1" applyFont="1" applyProtection="1"/>
    <xf numFmtId="0" fontId="59" fillId="0" borderId="0" xfId="3" applyNumberFormat="1" applyFont="1" applyBorder="1" applyProtection="1"/>
    <xf numFmtId="0" fontId="59" fillId="0" borderId="0" xfId="3" applyNumberFormat="1" applyFont="1" applyProtection="1"/>
    <xf numFmtId="0" fontId="66" fillId="0" borderId="0" xfId="3" quotePrefix="1" applyNumberFormat="1" applyFont="1" applyAlignment="1" applyProtection="1">
      <alignment horizontal="left"/>
    </xf>
    <xf numFmtId="0" fontId="59" fillId="0" borderId="0" xfId="3" applyFont="1"/>
    <xf numFmtId="0" fontId="58" fillId="0" borderId="0" xfId="3" applyFont="1" applyAlignment="1">
      <alignment horizontal="center" vertical="center"/>
    </xf>
    <xf numFmtId="0" fontId="61" fillId="0" borderId="0" xfId="3" applyFont="1" applyAlignment="1">
      <alignment horizontal="center" vertical="center"/>
    </xf>
    <xf numFmtId="164" fontId="66" fillId="0" borderId="0" xfId="3" applyNumberFormat="1" applyFont="1"/>
    <xf numFmtId="0" fontId="68" fillId="0" borderId="0" xfId="3" applyFont="1"/>
    <xf numFmtId="164" fontId="68" fillId="0" borderId="0" xfId="3" applyNumberFormat="1" applyFont="1" applyAlignment="1">
      <alignment horizontal="right"/>
    </xf>
    <xf numFmtId="49" fontId="66" fillId="0" borderId="0" xfId="3" applyNumberFormat="1" applyFont="1"/>
    <xf numFmtId="0" fontId="66" fillId="0" borderId="0" xfId="3" applyFont="1"/>
    <xf numFmtId="0" fontId="72" fillId="0" borderId="0" xfId="3" applyFont="1"/>
    <xf numFmtId="164" fontId="72" fillId="0" borderId="0" xfId="3" applyNumberFormat="1" applyFont="1" applyAlignment="1">
      <alignment horizontal="right"/>
    </xf>
    <xf numFmtId="0" fontId="68" fillId="0" borderId="22" xfId="3" applyFont="1" applyBorder="1" applyAlignment="1" applyProtection="1">
      <alignment horizontal="center"/>
      <protection locked="0"/>
    </xf>
    <xf numFmtId="164" fontId="66" fillId="0" borderId="0" xfId="3" applyNumberFormat="1" applyFont="1" applyBorder="1" applyAlignment="1">
      <alignment horizontal="right"/>
    </xf>
    <xf numFmtId="49" fontId="72" fillId="0" borderId="0" xfId="3" applyNumberFormat="1" applyFont="1" applyAlignment="1"/>
    <xf numFmtId="0" fontId="66" fillId="0" borderId="0" xfId="3" applyFont="1" applyAlignment="1"/>
    <xf numFmtId="0" fontId="68" fillId="0" borderId="141" xfId="3" applyFont="1" applyBorder="1" applyAlignment="1" applyProtection="1">
      <alignment horizontal="center"/>
      <protection locked="0"/>
    </xf>
    <xf numFmtId="49" fontId="66" fillId="0" borderId="0" xfId="3" applyNumberFormat="1" applyFont="1" applyAlignment="1"/>
    <xf numFmtId="0" fontId="66" fillId="0" borderId="0" xfId="3" applyFont="1" applyAlignment="1">
      <alignment horizontal="center"/>
    </xf>
    <xf numFmtId="164" fontId="66" fillId="0" borderId="0" xfId="3" applyNumberFormat="1" applyFont="1" applyAlignment="1">
      <alignment horizontal="right"/>
    </xf>
    <xf numFmtId="49" fontId="68" fillId="0" borderId="0" xfId="3" applyNumberFormat="1" applyFont="1" applyAlignment="1"/>
    <xf numFmtId="49" fontId="66" fillId="0" borderId="0" xfId="3" applyNumberFormat="1" applyFont="1" applyFill="1" applyAlignment="1"/>
    <xf numFmtId="49" fontId="66" fillId="0" borderId="0" xfId="3" applyNumberFormat="1" applyFont="1" applyFill="1" applyBorder="1" applyAlignment="1"/>
    <xf numFmtId="49" fontId="114" fillId="0" borderId="0" xfId="15" applyNumberFormat="1" applyFont="1"/>
    <xf numFmtId="49" fontId="66" fillId="0" borderId="0" xfId="3" applyNumberFormat="1" applyFont="1" applyFill="1" applyBorder="1"/>
    <xf numFmtId="0" fontId="66" fillId="0" borderId="0" xfId="3" applyFont="1" applyBorder="1" applyAlignment="1">
      <alignment horizontal="center"/>
    </xf>
    <xf numFmtId="0" fontId="102" fillId="0" borderId="0" xfId="3" applyFont="1" applyAlignment="1">
      <alignment horizontal="center"/>
    </xf>
    <xf numFmtId="164" fontId="102" fillId="0" borderId="0" xfId="3" applyNumberFormat="1" applyFont="1" applyAlignment="1">
      <alignment horizontal="right"/>
    </xf>
    <xf numFmtId="0" fontId="72" fillId="0" borderId="22" xfId="3" applyFont="1" applyBorder="1" applyAlignment="1" applyProtection="1">
      <alignment horizontal="center"/>
      <protection locked="0"/>
    </xf>
    <xf numFmtId="0" fontId="102" fillId="0" borderId="0" xfId="3" applyFont="1" applyBorder="1" applyAlignment="1">
      <alignment horizontal="center"/>
    </xf>
    <xf numFmtId="0" fontId="66" fillId="0" borderId="0" xfId="16" applyFont="1" applyFill="1" applyBorder="1" applyAlignment="1">
      <alignment horizontal="left"/>
    </xf>
    <xf numFmtId="164" fontId="68" fillId="0" borderId="22" xfId="3" applyNumberFormat="1" applyFont="1" applyBorder="1" applyAlignment="1" applyProtection="1">
      <alignment horizontal="center" vertical="center"/>
      <protection locked="0"/>
    </xf>
    <xf numFmtId="49" fontId="60" fillId="0" borderId="0" xfId="2" applyNumberFormat="1" applyFont="1" applyAlignment="1" applyProtection="1">
      <alignment horizontal="left" indent="2"/>
    </xf>
    <xf numFmtId="49" fontId="66" fillId="0" borderId="0" xfId="3" applyNumberFormat="1" applyFont="1" applyFill="1"/>
    <xf numFmtId="49" fontId="68" fillId="0" borderId="0" xfId="3" applyNumberFormat="1" applyFont="1" applyFill="1" applyBorder="1"/>
    <xf numFmtId="49" fontId="68" fillId="0" borderId="0" xfId="3" applyNumberFormat="1" applyFont="1"/>
    <xf numFmtId="49" fontId="72" fillId="0" borderId="0" xfId="3" applyNumberFormat="1" applyFont="1"/>
    <xf numFmtId="0" fontId="66" fillId="0" borderId="0" xfId="3" applyFont="1" applyBorder="1" applyAlignment="1" applyProtection="1">
      <alignment horizontal="center"/>
    </xf>
    <xf numFmtId="49" fontId="72" fillId="0" borderId="0" xfId="3" applyNumberFormat="1" applyFont="1" applyFill="1" applyBorder="1"/>
    <xf numFmtId="49" fontId="115" fillId="0" borderId="0" xfId="3" applyNumberFormat="1" applyFont="1" applyFill="1" applyBorder="1"/>
    <xf numFmtId="49" fontId="72" fillId="0" borderId="0" xfId="3" applyNumberFormat="1" applyFont="1" applyAlignment="1">
      <alignment vertical="top"/>
    </xf>
    <xf numFmtId="0" fontId="66" fillId="0" borderId="138" xfId="3" applyFont="1" applyBorder="1" applyAlignment="1" applyProtection="1">
      <alignment horizontal="center"/>
    </xf>
    <xf numFmtId="49" fontId="66" fillId="0" borderId="0" xfId="3" applyNumberFormat="1" applyFont="1" applyAlignment="1">
      <alignment vertical="top"/>
    </xf>
    <xf numFmtId="0" fontId="68" fillId="0" borderId="9" xfId="3" applyFont="1" applyBorder="1" applyAlignment="1" applyProtection="1">
      <alignment horizontal="center"/>
      <protection locked="0"/>
    </xf>
    <xf numFmtId="0" fontId="66" fillId="0" borderId="0" xfId="3" applyFont="1" applyBorder="1" applyProtection="1"/>
    <xf numFmtId="0" fontId="61" fillId="0" borderId="0" xfId="3" applyFont="1" applyAlignment="1" applyProtection="1">
      <alignment horizontal="center"/>
    </xf>
    <xf numFmtId="42" fontId="61" fillId="0" borderId="0" xfId="3" applyNumberFormat="1" applyFont="1" applyProtection="1"/>
    <xf numFmtId="0" fontId="69" fillId="0" borderId="0" xfId="3" applyFont="1" applyProtection="1"/>
    <xf numFmtId="0" fontId="61" fillId="0" borderId="0" xfId="13" applyFont="1" applyBorder="1" applyProtection="1"/>
    <xf numFmtId="0" fontId="61" fillId="0" borderId="0" xfId="13" applyFont="1" applyBorder="1" applyAlignment="1" applyProtection="1">
      <alignment horizontal="center"/>
    </xf>
    <xf numFmtId="42" fontId="61" fillId="2" borderId="9" xfId="3" applyNumberFormat="1" applyFont="1" applyFill="1" applyBorder="1" applyProtection="1"/>
    <xf numFmtId="41" fontId="61" fillId="2" borderId="9" xfId="3" applyNumberFormat="1" applyFont="1" applyFill="1" applyBorder="1" applyProtection="1"/>
    <xf numFmtId="0" fontId="69" fillId="0" borderId="0" xfId="3" applyFont="1" applyAlignment="1" applyProtection="1">
      <alignment horizontal="left" indent="2"/>
    </xf>
    <xf numFmtId="42" fontId="61" fillId="2" borderId="47" xfId="3" applyNumberFormat="1" applyFont="1" applyFill="1" applyBorder="1" applyProtection="1"/>
    <xf numFmtId="0" fontId="79" fillId="0" borderId="0" xfId="3" applyFont="1" applyProtection="1"/>
    <xf numFmtId="42" fontId="61" fillId="0" borderId="69" xfId="3" applyNumberFormat="1" applyFont="1" applyBorder="1" applyProtection="1">
      <protection locked="0"/>
    </xf>
    <xf numFmtId="42" fontId="61" fillId="0" borderId="0" xfId="3" applyNumberFormat="1" applyFont="1" applyFill="1" applyProtection="1"/>
    <xf numFmtId="42" fontId="61" fillId="0" borderId="9" xfId="3" applyNumberFormat="1" applyFont="1" applyBorder="1" applyProtection="1">
      <protection locked="0"/>
    </xf>
    <xf numFmtId="42" fontId="61" fillId="0" borderId="68" xfId="3" applyNumberFormat="1" applyFont="1" applyBorder="1" applyProtection="1">
      <protection locked="0"/>
    </xf>
    <xf numFmtId="0" fontId="61" fillId="0" borderId="0" xfId="3" applyFont="1" applyAlignment="1" applyProtection="1">
      <alignment horizontal="right"/>
    </xf>
    <xf numFmtId="42" fontId="61" fillId="2" borderId="125" xfId="3" applyNumberFormat="1" applyFont="1" applyFill="1" applyBorder="1" applyProtection="1"/>
    <xf numFmtId="0" fontId="69" fillId="0" borderId="0" xfId="3" applyFont="1" applyAlignment="1" applyProtection="1">
      <alignment horizontal="center" vertical="center"/>
    </xf>
    <xf numFmtId="165" fontId="69" fillId="0" borderId="0" xfId="3" applyNumberFormat="1" applyFont="1" applyAlignment="1" applyProtection="1">
      <alignment vertical="center"/>
    </xf>
    <xf numFmtId="0" fontId="58" fillId="0" borderId="0" xfId="3" applyFont="1" applyProtection="1"/>
    <xf numFmtId="0" fontId="58" fillId="0" borderId="0" xfId="3" applyFont="1" applyFill="1" applyProtection="1"/>
    <xf numFmtId="0" fontId="61" fillId="0" borderId="0" xfId="3" applyFont="1" applyFill="1" applyProtection="1"/>
    <xf numFmtId="169" fontId="59" fillId="0" borderId="0" xfId="3" applyNumberFormat="1" applyFont="1" applyFill="1" applyProtection="1"/>
    <xf numFmtId="0" fontId="59" fillId="0" borderId="0" xfId="3" applyFont="1" applyFill="1" applyProtection="1"/>
    <xf numFmtId="0" fontId="61" fillId="0" borderId="9" xfId="3" applyFont="1" applyFill="1" applyBorder="1" applyAlignment="1" applyProtection="1">
      <alignment horizontal="center" vertical="center"/>
      <protection locked="0"/>
    </xf>
    <xf numFmtId="0" fontId="59" fillId="0" borderId="0" xfId="3" applyFont="1" applyProtection="1"/>
    <xf numFmtId="0" fontId="59" fillId="0" borderId="140" xfId="3" applyFont="1" applyBorder="1" applyProtection="1"/>
    <xf numFmtId="0" fontId="59" fillId="0" borderId="141" xfId="3" applyFont="1" applyBorder="1" applyProtection="1">
      <protection locked="0"/>
    </xf>
    <xf numFmtId="0" fontId="59" fillId="0" borderId="140" xfId="3" applyFont="1" applyBorder="1" applyAlignment="1" applyProtection="1">
      <alignment horizontal="center"/>
      <protection locked="0"/>
    </xf>
    <xf numFmtId="0" fontId="69" fillId="0" borderId="0" xfId="3" applyFont="1" applyAlignment="1" applyProtection="1">
      <alignment horizontal="center"/>
    </xf>
    <xf numFmtId="0" fontId="58" fillId="0" borderId="0" xfId="3" applyFont="1" applyBorder="1" applyProtection="1"/>
    <xf numFmtId="5" fontId="59" fillId="0" borderId="78" xfId="3" applyNumberFormat="1" applyFont="1" applyBorder="1" applyAlignment="1" applyProtection="1">
      <protection locked="0"/>
    </xf>
    <xf numFmtId="5" fontId="59" fillId="0" borderId="76" xfId="3" applyNumberFormat="1" applyFont="1" applyBorder="1" applyAlignment="1" applyProtection="1">
      <protection locked="0"/>
    </xf>
    <xf numFmtId="5" fontId="69" fillId="0" borderId="0" xfId="3" applyNumberFormat="1" applyFont="1" applyAlignment="1" applyProtection="1"/>
    <xf numFmtId="0" fontId="69" fillId="0" borderId="0" xfId="3" applyFont="1" applyAlignment="1" applyProtection="1"/>
    <xf numFmtId="5" fontId="59" fillId="0" borderId="78" xfId="3" applyNumberFormat="1" applyFont="1" applyBorder="1" applyAlignment="1" applyProtection="1">
      <alignment horizontal="center"/>
      <protection locked="0"/>
    </xf>
    <xf numFmtId="5" fontId="59" fillId="0" borderId="76" xfId="3" applyNumberFormat="1" applyFont="1" applyBorder="1" applyAlignment="1" applyProtection="1">
      <alignment horizontal="center"/>
      <protection locked="0"/>
    </xf>
    <xf numFmtId="0" fontId="69" fillId="0" borderId="0" xfId="3" applyFont="1" applyBorder="1" applyProtection="1"/>
    <xf numFmtId="0" fontId="66" fillId="0" borderId="0" xfId="3" applyFont="1" applyAlignment="1" applyProtection="1">
      <alignment vertical="top"/>
    </xf>
    <xf numFmtId="0" fontId="66" fillId="0" borderId="78" xfId="3" applyFont="1" applyBorder="1" applyAlignment="1" applyProtection="1">
      <alignment vertical="top"/>
    </xf>
    <xf numFmtId="0" fontId="61" fillId="0" borderId="78" xfId="3" applyFont="1" applyBorder="1" applyProtection="1"/>
    <xf numFmtId="0" fontId="66" fillId="0" borderId="0" xfId="3" applyFont="1" applyBorder="1" applyAlignment="1" applyProtection="1">
      <alignment vertical="top"/>
    </xf>
    <xf numFmtId="0" fontId="116" fillId="0" borderId="0" xfId="3" applyFont="1" applyAlignment="1" applyProtection="1">
      <alignment vertical="top"/>
    </xf>
    <xf numFmtId="0" fontId="66" fillId="0" borderId="0" xfId="3" applyFont="1" applyProtection="1"/>
    <xf numFmtId="0" fontId="116" fillId="0" borderId="0" xfId="3" applyFont="1" applyAlignment="1" applyProtection="1">
      <alignment horizontal="right" vertical="top"/>
    </xf>
    <xf numFmtId="0" fontId="76" fillId="0" borderId="0" xfId="3" applyFont="1" applyAlignment="1" applyProtection="1">
      <alignment horizontal="center" vertical="center"/>
    </xf>
    <xf numFmtId="0" fontId="61" fillId="0" borderId="45" xfId="3" applyFont="1" applyBorder="1" applyProtection="1"/>
    <xf numFmtId="169" fontId="68" fillId="0" borderId="45" xfId="3" applyNumberFormat="1" applyFont="1" applyBorder="1" applyAlignment="1" applyProtection="1">
      <alignment horizontal="center"/>
    </xf>
    <xf numFmtId="1" fontId="68" fillId="0" borderId="139" xfId="3" applyNumberFormat="1" applyFont="1" applyBorder="1" applyAlignment="1" applyProtection="1">
      <alignment horizontal="center"/>
    </xf>
    <xf numFmtId="0" fontId="68" fillId="0" borderId="138" xfId="3" applyFont="1" applyBorder="1" applyAlignment="1" applyProtection="1">
      <alignment horizontal="centerContinuous"/>
    </xf>
    <xf numFmtId="0" fontId="68" fillId="0" borderId="139" xfId="3" applyFont="1" applyBorder="1" applyAlignment="1" applyProtection="1">
      <alignment horizontal="centerContinuous"/>
    </xf>
    <xf numFmtId="0" fontId="68" fillId="0" borderId="73" xfId="3" applyFont="1" applyBorder="1" applyAlignment="1" applyProtection="1">
      <alignment horizontal="centerContinuous"/>
    </xf>
    <xf numFmtId="0" fontId="68" fillId="0" borderId="45" xfId="3" applyFont="1" applyBorder="1" applyAlignment="1" applyProtection="1">
      <alignment horizontal="center"/>
    </xf>
    <xf numFmtId="0" fontId="68" fillId="5" borderId="45" xfId="3" applyFont="1" applyFill="1" applyBorder="1" applyAlignment="1" applyProtection="1">
      <alignment horizontal="center"/>
    </xf>
    <xf numFmtId="0" fontId="68" fillId="5" borderId="139" xfId="3" applyFont="1" applyFill="1" applyBorder="1" applyAlignment="1" applyProtection="1">
      <alignment horizontal="center"/>
    </xf>
    <xf numFmtId="0" fontId="68" fillId="0" borderId="5" xfId="3" applyFont="1" applyBorder="1" applyAlignment="1" applyProtection="1">
      <alignment horizontal="left"/>
    </xf>
    <xf numFmtId="169" fontId="68" fillId="0" borderId="44" xfId="3" applyNumberFormat="1" applyFont="1" applyBorder="1" applyAlignment="1" applyProtection="1">
      <alignment horizontal="center"/>
    </xf>
    <xf numFmtId="1" fontId="68" fillId="0" borderId="40" xfId="3" applyNumberFormat="1" applyFont="1" applyBorder="1" applyAlignment="1" applyProtection="1">
      <alignment horizontal="center"/>
    </xf>
    <xf numFmtId="0" fontId="68" fillId="0" borderId="0" xfId="3" applyFont="1" applyBorder="1" applyAlignment="1" applyProtection="1">
      <alignment horizontal="centerContinuous"/>
    </xf>
    <xf numFmtId="0" fontId="68" fillId="0" borderId="40" xfId="3" applyFont="1" applyBorder="1" applyAlignment="1" applyProtection="1">
      <alignment horizontal="centerContinuous"/>
    </xf>
    <xf numFmtId="0" fontId="68" fillId="20" borderId="72" xfId="3" applyFont="1" applyFill="1" applyBorder="1" applyAlignment="1" applyProtection="1">
      <alignment horizontal="center"/>
    </xf>
    <xf numFmtId="0" fontId="68" fillId="21" borderId="72" xfId="3" applyFont="1" applyFill="1" applyBorder="1" applyAlignment="1" applyProtection="1">
      <alignment horizontal="center"/>
    </xf>
    <xf numFmtId="0" fontId="68" fillId="0" borderId="72" xfId="3" applyFont="1" applyBorder="1" applyAlignment="1" applyProtection="1">
      <alignment horizontal="center"/>
    </xf>
    <xf numFmtId="0" fontId="68" fillId="5" borderId="72" xfId="3" applyFont="1" applyFill="1" applyBorder="1" applyAlignment="1" applyProtection="1">
      <alignment horizontal="center"/>
    </xf>
    <xf numFmtId="0" fontId="68" fillId="5" borderId="40" xfId="3" applyFont="1" applyFill="1" applyBorder="1" applyAlignment="1" applyProtection="1">
      <alignment horizontal="center"/>
    </xf>
    <xf numFmtId="0" fontId="68" fillId="0" borderId="44" xfId="3" applyFont="1" applyBorder="1" applyAlignment="1" applyProtection="1">
      <alignment horizontal="center"/>
    </xf>
    <xf numFmtId="0" fontId="68" fillId="0" borderId="40" xfId="3" applyFont="1" applyBorder="1" applyAlignment="1" applyProtection="1">
      <alignment horizontal="center"/>
    </xf>
    <xf numFmtId="0" fontId="68" fillId="0" borderId="5" xfId="3" applyFont="1" applyBorder="1" applyAlignment="1" applyProtection="1">
      <alignment horizontal="center"/>
    </xf>
    <xf numFmtId="0" fontId="68" fillId="0" borderId="71" xfId="3" applyFont="1" applyBorder="1" applyAlignment="1" applyProtection="1"/>
    <xf numFmtId="0" fontId="68" fillId="5" borderId="72" xfId="3" quotePrefix="1" applyFont="1" applyFill="1" applyBorder="1" applyAlignment="1" applyProtection="1">
      <alignment horizontal="center"/>
    </xf>
    <xf numFmtId="169" fontId="68" fillId="0" borderId="8" xfId="3" applyNumberFormat="1" applyFont="1" applyBorder="1" applyAlignment="1" applyProtection="1">
      <alignment horizontal="center"/>
    </xf>
    <xf numFmtId="1" fontId="68" fillId="0" borderId="59" xfId="3" applyNumberFormat="1" applyFont="1" applyBorder="1" applyAlignment="1" applyProtection="1">
      <alignment horizontal="center"/>
    </xf>
    <xf numFmtId="0" fontId="68" fillId="0" borderId="8" xfId="3" applyFont="1" applyBorder="1" applyAlignment="1" applyProtection="1">
      <alignment horizontal="center"/>
    </xf>
    <xf numFmtId="0" fontId="68" fillId="0" borderId="59" xfId="3" applyFont="1" applyBorder="1" applyAlignment="1" applyProtection="1">
      <alignment horizontal="center"/>
    </xf>
    <xf numFmtId="0" fontId="68" fillId="0" borderId="50" xfId="3" applyFont="1" applyBorder="1" applyAlignment="1" applyProtection="1">
      <alignment horizontal="center"/>
    </xf>
    <xf numFmtId="0" fontId="68" fillId="20" borderId="70" xfId="3" applyFont="1" applyFill="1" applyBorder="1" applyAlignment="1" applyProtection="1">
      <alignment horizontal="center"/>
    </xf>
    <xf numFmtId="0" fontId="68" fillId="5" borderId="70" xfId="3" applyFont="1" applyFill="1" applyBorder="1" applyAlignment="1" applyProtection="1">
      <alignment horizontal="center"/>
    </xf>
    <xf numFmtId="0" fontId="68" fillId="21" borderId="70" xfId="3" applyFont="1" applyFill="1" applyBorder="1" applyAlignment="1" applyProtection="1">
      <alignment horizontal="center"/>
    </xf>
    <xf numFmtId="0" fontId="68" fillId="0" borderId="70" xfId="3" applyFont="1" applyBorder="1" applyAlignment="1" applyProtection="1">
      <alignment horizontal="center"/>
    </xf>
    <xf numFmtId="0" fontId="68" fillId="5" borderId="59" xfId="3" applyFont="1" applyFill="1" applyBorder="1" applyAlignment="1" applyProtection="1">
      <alignment horizontal="center"/>
    </xf>
    <xf numFmtId="3" fontId="66" fillId="0" borderId="22" xfId="3" applyNumberFormat="1" applyFont="1" applyBorder="1" applyAlignment="1" applyProtection="1">
      <alignment horizontal="left" vertical="center" wrapText="1"/>
      <protection locked="0"/>
    </xf>
    <xf numFmtId="169" fontId="66" fillId="0" borderId="8" xfId="3" applyNumberFormat="1" applyFont="1" applyBorder="1" applyAlignment="1" applyProtection="1">
      <alignment horizontal="center"/>
      <protection locked="0"/>
    </xf>
    <xf numFmtId="1" fontId="66" fillId="0" borderId="8" xfId="3" applyNumberFormat="1" applyFont="1" applyBorder="1" applyAlignment="1" applyProtection="1">
      <alignment horizontal="center"/>
      <protection locked="0"/>
    </xf>
    <xf numFmtId="3" fontId="66" fillId="0" borderId="8" xfId="3" applyNumberFormat="1" applyFont="1" applyBorder="1" applyAlignment="1" applyProtection="1">
      <alignment horizontal="center"/>
      <protection locked="0"/>
    </xf>
    <xf numFmtId="169" fontId="66" fillId="0" borderId="22" xfId="3" applyNumberFormat="1" applyFont="1" applyBorder="1" applyAlignment="1" applyProtection="1">
      <alignment horizontal="center"/>
      <protection locked="0"/>
    </xf>
    <xf numFmtId="1"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0" fontId="61" fillId="0" borderId="0" xfId="3" applyFont="1" applyAlignment="1" applyProtection="1">
      <alignment textRotation="180" wrapText="1"/>
    </xf>
    <xf numFmtId="3" fontId="66" fillId="0" borderId="0" xfId="3" applyNumberFormat="1" applyFont="1" applyBorder="1" applyAlignment="1" applyProtection="1">
      <alignment horizontal="left" vertical="center" wrapText="1"/>
      <protection locked="0"/>
    </xf>
    <xf numFmtId="169" fontId="66" fillId="0" borderId="0" xfId="3" applyNumberFormat="1" applyFont="1" applyBorder="1" applyAlignment="1" applyProtection="1">
      <alignment horizontal="center"/>
      <protection locked="0"/>
    </xf>
    <xf numFmtId="1" fontId="66" fillId="0" borderId="0" xfId="3" applyNumberFormat="1" applyFont="1" applyBorder="1" applyAlignment="1" applyProtection="1">
      <alignment horizontal="center"/>
      <protection locked="0"/>
    </xf>
    <xf numFmtId="3" fontId="66" fillId="0" borderId="0" xfId="3" applyNumberFormat="1" applyFont="1" applyBorder="1" applyAlignment="1" applyProtection="1">
      <alignment horizontal="center"/>
      <protection locked="0"/>
    </xf>
    <xf numFmtId="169" fontId="66" fillId="0" borderId="0" xfId="3" applyNumberFormat="1" applyFont="1" applyBorder="1" applyProtection="1"/>
    <xf numFmtId="1" fontId="66" fillId="0" borderId="0" xfId="3" applyNumberFormat="1" applyFont="1" applyBorder="1" applyProtection="1"/>
    <xf numFmtId="0" fontId="58" fillId="20" borderId="0" xfId="3" applyFont="1" applyFill="1" applyProtection="1"/>
    <xf numFmtId="169" fontId="61" fillId="20" borderId="0" xfId="3" applyNumberFormat="1" applyFont="1" applyFill="1" applyProtection="1"/>
    <xf numFmtId="1" fontId="61" fillId="20" borderId="0" xfId="3" applyNumberFormat="1" applyFont="1" applyFill="1" applyProtection="1"/>
    <xf numFmtId="0" fontId="61" fillId="20" borderId="0" xfId="3" applyFont="1" applyFill="1" applyProtection="1"/>
    <xf numFmtId="169" fontId="61" fillId="0" borderId="0" xfId="3" applyNumberFormat="1" applyFont="1" applyFill="1" applyProtection="1"/>
    <xf numFmtId="1" fontId="61" fillId="0" borderId="0" xfId="3" applyNumberFormat="1" applyFont="1" applyFill="1" applyProtection="1"/>
    <xf numFmtId="169" fontId="61" fillId="0" borderId="0" xfId="3" applyNumberFormat="1" applyFont="1" applyProtection="1"/>
    <xf numFmtId="1" fontId="61" fillId="0" borderId="0" xfId="3" applyNumberFormat="1" applyFont="1" applyProtection="1"/>
    <xf numFmtId="0" fontId="58" fillId="0" borderId="78" xfId="3" applyFont="1" applyBorder="1" applyProtection="1"/>
    <xf numFmtId="169" fontId="61" fillId="0" borderId="78" xfId="3" applyNumberFormat="1" applyFont="1" applyBorder="1" applyProtection="1"/>
    <xf numFmtId="1" fontId="61" fillId="0" borderId="78" xfId="3" applyNumberFormat="1" applyFont="1" applyBorder="1" applyProtection="1"/>
    <xf numFmtId="0" fontId="61"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66" fillId="0" borderId="0" xfId="3" applyFont="1" applyAlignment="1" applyProtection="1">
      <alignment horizontal="left" wrapText="1"/>
    </xf>
    <xf numFmtId="0" fontId="66" fillId="0" borderId="0" xfId="3" applyFont="1" applyAlignment="1" applyProtection="1">
      <alignment horizontal="left"/>
    </xf>
    <xf numFmtId="169" fontId="66" fillId="0" borderId="0" xfId="3" applyNumberFormat="1" applyFont="1" applyProtection="1"/>
    <xf numFmtId="1" fontId="66" fillId="0" borderId="0" xfId="3" applyNumberFormat="1" applyFont="1" applyProtection="1"/>
    <xf numFmtId="0" fontId="66"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9" fillId="0" borderId="0" xfId="3" applyFont="1" applyAlignment="1" applyProtection="1">
      <alignment vertical="center"/>
    </xf>
    <xf numFmtId="49" fontId="69" fillId="0" borderId="0" xfId="3" applyNumberFormat="1" applyFont="1" applyBorder="1" applyAlignment="1" applyProtection="1">
      <alignment horizontal="center" vertical="top"/>
    </xf>
    <xf numFmtId="165" fontId="58"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top"/>
    </xf>
    <xf numFmtId="0" fontId="58" fillId="0" borderId="0" xfId="3" applyFont="1" applyAlignment="1" applyProtection="1">
      <alignment horizontal="center" vertical="center"/>
    </xf>
    <xf numFmtId="0" fontId="69" fillId="0" borderId="138" xfId="3" applyFont="1" applyBorder="1" applyProtection="1"/>
    <xf numFmtId="0" fontId="61" fillId="0" borderId="138" xfId="3" applyFont="1" applyBorder="1" applyProtection="1"/>
    <xf numFmtId="0" fontId="61" fillId="0" borderId="138" xfId="3" applyFont="1" applyBorder="1" applyAlignment="1" applyProtection="1">
      <alignment horizontal="center"/>
    </xf>
    <xf numFmtId="0" fontId="61" fillId="0" borderId="0" xfId="3" applyFont="1" applyFill="1" applyBorder="1" applyProtection="1"/>
    <xf numFmtId="0" fontId="69" fillId="0" borderId="0" xfId="3" applyFont="1" applyFill="1" applyBorder="1" applyAlignment="1" applyProtection="1">
      <alignment horizontal="centerContinuous"/>
    </xf>
    <xf numFmtId="0" fontId="61" fillId="0" borderId="0" xfId="3" applyFont="1" applyBorder="1" applyAlignment="1" applyProtection="1">
      <alignment horizontal="center"/>
    </xf>
    <xf numFmtId="0" fontId="68" fillId="0" borderId="0" xfId="3" applyFont="1" applyBorder="1" applyProtection="1"/>
    <xf numFmtId="0" fontId="69" fillId="0" borderId="0" xfId="3" applyFont="1" applyBorder="1" applyAlignment="1" applyProtection="1">
      <alignment horizontal="right"/>
    </xf>
    <xf numFmtId="178" fontId="69" fillId="0" borderId="9" xfId="3" applyNumberFormat="1" applyFont="1" applyBorder="1" applyAlignment="1" applyProtection="1">
      <alignment horizontal="left"/>
      <protection locked="0"/>
    </xf>
    <xf numFmtId="0" fontId="68" fillId="0" borderId="0" xfId="3" applyFont="1" applyProtection="1"/>
    <xf numFmtId="0" fontId="61" fillId="0" borderId="22" xfId="3" applyFont="1" applyBorder="1" applyAlignment="1" applyProtection="1">
      <alignment horizontal="center" vertical="center"/>
      <protection locked="0"/>
    </xf>
    <xf numFmtId="0" fontId="61" fillId="0" borderId="0" xfId="3" applyFont="1" applyBorder="1" applyAlignment="1" applyProtection="1">
      <alignment horizontal="left" indent="1"/>
    </xf>
    <xf numFmtId="0" fontId="68" fillId="0" borderId="0" xfId="3" applyFont="1" applyBorder="1" applyAlignment="1" applyProtection="1">
      <alignment horizontal="left" indent="1"/>
    </xf>
    <xf numFmtId="0" fontId="68" fillId="0" borderId="0" xfId="3" applyFont="1" applyBorder="1" applyAlignment="1" applyProtection="1">
      <alignment horizontal="left"/>
    </xf>
    <xf numFmtId="0" fontId="61" fillId="0" borderId="9" xfId="3" applyFont="1" applyBorder="1" applyProtection="1">
      <protection locked="0"/>
    </xf>
    <xf numFmtId="0" fontId="68" fillId="0" borderId="138" xfId="3" quotePrefix="1" applyFont="1" applyBorder="1" applyAlignment="1" applyProtection="1">
      <alignment horizontal="left"/>
    </xf>
    <xf numFmtId="0" fontId="59" fillId="0" borderId="138" xfId="3" applyFont="1" applyBorder="1" applyProtection="1"/>
    <xf numFmtId="0" fontId="59" fillId="0" borderId="138" xfId="3" applyFont="1" applyBorder="1" applyAlignment="1" applyProtection="1">
      <alignment horizontal="center"/>
    </xf>
    <xf numFmtId="0" fontId="59" fillId="0" borderId="0" xfId="3" applyFont="1" applyFill="1" applyBorder="1" applyProtection="1"/>
    <xf numFmtId="0" fontId="61" fillId="0" borderId="0" xfId="3" applyFont="1" applyFill="1" applyBorder="1" applyAlignment="1" applyProtection="1"/>
    <xf numFmtId="0" fontId="61" fillId="0" borderId="0" xfId="3" applyFont="1" applyAlignment="1" applyProtection="1">
      <alignment horizontal="left"/>
    </xf>
    <xf numFmtId="0" fontId="61" fillId="0" borderId="0" xfId="3" applyFont="1" applyAlignment="1" applyProtection="1"/>
    <xf numFmtId="8" fontId="61" fillId="0" borderId="0" xfId="3" applyNumberFormat="1" applyFont="1" applyAlignment="1" applyProtection="1">
      <alignment horizontal="left"/>
    </xf>
    <xf numFmtId="0" fontId="68" fillId="0" borderId="138" xfId="3" applyFont="1" applyBorder="1" applyProtection="1"/>
    <xf numFmtId="0" fontId="61" fillId="0" borderId="0" xfId="3" applyFont="1" applyBorder="1" applyAlignment="1" applyProtection="1">
      <alignment horizontal="left"/>
    </xf>
    <xf numFmtId="0" fontId="68" fillId="0" borderId="138" xfId="3" applyFont="1" applyBorder="1" applyAlignment="1" applyProtection="1">
      <alignment horizontal="left"/>
    </xf>
    <xf numFmtId="0" fontId="61" fillId="0" borderId="78" xfId="3" applyFont="1" applyFill="1" applyBorder="1" applyProtection="1"/>
    <xf numFmtId="0" fontId="61"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8" fillId="0" borderId="0" xfId="3" applyFont="1" applyAlignment="1" applyProtection="1">
      <alignment horizontal="center" vertical="top" textRotation="180"/>
    </xf>
    <xf numFmtId="0" fontId="68" fillId="0" borderId="0" xfId="3" applyFont="1" applyAlignment="1" applyProtection="1">
      <alignment horizontal="right" vertical="center" textRotation="180"/>
    </xf>
    <xf numFmtId="0" fontId="69" fillId="0" borderId="0" xfId="3" applyFont="1" applyAlignment="1" applyProtection="1">
      <alignment vertical="center" textRotation="180"/>
    </xf>
    <xf numFmtId="169" fontId="69" fillId="0" borderId="0" xfId="3" applyNumberFormat="1" applyFont="1" applyBorder="1" applyProtection="1"/>
    <xf numFmtId="169" fontId="61" fillId="0" borderId="138" xfId="3" applyNumberFormat="1" applyFont="1" applyBorder="1" applyProtection="1"/>
    <xf numFmtId="169" fontId="61" fillId="0" borderId="9" xfId="3" applyNumberFormat="1" applyFont="1" applyBorder="1" applyProtection="1"/>
    <xf numFmtId="0" fontId="61" fillId="0" borderId="9" xfId="3" applyFont="1" applyBorder="1" applyProtection="1"/>
    <xf numFmtId="0" fontId="61" fillId="0" borderId="9" xfId="3" applyFont="1" applyBorder="1" applyAlignment="1" applyProtection="1">
      <alignment horizontal="center"/>
    </xf>
    <xf numFmtId="169" fontId="61" fillId="0" borderId="0" xfId="3" applyNumberFormat="1" applyFont="1" applyBorder="1" applyProtection="1"/>
    <xf numFmtId="169" fontId="91" fillId="0" borderId="0" xfId="3" applyNumberFormat="1" applyFont="1" applyBorder="1" applyAlignment="1" applyProtection="1">
      <alignment horizontal="left"/>
    </xf>
    <xf numFmtId="0" fontId="83" fillId="0" borderId="0" xfId="3" applyFont="1" applyBorder="1" applyAlignment="1" applyProtection="1">
      <alignment horizontal="left"/>
    </xf>
    <xf numFmtId="0" fontId="61" fillId="0" borderId="0" xfId="3" applyFont="1" applyBorder="1" applyAlignment="1" applyProtection="1"/>
    <xf numFmtId="0" fontId="66" fillId="0" borderId="0" xfId="3" applyFont="1" applyBorder="1" applyAlignment="1" applyProtection="1">
      <alignment horizontal="centerContinuous"/>
    </xf>
    <xf numFmtId="0" fontId="61" fillId="0" borderId="0" xfId="3" applyFont="1" applyBorder="1" applyAlignment="1" applyProtection="1">
      <alignment horizontal="centerContinuous"/>
    </xf>
    <xf numFmtId="169" fontId="68" fillId="0" borderId="0" xfId="3" applyNumberFormat="1" applyFont="1" applyProtection="1"/>
    <xf numFmtId="169" fontId="66" fillId="0" borderId="0" xfId="3" applyNumberFormat="1" applyFont="1" applyAlignment="1" applyProtection="1">
      <alignment horizontal="left"/>
    </xf>
    <xf numFmtId="0" fontId="59" fillId="0" borderId="0" xfId="3" applyFont="1" applyAlignment="1" applyProtection="1">
      <alignment horizontal="left"/>
    </xf>
    <xf numFmtId="0" fontId="61" fillId="0" borderId="9" xfId="3" applyFont="1" applyBorder="1" applyAlignment="1" applyProtection="1">
      <alignment horizontal="center" vertical="center"/>
      <protection locked="0"/>
    </xf>
    <xf numFmtId="0" fontId="61"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72" fillId="0" borderId="0" xfId="3" applyNumberFormat="1" applyFont="1" applyProtection="1"/>
    <xf numFmtId="0" fontId="63" fillId="0" borderId="0" xfId="3" applyFont="1" applyProtection="1"/>
    <xf numFmtId="169" fontId="66" fillId="0" borderId="143" xfId="3" applyNumberFormat="1" applyFont="1" applyBorder="1" applyAlignment="1" applyProtection="1">
      <alignment horizontal="center"/>
    </xf>
    <xf numFmtId="169" fontId="66"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8" fillId="0" borderId="77" xfId="3" applyNumberFormat="1" applyFont="1" applyBorder="1" applyProtection="1"/>
    <xf numFmtId="6" fontId="66" fillId="0" borderId="0" xfId="3" applyNumberFormat="1" applyFont="1" applyProtection="1"/>
    <xf numFmtId="0" fontId="115" fillId="0" borderId="0" xfId="3" applyFont="1" applyProtection="1"/>
    <xf numFmtId="10" fontId="119" fillId="0" borderId="0" xfId="3" applyNumberFormat="1" applyFont="1" applyBorder="1" applyProtection="1"/>
    <xf numFmtId="2" fontId="79" fillId="0" borderId="78" xfId="3" applyNumberFormat="1" applyFont="1" applyBorder="1" applyProtection="1"/>
    <xf numFmtId="0" fontId="79" fillId="0" borderId="78" xfId="3" applyFont="1" applyBorder="1" applyAlignment="1" applyProtection="1">
      <alignment horizontal="center"/>
    </xf>
    <xf numFmtId="0" fontId="79" fillId="0" borderId="78" xfId="3" applyFont="1" applyBorder="1" applyProtection="1"/>
    <xf numFmtId="2" fontId="79" fillId="0" borderId="0" xfId="3" applyNumberFormat="1" applyFont="1" applyBorder="1" applyProtection="1"/>
    <xf numFmtId="0" fontId="79" fillId="0" borderId="0" xfId="3" applyFont="1" applyBorder="1" applyAlignment="1" applyProtection="1">
      <alignment horizontal="center"/>
    </xf>
    <xf numFmtId="0" fontId="79" fillId="0" borderId="0" xfId="3" applyFont="1" applyBorder="1" applyProtection="1"/>
    <xf numFmtId="0" fontId="66"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61" fillId="0" borderId="0" xfId="3" applyFont="1" applyAlignment="1" applyProtection="1">
      <alignment horizontal="left" vertical="center"/>
    </xf>
    <xf numFmtId="169" fontId="66"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9"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center"/>
    </xf>
    <xf numFmtId="0" fontId="69" fillId="0" borderId="0" xfId="3" applyFont="1" applyAlignment="1" applyProtection="1">
      <alignment horizontal="right"/>
    </xf>
    <xf numFmtId="178" fontId="69" fillId="0" borderId="74" xfId="3" applyNumberFormat="1" applyFont="1" applyBorder="1" applyAlignment="1" applyProtection="1">
      <alignment horizontal="center"/>
      <protection locked="0"/>
    </xf>
    <xf numFmtId="0" fontId="61" fillId="0" borderId="22" xfId="3" applyFont="1" applyBorder="1" applyAlignment="1" applyProtection="1">
      <alignment horizontal="center"/>
      <protection locked="0"/>
    </xf>
    <xf numFmtId="0" fontId="66" fillId="0" borderId="0" xfId="3" applyFont="1" applyAlignment="1" applyProtection="1">
      <alignment horizontal="left" vertical="center" indent="1"/>
    </xf>
    <xf numFmtId="0" fontId="66" fillId="0" borderId="0" xfId="3" applyFont="1" applyAlignment="1" applyProtection="1">
      <alignment horizontal="left" indent="1"/>
    </xf>
    <xf numFmtId="0" fontId="66" fillId="0" borderId="0" xfId="3" applyFont="1" applyBorder="1" applyAlignment="1" applyProtection="1">
      <alignment horizontal="left"/>
    </xf>
    <xf numFmtId="0" fontId="61" fillId="0" borderId="74" xfId="3" applyFont="1" applyBorder="1" applyProtection="1">
      <protection locked="0"/>
    </xf>
    <xf numFmtId="0" fontId="69" fillId="0" borderId="9" xfId="3" applyFont="1" applyBorder="1" applyProtection="1"/>
    <xf numFmtId="0" fontId="68" fillId="0" borderId="0" xfId="3" applyFont="1" applyAlignment="1" applyProtection="1">
      <alignment horizontal="center"/>
    </xf>
    <xf numFmtId="0" fontId="69" fillId="0" borderId="0" xfId="3" applyFont="1" applyBorder="1" applyAlignment="1" applyProtection="1">
      <alignment horizontal="center"/>
    </xf>
    <xf numFmtId="0" fontId="68" fillId="0" borderId="0" xfId="3" quotePrefix="1" applyFont="1" applyBorder="1" applyAlignment="1" applyProtection="1">
      <alignment horizontal="left"/>
    </xf>
    <xf numFmtId="0" fontId="59" fillId="0" borderId="0" xfId="3" applyFont="1" applyBorder="1" applyAlignment="1" applyProtection="1">
      <alignment horizontal="center"/>
    </xf>
    <xf numFmtId="0" fontId="61" fillId="0" borderId="9" xfId="3" applyFont="1" applyBorder="1" applyAlignment="1" applyProtection="1">
      <alignment horizontal="left"/>
    </xf>
    <xf numFmtId="0" fontId="61" fillId="0" borderId="9" xfId="3" applyFont="1" applyBorder="1" applyAlignment="1" applyProtection="1"/>
    <xf numFmtId="170" fontId="61" fillId="0" borderId="9" xfId="3" applyNumberFormat="1" applyFont="1" applyBorder="1" applyAlignment="1" applyProtection="1">
      <alignment horizontal="centerContinuous"/>
    </xf>
    <xf numFmtId="0" fontId="76" fillId="0" borderId="145" xfId="3" applyFont="1" applyBorder="1" applyAlignment="1" applyProtection="1">
      <alignment horizontal="left"/>
    </xf>
    <xf numFmtId="0" fontId="61" fillId="0" borderId="145" xfId="3" applyFont="1" applyBorder="1" applyProtection="1"/>
    <xf numFmtId="0" fontId="61" fillId="0" borderId="145" xfId="3" applyFont="1" applyBorder="1" applyAlignment="1" applyProtection="1">
      <alignment horizontal="center"/>
    </xf>
    <xf numFmtId="49" fontId="58" fillId="0" borderId="0" xfId="3" applyNumberFormat="1" applyFont="1" applyBorder="1" applyAlignment="1" applyProtection="1">
      <alignment horizontal="center" vertical="center"/>
    </xf>
    <xf numFmtId="166" fontId="58" fillId="0" borderId="0" xfId="3" applyNumberFormat="1" applyFont="1" applyBorder="1" applyAlignment="1" applyProtection="1">
      <alignment horizontal="center" vertical="center"/>
    </xf>
    <xf numFmtId="49" fontId="58" fillId="0" borderId="0" xfId="3" applyNumberFormat="1" applyFont="1" applyAlignment="1" applyProtection="1">
      <alignment horizontal="center" vertical="center"/>
    </xf>
    <xf numFmtId="0" fontId="59" fillId="0" borderId="0" xfId="3" applyFont="1" applyBorder="1" applyAlignment="1" applyProtection="1">
      <alignment vertical="center"/>
    </xf>
    <xf numFmtId="0" fontId="72" fillId="0" borderId="0" xfId="3" applyFont="1" applyBorder="1" applyAlignment="1" applyProtection="1">
      <alignment horizontal="center"/>
    </xf>
    <xf numFmtId="179" fontId="61" fillId="0" borderId="0" xfId="3" applyNumberFormat="1" applyFont="1" applyBorder="1" applyProtection="1">
      <protection locked="0"/>
    </xf>
    <xf numFmtId="179" fontId="61" fillId="0" borderId="0" xfId="3" applyNumberFormat="1" applyFont="1" applyBorder="1" applyAlignment="1" applyProtection="1">
      <alignment horizontal="left"/>
      <protection locked="0"/>
    </xf>
    <xf numFmtId="179" fontId="68" fillId="0" borderId="0" xfId="3" applyNumberFormat="1" applyFont="1" applyProtection="1">
      <protection locked="0"/>
    </xf>
    <xf numFmtId="179" fontId="61" fillId="0" borderId="0" xfId="3" applyNumberFormat="1" applyFont="1" applyProtection="1">
      <protection locked="0"/>
    </xf>
    <xf numFmtId="179" fontId="61" fillId="0" borderId="0" xfId="3" applyNumberFormat="1" applyFont="1" applyAlignment="1" applyProtection="1">
      <alignment horizontal="left"/>
      <protection locked="0"/>
    </xf>
    <xf numFmtId="49" fontId="83" fillId="0" borderId="0" xfId="3" applyNumberFormat="1" applyFont="1" applyBorder="1" applyAlignment="1" applyProtection="1">
      <alignment horizontal="left"/>
      <protection locked="0"/>
    </xf>
    <xf numFmtId="49" fontId="61" fillId="0" borderId="0" xfId="3" applyNumberFormat="1" applyFont="1" applyProtection="1">
      <protection locked="0"/>
    </xf>
    <xf numFmtId="49" fontId="61" fillId="0" borderId="78" xfId="3" applyNumberFormat="1" applyFont="1" applyBorder="1" applyAlignment="1" applyProtection="1">
      <protection locked="0"/>
    </xf>
    <xf numFmtId="0" fontId="61" fillId="0" borderId="78" xfId="3" applyFont="1" applyBorder="1" applyProtection="1">
      <protection locked="0"/>
    </xf>
    <xf numFmtId="0" fontId="116" fillId="0" borderId="0" xfId="3" applyFont="1" applyAlignment="1" applyProtection="1">
      <alignment horizontal="left"/>
    </xf>
    <xf numFmtId="0" fontId="66" fillId="0" borderId="0" xfId="3" applyFont="1" applyAlignment="1" applyProtection="1">
      <alignment horizontal="left" vertical="center" indent="2"/>
    </xf>
    <xf numFmtId="49" fontId="74" fillId="0" borderId="0" xfId="0" applyNumberFormat="1" applyFont="1" applyBorder="1" applyAlignment="1">
      <alignment horizontal="left"/>
    </xf>
    <xf numFmtId="49" fontId="62" fillId="0" borderId="0" xfId="2" applyNumberFormat="1" applyFont="1" applyBorder="1" applyAlignment="1" applyProtection="1">
      <alignment horizontal="left" indent="4"/>
    </xf>
    <xf numFmtId="49" fontId="67" fillId="0" borderId="0" xfId="0" applyNumberFormat="1" applyFont="1" applyBorder="1" applyAlignment="1">
      <alignment horizontal="left" indent="1"/>
    </xf>
    <xf numFmtId="0" fontId="74" fillId="0" borderId="0" xfId="0" applyFont="1" applyBorder="1" applyProtection="1"/>
    <xf numFmtId="164" fontId="66" fillId="0" borderId="19"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indent="1"/>
    </xf>
    <xf numFmtId="0" fontId="66" fillId="0" borderId="0" xfId="0" applyFont="1" applyFill="1" applyAlignment="1" applyProtection="1">
      <alignment horizontal="left" vertical="center" indent="1"/>
    </xf>
    <xf numFmtId="164" fontId="66" fillId="0" borderId="0" xfId="0" applyNumberFormat="1" applyFont="1" applyFill="1" applyBorder="1" applyAlignment="1" applyProtection="1">
      <alignment horizontal="left" vertical="center" wrapText="1" indent="1"/>
    </xf>
    <xf numFmtId="0" fontId="68" fillId="0" borderId="20" xfId="0" applyFont="1" applyFill="1" applyBorder="1" applyAlignment="1" applyProtection="1">
      <alignment horizontal="left" vertical="center" indent="2"/>
    </xf>
    <xf numFmtId="0" fontId="66" fillId="0" borderId="0" xfId="0" applyFont="1" applyFill="1" applyBorder="1" applyAlignment="1" applyProtection="1">
      <alignment horizontal="left" vertical="center" indent="1"/>
    </xf>
    <xf numFmtId="0" fontId="66" fillId="0" borderId="21" xfId="0" applyFont="1" applyBorder="1" applyAlignment="1" applyProtection="1">
      <alignment horizontal="left" vertical="top" indent="1"/>
    </xf>
    <xf numFmtId="0" fontId="66" fillId="0" borderId="0" xfId="0" applyFont="1" applyFill="1" applyBorder="1" applyAlignment="1" applyProtection="1">
      <alignment horizontal="left" vertical="top" indent="1"/>
    </xf>
    <xf numFmtId="0" fontId="66" fillId="0" borderId="125" xfId="0" applyFont="1" applyBorder="1" applyAlignment="1" applyProtection="1">
      <alignment horizontal="left" vertical="center" indent="1"/>
    </xf>
    <xf numFmtId="0" fontId="66" fillId="0" borderId="24" xfId="0" applyFont="1" applyBorder="1" applyAlignment="1" applyProtection="1">
      <alignment horizontal="left" vertical="center" indent="1"/>
    </xf>
    <xf numFmtId="0" fontId="66" fillId="0" borderId="52" xfId="0" applyFont="1" applyBorder="1" applyAlignment="1" applyProtection="1">
      <alignment horizontal="left" vertical="center" indent="1"/>
    </xf>
    <xf numFmtId="0" fontId="66" fillId="0" borderId="21" xfId="0" applyFont="1" applyBorder="1" applyAlignment="1" applyProtection="1">
      <alignment horizontal="left" vertical="center" wrapText="1" indent="1"/>
    </xf>
    <xf numFmtId="0" fontId="66" fillId="0" borderId="126" xfId="0" applyFont="1" applyFill="1" applyBorder="1" applyAlignment="1" applyProtection="1">
      <alignment horizontal="left" vertical="center" indent="1"/>
    </xf>
    <xf numFmtId="0" fontId="66" fillId="0" borderId="100" xfId="0" applyFont="1" applyFill="1" applyBorder="1" applyAlignment="1" applyProtection="1">
      <alignment horizontal="left" vertical="center" indent="1"/>
    </xf>
    <xf numFmtId="3" fontId="66" fillId="0" borderId="2" xfId="0" applyNumberFormat="1" applyFont="1" applyBorder="1" applyAlignment="1">
      <alignment horizontal="left" vertical="center" wrapText="1" indent="1"/>
    </xf>
    <xf numFmtId="3" fontId="66" fillId="0" borderId="12" xfId="0" applyNumberFormat="1" applyFont="1" applyBorder="1" applyAlignment="1">
      <alignment horizontal="left" vertical="center" wrapText="1" indent="1"/>
    </xf>
    <xf numFmtId="3" fontId="66" fillId="0" borderId="12" xfId="0" applyNumberFormat="1" applyFont="1" applyBorder="1" applyAlignment="1">
      <alignment horizontal="left" vertical="center" indent="1"/>
    </xf>
    <xf numFmtId="3" fontId="68" fillId="2" borderId="36"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wrapText="1" indent="1"/>
    </xf>
    <xf numFmtId="3" fontId="66" fillId="0" borderId="124" xfId="0" applyNumberFormat="1" applyFont="1" applyBorder="1" applyAlignment="1">
      <alignment horizontal="left" vertical="center" wrapText="1" indent="1"/>
    </xf>
    <xf numFmtId="3" fontId="66" fillId="0" borderId="122" xfId="0" applyNumberFormat="1" applyFont="1" applyFill="1" applyBorder="1" applyAlignment="1">
      <alignment horizontal="left" vertical="center" wrapText="1" indent="1"/>
    </xf>
    <xf numFmtId="3" fontId="66" fillId="0" borderId="29" xfId="0" applyNumberFormat="1" applyFont="1" applyFill="1" applyBorder="1" applyAlignment="1">
      <alignment horizontal="left" vertical="center" wrapText="1" indent="1"/>
    </xf>
    <xf numFmtId="3" fontId="66" fillId="0" borderId="124" xfId="0" applyNumberFormat="1" applyFont="1" applyFill="1" applyBorder="1" applyAlignment="1">
      <alignment horizontal="left" vertical="center" wrapText="1" indent="1"/>
    </xf>
    <xf numFmtId="3" fontId="66" fillId="0" borderId="2" xfId="0" applyNumberFormat="1" applyFont="1" applyFill="1" applyBorder="1" applyAlignment="1">
      <alignment horizontal="left" vertical="center" wrapText="1" indent="1"/>
    </xf>
    <xf numFmtId="3" fontId="68" fillId="0" borderId="49" xfId="0" applyNumberFormat="1" applyFont="1" applyFill="1" applyBorder="1" applyAlignment="1">
      <alignment horizontal="left" vertical="center" wrapText="1" indent="1"/>
    </xf>
    <xf numFmtId="3" fontId="68" fillId="7" borderId="27" xfId="0" applyNumberFormat="1" applyFont="1" applyFill="1" applyBorder="1" applyAlignment="1">
      <alignment horizontal="left" vertical="center" wrapText="1" indent="1"/>
    </xf>
    <xf numFmtId="3" fontId="66" fillId="0" borderId="2" xfId="0" applyNumberFormat="1" applyFont="1" applyBorder="1" applyAlignment="1">
      <alignment horizontal="left" vertical="center" indent="1"/>
    </xf>
    <xf numFmtId="3" fontId="66" fillId="0" borderId="13" xfId="0" applyNumberFormat="1" applyFont="1" applyBorder="1" applyAlignment="1">
      <alignment horizontal="left" vertical="center" wrapText="1" indent="1"/>
    </xf>
    <xf numFmtId="164" fontId="66" fillId="0" borderId="13" xfId="0" applyNumberFormat="1" applyFont="1" applyFill="1" applyBorder="1" applyAlignment="1">
      <alignment horizontal="left" vertical="center" wrapText="1" indent="1"/>
    </xf>
    <xf numFmtId="0" fontId="66" fillId="0" borderId="2" xfId="0" applyFont="1" applyFill="1" applyBorder="1" applyAlignment="1">
      <alignment horizontal="left" vertical="center" wrapText="1" indent="1"/>
    </xf>
    <xf numFmtId="0" fontId="66" fillId="0" borderId="12" xfId="0" applyFont="1" applyFill="1" applyBorder="1" applyAlignment="1">
      <alignment horizontal="left" vertical="center" wrapText="1" indent="1"/>
    </xf>
    <xf numFmtId="3" fontId="68" fillId="7" borderId="55"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indent="1"/>
    </xf>
    <xf numFmtId="0" fontId="66" fillId="0" borderId="2" xfId="0" applyFont="1" applyFill="1" applyBorder="1" applyAlignment="1">
      <alignment horizontal="left" vertical="center" indent="1"/>
    </xf>
    <xf numFmtId="38" fontId="59" fillId="0" borderId="124" xfId="0" applyNumberFormat="1" applyFont="1" applyFill="1" applyBorder="1" applyAlignment="1" applyProtection="1">
      <alignment horizontal="right" vertical="center"/>
      <protection locked="0"/>
    </xf>
    <xf numFmtId="38" fontId="58" fillId="6" borderId="149" xfId="0" applyNumberFormat="1" applyFont="1" applyFill="1" applyBorder="1" applyAlignment="1">
      <alignment horizontal="center" vertical="center" wrapText="1"/>
    </xf>
    <xf numFmtId="38" fontId="58" fillId="6" borderId="149" xfId="0" applyNumberFormat="1" applyFont="1" applyFill="1" applyBorder="1" applyAlignment="1">
      <alignment horizontal="center" vertical="top" wrapText="1"/>
    </xf>
    <xf numFmtId="38" fontId="68" fillId="6" borderId="149" xfId="0" applyNumberFormat="1" applyFont="1" applyFill="1" applyBorder="1" applyAlignment="1">
      <alignment horizontal="center" vertical="center" wrapText="1"/>
    </xf>
    <xf numFmtId="38" fontId="68" fillId="6" borderId="10" xfId="0" applyNumberFormat="1" applyFont="1" applyFill="1" applyBorder="1" applyAlignment="1">
      <alignment horizontal="center" vertical="center" wrapText="1"/>
    </xf>
    <xf numFmtId="0" fontId="58" fillId="0" borderId="2" xfId="9" applyFont="1" applyFill="1" applyBorder="1" applyAlignment="1">
      <alignment horizontal="center" vertical="center"/>
    </xf>
    <xf numFmtId="0" fontId="61" fillId="0" borderId="50" xfId="0" applyFont="1" applyBorder="1" applyAlignment="1">
      <alignment horizontal="left" wrapText="1"/>
    </xf>
    <xf numFmtId="0" fontId="98" fillId="0" borderId="0" xfId="0" applyFont="1" applyAlignment="1" applyProtection="1">
      <alignment horizontal="right"/>
    </xf>
    <xf numFmtId="0" fontId="98" fillId="0" borderId="0" xfId="0" applyFont="1" applyAlignment="1" applyProtection="1">
      <alignment horizontal="right" vertical="top"/>
    </xf>
    <xf numFmtId="0" fontId="12" fillId="0" borderId="0" xfId="17"/>
    <xf numFmtId="0" fontId="103" fillId="0" borderId="134" xfId="17" applyFont="1" applyBorder="1" applyAlignment="1">
      <alignment horizontal="left" vertical="top"/>
    </xf>
    <xf numFmtId="0" fontId="123" fillId="0" borderId="135" xfId="17" applyFont="1" applyBorder="1" applyAlignment="1">
      <alignment horizontal="center" vertical="top"/>
    </xf>
    <xf numFmtId="0" fontId="123" fillId="0" borderId="136"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12" fillId="22" borderId="151" xfId="17" applyNumberFormat="1" applyFill="1" applyBorder="1" applyAlignment="1">
      <alignment horizontal="right" vertical="top"/>
    </xf>
    <xf numFmtId="38" fontId="12" fillId="22" borderId="152" xfId="17" applyNumberFormat="1" applyFill="1" applyBorder="1" applyAlignment="1">
      <alignment horizontal="right" vertical="top"/>
    </xf>
    <xf numFmtId="0" fontId="12" fillId="0" borderId="0" xfId="17" applyAlignment="1">
      <alignment horizontal="left" vertical="top" wrapText="1"/>
    </xf>
    <xf numFmtId="0" fontId="12" fillId="0" borderId="0" xfId="17" applyAlignment="1">
      <alignment vertical="top"/>
    </xf>
    <xf numFmtId="38" fontId="12" fillId="0" borderId="0" xfId="17" applyNumberFormat="1" applyAlignment="1">
      <alignment horizontal="right" vertical="top"/>
    </xf>
    <xf numFmtId="0" fontId="12" fillId="0" borderId="0" xfId="17" applyAlignment="1">
      <alignment horizontal="center" vertical="top" wrapText="1"/>
    </xf>
    <xf numFmtId="0" fontId="122" fillId="23" borderId="150" xfId="17" applyFont="1" applyFill="1" applyBorder="1" applyAlignment="1">
      <alignment horizontal="center" vertical="center" wrapText="1"/>
    </xf>
    <xf numFmtId="38" fontId="122" fillId="23" borderId="150" xfId="17" applyNumberFormat="1" applyFont="1" applyFill="1" applyBorder="1" applyAlignment="1">
      <alignment horizontal="center" vertical="center" wrapText="1"/>
    </xf>
    <xf numFmtId="3" fontId="59" fillId="23" borderId="128" xfId="0" applyNumberFormat="1" applyFont="1" applyFill="1" applyBorder="1" applyAlignment="1">
      <alignment horizontal="center"/>
    </xf>
    <xf numFmtId="3" fontId="59" fillId="23" borderId="128" xfId="0" applyNumberFormat="1" applyFont="1" applyFill="1" applyBorder="1" applyAlignment="1">
      <alignment horizontal="right"/>
    </xf>
    <xf numFmtId="3" fontId="59" fillId="23" borderId="129" xfId="0" applyNumberFormat="1" applyFont="1" applyFill="1" applyBorder="1" applyAlignment="1">
      <alignment horizontal="center"/>
    </xf>
    <xf numFmtId="38" fontId="59" fillId="23" borderId="19" xfId="0" applyNumberFormat="1" applyFont="1" applyFill="1" applyBorder="1" applyAlignment="1">
      <alignment horizontal="right"/>
    </xf>
    <xf numFmtId="38" fontId="59" fillId="23" borderId="20" xfId="0" applyNumberFormat="1" applyFont="1" applyFill="1" applyBorder="1" applyAlignment="1">
      <alignment horizontal="right"/>
    </xf>
    <xf numFmtId="38" fontId="59" fillId="23" borderId="11" xfId="0" applyNumberFormat="1" applyFont="1" applyFill="1" applyBorder="1" applyAlignment="1">
      <alignment horizontal="right"/>
    </xf>
    <xf numFmtId="3" fontId="69" fillId="23" borderId="122" xfId="0" applyNumberFormat="1" applyFont="1" applyFill="1" applyBorder="1" applyAlignment="1">
      <alignment horizontal="center" vertical="center" wrapText="1"/>
    </xf>
    <xf numFmtId="49" fontId="66" fillId="23" borderId="11" xfId="0" applyNumberFormat="1" applyFont="1" applyFill="1" applyBorder="1" applyAlignment="1">
      <alignment horizontal="center" vertical="center"/>
    </xf>
    <xf numFmtId="38" fontId="59" fillId="23" borderId="13" xfId="0" applyNumberFormat="1" applyFont="1" applyFill="1" applyBorder="1" applyAlignment="1">
      <alignment horizontal="right"/>
    </xf>
    <xf numFmtId="38" fontId="59" fillId="23" borderId="21" xfId="0" applyNumberFormat="1" applyFont="1" applyFill="1" applyBorder="1" applyAlignment="1">
      <alignment horizontal="right"/>
    </xf>
    <xf numFmtId="38" fontId="59" fillId="23" borderId="14" xfId="0" applyNumberFormat="1" applyFont="1" applyFill="1" applyBorder="1" applyAlignment="1">
      <alignment horizontal="right"/>
    </xf>
    <xf numFmtId="38" fontId="58" fillId="23" borderId="13" xfId="0" applyNumberFormat="1" applyFont="1" applyFill="1" applyBorder="1" applyAlignment="1" applyProtection="1">
      <alignment horizontal="right"/>
    </xf>
    <xf numFmtId="38" fontId="58" fillId="23" borderId="21" xfId="0" applyNumberFormat="1" applyFont="1" applyFill="1" applyBorder="1" applyAlignment="1" applyProtection="1">
      <alignment horizontal="right"/>
    </xf>
    <xf numFmtId="38" fontId="58" fillId="23" borderId="21" xfId="1" applyNumberFormat="1" applyFont="1" applyFill="1" applyBorder="1" applyAlignment="1" applyProtection="1">
      <alignment horizontal="right"/>
    </xf>
    <xf numFmtId="38" fontId="58" fillId="23" borderId="14" xfId="0" applyNumberFormat="1" applyFont="1" applyFill="1" applyBorder="1" applyAlignment="1" applyProtection="1">
      <alignment horizontal="right"/>
    </xf>
    <xf numFmtId="38" fontId="59" fillId="23" borderId="19" xfId="0" applyNumberFormat="1" applyFont="1" applyFill="1" applyBorder="1" applyAlignment="1" applyProtection="1">
      <alignment horizontal="right"/>
    </xf>
    <xf numFmtId="38" fontId="59" fillId="23" borderId="20" xfId="0" applyNumberFormat="1" applyFont="1" applyFill="1" applyBorder="1" applyAlignment="1" applyProtection="1">
      <alignment horizontal="right"/>
    </xf>
    <xf numFmtId="38" fontId="59" fillId="23" borderId="21" xfId="0" applyNumberFormat="1" applyFont="1" applyFill="1" applyBorder="1" applyAlignment="1" applyProtection="1">
      <alignment horizontal="right"/>
    </xf>
    <xf numFmtId="38" fontId="59" fillId="23" borderId="14" xfId="0" applyNumberFormat="1" applyFont="1" applyFill="1" applyBorder="1" applyAlignment="1" applyProtection="1">
      <alignment horizontal="right"/>
    </xf>
    <xf numFmtId="0" fontId="61" fillId="23" borderId="31" xfId="0" applyFont="1" applyFill="1" applyBorder="1" applyAlignment="1">
      <alignment horizontal="center" vertical="center"/>
    </xf>
    <xf numFmtId="38" fontId="59" fillId="23" borderId="13" xfId="0" applyNumberFormat="1" applyFont="1" applyFill="1" applyBorder="1" applyAlignment="1" applyProtection="1">
      <alignment horizontal="right"/>
    </xf>
    <xf numFmtId="38" fontId="59" fillId="23" borderId="11" xfId="0" applyNumberFormat="1" applyFont="1" applyFill="1" applyBorder="1" applyAlignment="1" applyProtection="1">
      <alignment horizontal="right"/>
    </xf>
    <xf numFmtId="38" fontId="59" fillId="23" borderId="49" xfId="0" applyNumberFormat="1" applyFont="1" applyFill="1" applyBorder="1" applyAlignment="1" applyProtection="1">
      <alignment horizontal="right"/>
    </xf>
    <xf numFmtId="38" fontId="59" fillId="23" borderId="34" xfId="0" applyNumberFormat="1" applyFont="1" applyFill="1" applyBorder="1" applyAlignment="1" applyProtection="1">
      <alignment horizontal="right"/>
    </xf>
    <xf numFmtId="38" fontId="59" fillId="23" borderId="31" xfId="0" applyNumberFormat="1" applyFont="1" applyFill="1" applyBorder="1" applyAlignment="1" applyProtection="1">
      <alignment horizontal="right"/>
    </xf>
    <xf numFmtId="3" fontId="58" fillId="23" borderId="13" xfId="0" applyNumberFormat="1" applyFont="1" applyFill="1" applyBorder="1" applyAlignment="1" applyProtection="1">
      <alignment horizontal="right" vertical="center"/>
    </xf>
    <xf numFmtId="3" fontId="58" fillId="23" borderId="21" xfId="0" applyNumberFormat="1" applyFont="1" applyFill="1" applyBorder="1" applyAlignment="1" applyProtection="1">
      <alignment horizontal="right" vertical="center"/>
    </xf>
    <xf numFmtId="3" fontId="58" fillId="23" borderId="14" xfId="0" applyNumberFormat="1" applyFont="1" applyFill="1" applyBorder="1" applyAlignment="1" applyProtection="1">
      <alignment horizontal="right" vertical="center"/>
    </xf>
    <xf numFmtId="0" fontId="68" fillId="17" borderId="14" xfId="0" applyFont="1" applyFill="1" applyBorder="1" applyAlignment="1" applyProtection="1">
      <alignment horizontal="left" vertical="center"/>
    </xf>
    <xf numFmtId="0" fontId="68" fillId="17" borderId="2" xfId="0" applyFont="1" applyFill="1" applyBorder="1" applyAlignment="1" applyProtection="1">
      <alignment horizontal="center" vertical="top"/>
    </xf>
    <xf numFmtId="0" fontId="68" fillId="17" borderId="2" xfId="0" applyFont="1" applyFill="1" applyBorder="1" applyAlignment="1" applyProtection="1">
      <alignment horizontal="center" vertical="center"/>
    </xf>
    <xf numFmtId="3" fontId="58" fillId="23" borderId="13" xfId="0" applyNumberFormat="1" applyFont="1" applyFill="1" applyBorder="1" applyAlignment="1" applyProtection="1">
      <alignment horizontal="center" vertical="center"/>
    </xf>
    <xf numFmtId="49" fontId="68" fillId="23" borderId="21" xfId="0" applyNumberFormat="1" applyFont="1" applyFill="1" applyBorder="1" applyAlignment="1" applyProtection="1">
      <alignment horizontal="center" vertical="center"/>
    </xf>
    <xf numFmtId="3" fontId="59" fillId="23" borderId="21" xfId="0" applyNumberFormat="1" applyFont="1" applyFill="1" applyBorder="1" applyAlignment="1" applyProtection="1">
      <alignment horizontal="center"/>
    </xf>
    <xf numFmtId="3" fontId="61" fillId="23" borderId="21" xfId="0" applyNumberFormat="1" applyFont="1" applyFill="1" applyBorder="1" applyAlignment="1" applyProtection="1">
      <alignment horizontal="center"/>
    </xf>
    <xf numFmtId="38" fontId="61" fillId="23" borderId="21" xfId="0" applyNumberFormat="1" applyFont="1" applyFill="1" applyBorder="1" applyAlignment="1" applyProtection="1">
      <alignment horizontal="center"/>
    </xf>
    <xf numFmtId="3" fontId="61" fillId="23" borderId="14" xfId="0" applyNumberFormat="1" applyFont="1" applyFill="1" applyBorder="1" applyAlignment="1" applyProtection="1">
      <alignment horizontal="center"/>
    </xf>
    <xf numFmtId="0" fontId="58" fillId="23" borderId="49" xfId="0" applyFont="1" applyFill="1" applyBorder="1" applyAlignment="1" applyProtection="1">
      <alignment horizontal="center" vertical="center" wrapText="1"/>
    </xf>
    <xf numFmtId="0" fontId="59" fillId="23" borderId="34" xfId="0" applyFont="1" applyFill="1" applyBorder="1" applyAlignment="1">
      <alignment horizontal="center" vertical="center" wrapText="1"/>
    </xf>
    <xf numFmtId="164" fontId="58" fillId="23" borderId="49" xfId="0" applyNumberFormat="1" applyFont="1" applyFill="1" applyBorder="1" applyAlignment="1" applyProtection="1">
      <alignment horizontal="center" vertical="center" wrapText="1"/>
    </xf>
    <xf numFmtId="0" fontId="61" fillId="23" borderId="31" xfId="0" applyFont="1" applyFill="1" applyBorder="1" applyAlignment="1">
      <alignment horizontal="center" vertical="center" wrapText="1"/>
    </xf>
    <xf numFmtId="164" fontId="58" fillId="23" borderId="49" xfId="0" applyNumberFormat="1" applyFont="1" applyFill="1" applyBorder="1" applyAlignment="1" applyProtection="1">
      <alignment horizontal="center" vertical="center"/>
    </xf>
    <xf numFmtId="3" fontId="68" fillId="17" borderId="20" xfId="0" applyNumberFormat="1" applyFont="1" applyFill="1" applyBorder="1" applyAlignment="1" applyProtection="1">
      <alignment horizontal="left" vertical="center"/>
    </xf>
    <xf numFmtId="0" fontId="68" fillId="17" borderId="2" xfId="0" applyFont="1" applyFill="1" applyBorder="1" applyAlignment="1">
      <alignment horizontal="center" vertical="center"/>
    </xf>
    <xf numFmtId="164" fontId="68" fillId="17" borderId="20" xfId="0" applyNumberFormat="1" applyFont="1" applyFill="1" applyBorder="1" applyAlignment="1" applyProtection="1">
      <alignment horizontal="left" vertical="center"/>
    </xf>
    <xf numFmtId="0" fontId="68" fillId="17" borderId="29" xfId="0" applyFont="1" applyFill="1" applyBorder="1" applyAlignment="1" applyProtection="1">
      <alignment horizontal="center" vertical="center"/>
    </xf>
    <xf numFmtId="0" fontId="68" fillId="17" borderId="124" xfId="0" applyFont="1" applyFill="1" applyBorder="1" applyAlignment="1" applyProtection="1">
      <alignment horizontal="center" vertical="center"/>
    </xf>
    <xf numFmtId="164" fontId="68" fillId="17" borderId="21" xfId="0" applyNumberFormat="1" applyFont="1" applyFill="1" applyBorder="1" applyAlignment="1" applyProtection="1">
      <alignment horizontal="left" vertical="center"/>
    </xf>
    <xf numFmtId="0" fontId="68" fillId="17" borderId="14" xfId="0" applyFont="1" applyFill="1" applyBorder="1" applyAlignment="1" applyProtection="1">
      <alignment horizontal="center" vertical="center"/>
    </xf>
    <xf numFmtId="0" fontId="68" fillId="17" borderId="31" xfId="0" applyFont="1" applyFill="1" applyBorder="1" applyAlignment="1" applyProtection="1">
      <alignment horizontal="center" vertical="center"/>
    </xf>
    <xf numFmtId="164" fontId="68" fillId="15" borderId="21" xfId="0" applyNumberFormat="1" applyFont="1" applyFill="1" applyBorder="1" applyAlignment="1" applyProtection="1">
      <alignment horizontal="left" vertical="center" indent="1"/>
    </xf>
    <xf numFmtId="0" fontId="66" fillId="15" borderId="14" xfId="0" applyFont="1" applyFill="1" applyBorder="1" applyAlignment="1" applyProtection="1">
      <alignment horizontal="center" vertical="center"/>
    </xf>
    <xf numFmtId="164" fontId="68" fillId="15" borderId="20" xfId="0" applyNumberFormat="1" applyFont="1" applyFill="1" applyBorder="1" applyAlignment="1" applyProtection="1">
      <alignment horizontal="left" vertical="center" indent="1"/>
    </xf>
    <xf numFmtId="1" fontId="66" fillId="15" borderId="11" xfId="0" applyNumberFormat="1" applyFont="1" applyFill="1" applyBorder="1" applyAlignment="1" applyProtection="1">
      <alignment horizontal="center" vertical="center"/>
    </xf>
    <xf numFmtId="1" fontId="66" fillId="15" borderId="4" xfId="0" applyNumberFormat="1" applyFont="1" applyFill="1" applyBorder="1" applyAlignment="1" applyProtection="1">
      <alignment horizontal="center" vertical="center"/>
    </xf>
    <xf numFmtId="0" fontId="68" fillId="15" borderId="21" xfId="0" applyFont="1" applyFill="1" applyBorder="1" applyAlignment="1">
      <alignment horizontal="left" vertical="center" indent="1"/>
    </xf>
    <xf numFmtId="0" fontId="66" fillId="15" borderId="14" xfId="0" applyFont="1" applyFill="1" applyBorder="1" applyAlignment="1">
      <alignment horizontal="left" vertical="center"/>
    </xf>
    <xf numFmtId="0" fontId="66" fillId="15" borderId="11" xfId="0" applyFont="1" applyFill="1" applyBorder="1" applyAlignment="1" applyProtection="1">
      <alignment horizontal="center" vertical="center"/>
    </xf>
    <xf numFmtId="3" fontId="68" fillId="17" borderId="122" xfId="0" applyNumberFormat="1" applyFont="1" applyFill="1" applyBorder="1" applyAlignment="1">
      <alignment horizontal="left" vertical="center" wrapText="1"/>
    </xf>
    <xf numFmtId="49" fontId="68" fillId="17" borderId="124" xfId="0" applyNumberFormat="1" applyFont="1" applyFill="1" applyBorder="1" applyAlignment="1">
      <alignment horizontal="center" vertical="center"/>
    </xf>
    <xf numFmtId="0" fontId="68" fillId="17" borderId="17" xfId="0" applyFont="1" applyFill="1" applyBorder="1" applyAlignment="1">
      <alignment horizontal="left" vertical="center" wrapText="1"/>
    </xf>
    <xf numFmtId="49" fontId="68" fillId="17" borderId="29" xfId="0" applyNumberFormat="1" applyFont="1" applyFill="1" applyBorder="1" applyAlignment="1">
      <alignment horizontal="center" vertical="center"/>
    </xf>
    <xf numFmtId="3" fontId="68" fillId="17" borderId="33" xfId="0" applyNumberFormat="1" applyFont="1" applyFill="1" applyBorder="1" applyAlignment="1">
      <alignment horizontal="left" vertical="center" wrapText="1"/>
    </xf>
    <xf numFmtId="49" fontId="68" fillId="17" borderId="33" xfId="0" applyNumberFormat="1" applyFont="1" applyFill="1" applyBorder="1" applyAlignment="1">
      <alignment horizontal="center" vertical="center"/>
    </xf>
    <xf numFmtId="164" fontId="68" fillId="17" borderId="122" xfId="0" applyNumberFormat="1" applyFont="1" applyFill="1" applyBorder="1" applyAlignment="1">
      <alignment horizontal="left" vertical="center" wrapText="1"/>
    </xf>
    <xf numFmtId="49" fontId="68" fillId="17" borderId="4" xfId="0" applyNumberFormat="1" applyFont="1" applyFill="1" applyBorder="1" applyAlignment="1">
      <alignment horizontal="center" vertical="center"/>
    </xf>
    <xf numFmtId="3" fontId="68" fillId="17" borderId="13" xfId="0" applyNumberFormat="1" applyFont="1" applyFill="1" applyBorder="1" applyAlignment="1">
      <alignment horizontal="left" vertical="center" wrapText="1"/>
    </xf>
    <xf numFmtId="49" fontId="68" fillId="17" borderId="2" xfId="0" applyNumberFormat="1" applyFont="1" applyFill="1" applyBorder="1" applyAlignment="1">
      <alignment horizontal="center" vertical="center"/>
    </xf>
    <xf numFmtId="164" fontId="68" fillId="17" borderId="17" xfId="0" applyNumberFormat="1" applyFont="1" applyFill="1" applyBorder="1" applyAlignment="1">
      <alignment horizontal="left" vertical="center" wrapText="1"/>
    </xf>
    <xf numFmtId="0" fontId="68" fillId="17" borderId="36" xfId="0" applyFont="1" applyFill="1" applyBorder="1" applyAlignment="1">
      <alignment horizontal="left" vertical="center" wrapText="1"/>
    </xf>
    <xf numFmtId="49" fontId="68" fillId="17" borderId="27" xfId="0" applyNumberFormat="1" applyFont="1" applyFill="1" applyBorder="1" applyAlignment="1">
      <alignment horizontal="center" vertical="center"/>
    </xf>
    <xf numFmtId="3" fontId="68" fillId="17" borderId="37" xfId="0" applyNumberFormat="1" applyFont="1" applyFill="1" applyBorder="1" applyAlignment="1">
      <alignment horizontal="left" vertical="center" wrapText="1"/>
    </xf>
    <xf numFmtId="0" fontId="68" fillId="17" borderId="13" xfId="0" applyFont="1" applyFill="1" applyBorder="1" applyAlignment="1">
      <alignment horizontal="left" vertical="center" wrapText="1"/>
    </xf>
    <xf numFmtId="49" fontId="68" fillId="17" borderId="14" xfId="0" applyNumberFormat="1" applyFont="1" applyFill="1" applyBorder="1" applyAlignment="1">
      <alignment horizontal="center" vertical="center"/>
    </xf>
    <xf numFmtId="0" fontId="68" fillId="17" borderId="37" xfId="0" applyFont="1" applyFill="1" applyBorder="1" applyAlignment="1">
      <alignment horizontal="left" vertical="center" wrapText="1"/>
    </xf>
    <xf numFmtId="164" fontId="68" fillId="17" borderId="13" xfId="0" applyNumberFormat="1" applyFont="1" applyFill="1" applyBorder="1" applyAlignment="1">
      <alignment horizontal="left" vertical="center" wrapText="1"/>
    </xf>
    <xf numFmtId="0" fontId="68" fillId="17" borderId="124" xfId="0" applyFont="1" applyFill="1" applyBorder="1" applyAlignment="1">
      <alignment horizontal="left" vertical="center" wrapText="1"/>
    </xf>
    <xf numFmtId="3" fontId="68" fillId="17" borderId="124" xfId="0" applyNumberFormat="1" applyFont="1" applyFill="1" applyBorder="1" applyAlignment="1">
      <alignment horizontal="left" vertical="center" wrapText="1"/>
    </xf>
    <xf numFmtId="38" fontId="59" fillId="24" borderId="19" xfId="0" applyNumberFormat="1" applyFont="1" applyFill="1" applyBorder="1" applyAlignment="1">
      <alignment horizontal="right"/>
    </xf>
    <xf numFmtId="38" fontId="59" fillId="24" borderId="20" xfId="0" applyNumberFormat="1" applyFont="1" applyFill="1" applyBorder="1" applyAlignment="1">
      <alignment horizontal="right"/>
    </xf>
    <xf numFmtId="38" fontId="59" fillId="24" borderId="11" xfId="0" applyNumberFormat="1" applyFont="1" applyFill="1" applyBorder="1" applyAlignment="1">
      <alignment horizontal="right"/>
    </xf>
    <xf numFmtId="0" fontId="68" fillId="17" borderId="50" xfId="0" applyFont="1" applyFill="1" applyBorder="1" applyAlignment="1" applyProtection="1">
      <alignment horizontal="left" vertical="center"/>
    </xf>
    <xf numFmtId="0" fontId="68" fillId="17" borderId="22" xfId="0" applyFont="1" applyFill="1" applyBorder="1" applyAlignment="1" applyProtection="1">
      <alignment horizontal="center" vertical="center"/>
    </xf>
    <xf numFmtId="0" fontId="68" fillId="17" borderId="46" xfId="0" applyFont="1" applyFill="1" applyBorder="1" applyAlignment="1" applyProtection="1">
      <alignment horizontal="left" vertical="center"/>
    </xf>
    <xf numFmtId="0" fontId="68" fillId="17" borderId="46" xfId="0" applyFont="1" applyFill="1" applyBorder="1" applyAlignment="1" applyProtection="1">
      <alignment horizontal="left" vertical="center" wrapText="1"/>
    </xf>
    <xf numFmtId="0" fontId="68" fillId="17" borderId="46" xfId="0" applyFont="1" applyFill="1" applyBorder="1" applyAlignment="1" applyProtection="1">
      <alignment horizontal="left" vertical="center" indent="1"/>
    </xf>
    <xf numFmtId="0" fontId="69" fillId="23" borderId="13" xfId="0" applyFont="1" applyFill="1" applyBorder="1" applyAlignment="1">
      <alignment horizontal="left" vertical="center"/>
    </xf>
    <xf numFmtId="0" fontId="69" fillId="23" borderId="21" xfId="0" applyFont="1" applyFill="1" applyBorder="1" applyAlignment="1">
      <alignment horizontal="left" vertical="center"/>
    </xf>
    <xf numFmtId="0" fontId="69" fillId="23" borderId="14" xfId="0" applyFont="1" applyFill="1" applyBorder="1" applyAlignment="1">
      <alignment horizontal="left" vertical="center"/>
    </xf>
    <xf numFmtId="0" fontId="58" fillId="15" borderId="12" xfId="0" applyFont="1" applyFill="1" applyBorder="1" applyAlignment="1" applyProtection="1">
      <alignment vertical="center"/>
    </xf>
    <xf numFmtId="0" fontId="68" fillId="0" borderId="153" xfId="0" applyFont="1" applyBorder="1" applyAlignment="1">
      <alignment horizontal="centerContinuous" vertical="center"/>
    </xf>
    <xf numFmtId="0" fontId="59" fillId="0" borderId="154" xfId="0" applyFont="1" applyBorder="1" applyAlignment="1">
      <alignment horizontal="centerContinuous" vertical="center"/>
    </xf>
    <xf numFmtId="0" fontId="61" fillId="0" borderId="154" xfId="0" applyFont="1" applyBorder="1" applyAlignment="1">
      <alignment horizontal="centerContinuous" vertical="center"/>
    </xf>
    <xf numFmtId="0" fontId="68" fillId="0" borderId="105" xfId="0" applyFont="1" applyBorder="1" applyAlignment="1">
      <alignment horizontal="center"/>
    </xf>
    <xf numFmtId="0" fontId="61" fillId="23" borderId="16" xfId="3" applyFont="1" applyFill="1" applyBorder="1" applyAlignment="1">
      <alignment horizontal="left" vertical="center"/>
    </xf>
    <xf numFmtId="0" fontId="61" fillId="23" borderId="10" xfId="3" applyFont="1" applyFill="1" applyBorder="1" applyAlignment="1">
      <alignment horizontal="left" vertical="center"/>
    </xf>
    <xf numFmtId="0" fontId="61" fillId="23" borderId="19" xfId="3" applyNumberFormat="1" applyFont="1" applyFill="1" applyBorder="1" applyAlignment="1">
      <alignment vertical="center"/>
    </xf>
    <xf numFmtId="0" fontId="61" fillId="23" borderId="20" xfId="3" applyNumberFormat="1" applyFont="1" applyFill="1" applyBorder="1" applyAlignment="1">
      <alignment vertical="center"/>
    </xf>
    <xf numFmtId="0" fontId="61" fillId="23" borderId="11" xfId="3" applyNumberFormat="1" applyFont="1" applyFill="1" applyBorder="1" applyAlignment="1">
      <alignment vertical="center"/>
    </xf>
    <xf numFmtId="0" fontId="11" fillId="0" borderId="0" xfId="17" quotePrefix="1" applyNumberFormat="1" applyFont="1"/>
    <xf numFmtId="0" fontId="124" fillId="20" borderId="151" xfId="17" applyFont="1" applyFill="1" applyBorder="1" applyAlignment="1" applyProtection="1">
      <alignment horizontal="left" vertical="top" wrapText="1"/>
    </xf>
    <xf numFmtId="49" fontId="124" fillId="20" borderId="151" xfId="17" applyNumberFormat="1" applyFont="1" applyFill="1" applyBorder="1" applyAlignment="1" applyProtection="1">
      <alignment horizontal="center" vertical="top"/>
    </xf>
    <xf numFmtId="0" fontId="124" fillId="20" borderId="151" xfId="17" applyFont="1" applyFill="1" applyBorder="1" applyAlignment="1" applyProtection="1">
      <alignment vertical="top"/>
    </xf>
    <xf numFmtId="38" fontId="124" fillId="20" borderId="151" xfId="17" applyNumberFormat="1" applyFont="1" applyFill="1" applyBorder="1" applyAlignment="1" applyProtection="1">
      <alignment horizontal="right" vertical="top"/>
    </xf>
    <xf numFmtId="38" fontId="124" fillId="20" borderId="151" xfId="17" applyNumberFormat="1" applyFont="1" applyFill="1" applyBorder="1" applyAlignment="1" applyProtection="1">
      <alignment vertical="top"/>
    </xf>
    <xf numFmtId="0" fontId="12" fillId="0" borderId="151" xfId="17" applyBorder="1" applyAlignment="1" applyProtection="1">
      <alignment horizontal="left" vertical="top" wrapText="1"/>
      <protection locked="0"/>
    </xf>
    <xf numFmtId="0" fontId="12" fillId="0" borderId="151" xfId="17" applyBorder="1" applyAlignment="1" applyProtection="1">
      <alignment vertical="top"/>
      <protection locked="0"/>
    </xf>
    <xf numFmtId="0" fontId="11" fillId="0" borderId="151" xfId="17" applyFont="1" applyBorder="1" applyAlignment="1" applyProtection="1">
      <alignment horizontal="left" vertical="top" wrapText="1"/>
      <protection locked="0"/>
    </xf>
    <xf numFmtId="0" fontId="11" fillId="0" borderId="151" xfId="17" applyFont="1" applyBorder="1" applyAlignment="1" applyProtection="1">
      <alignment vertical="top"/>
      <protection locked="0"/>
    </xf>
    <xf numFmtId="0" fontId="12" fillId="0" borderId="0" xfId="17" applyAlignment="1">
      <alignment horizontal="center" vertical="center" wrapText="1"/>
    </xf>
    <xf numFmtId="0" fontId="10" fillId="0" borderId="0" xfId="17" applyFont="1" applyAlignment="1">
      <alignment horizontal="left" vertical="center" wrapText="1"/>
    </xf>
    <xf numFmtId="0" fontId="10" fillId="0" borderId="0" xfId="17" applyFont="1" applyAlignment="1">
      <alignment vertical="center"/>
    </xf>
    <xf numFmtId="0" fontId="12"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8" fillId="0" borderId="0" xfId="2" applyNumberFormat="1" applyAlignment="1" applyProtection="1">
      <alignment vertical="center"/>
    </xf>
    <xf numFmtId="0" fontId="68" fillId="0" borderId="5" xfId="3" applyFont="1" applyFill="1" applyBorder="1" applyAlignment="1" applyProtection="1"/>
    <xf numFmtId="49" fontId="12" fillId="0" borderId="151" xfId="17" applyNumberFormat="1" applyBorder="1" applyAlignment="1" applyProtection="1">
      <alignment horizontal="center" vertical="center"/>
      <protection locked="0"/>
    </xf>
    <xf numFmtId="49" fontId="10" fillId="0" borderId="151" xfId="17" applyNumberFormat="1" applyFont="1" applyBorder="1" applyAlignment="1" applyProtection="1">
      <alignment horizontal="center" vertical="center"/>
      <protection locked="0"/>
    </xf>
    <xf numFmtId="3" fontId="68" fillId="16" borderId="36" xfId="0" applyNumberFormat="1" applyFont="1" applyFill="1" applyBorder="1" applyAlignment="1">
      <alignment horizontal="left" vertical="center" wrapText="1" indent="1"/>
    </xf>
    <xf numFmtId="49" fontId="68" fillId="16" borderId="27" xfId="0" applyNumberFormat="1" applyFont="1" applyFill="1" applyBorder="1" applyAlignment="1">
      <alignment horizontal="center" vertical="center"/>
    </xf>
    <xf numFmtId="38" fontId="59" fillId="16" borderId="27" xfId="0" applyNumberFormat="1" applyFont="1" applyFill="1" applyBorder="1" applyAlignment="1">
      <alignment horizontal="right"/>
    </xf>
    <xf numFmtId="38" fontId="59" fillId="16" borderId="2" xfId="0" applyNumberFormat="1" applyFont="1" applyFill="1" applyBorder="1" applyAlignment="1">
      <alignment horizontal="right"/>
    </xf>
    <xf numFmtId="38" fontId="59" fillId="16" borderId="4" xfId="0" applyNumberFormat="1" applyFont="1" applyFill="1" applyBorder="1" applyAlignment="1">
      <alignment horizontal="right"/>
    </xf>
    <xf numFmtId="49" fontId="68" fillId="16" borderId="36" xfId="0" applyNumberFormat="1" applyFont="1" applyFill="1" applyBorder="1" applyAlignment="1">
      <alignment horizontal="center" vertical="center"/>
    </xf>
    <xf numFmtId="38" fontId="59" fillId="16" borderId="30" xfId="0" applyNumberFormat="1" applyFont="1" applyFill="1" applyBorder="1" applyAlignment="1">
      <alignment horizontal="right"/>
    </xf>
    <xf numFmtId="49" fontId="68" fillId="16" borderId="30" xfId="0" applyNumberFormat="1" applyFont="1" applyFill="1" applyBorder="1" applyAlignment="1">
      <alignment horizontal="center" vertical="center"/>
    </xf>
    <xf numFmtId="0" fontId="68" fillId="16" borderId="32" xfId="0" applyNumberFormat="1" applyFont="1" applyFill="1" applyBorder="1" applyAlignment="1">
      <alignment horizontal="center" vertical="center"/>
    </xf>
    <xf numFmtId="38" fontId="59" fillId="16" borderId="32" xfId="0" applyNumberFormat="1" applyFont="1" applyFill="1" applyBorder="1" applyAlignment="1">
      <alignment horizontal="right"/>
    </xf>
    <xf numFmtId="0" fontId="68" fillId="16" borderId="27" xfId="0" applyFont="1" applyFill="1" applyBorder="1" applyAlignment="1">
      <alignment horizontal="center" vertical="center"/>
    </xf>
    <xf numFmtId="38" fontId="59" fillId="16" borderId="33" xfId="0" applyNumberFormat="1" applyFont="1" applyFill="1" applyBorder="1" applyAlignment="1">
      <alignment horizontal="right"/>
    </xf>
    <xf numFmtId="3" fontId="68" fillId="16" borderId="27" xfId="0" applyNumberFormat="1" applyFont="1" applyFill="1" applyBorder="1" applyAlignment="1">
      <alignment horizontal="left" vertical="center" indent="1"/>
    </xf>
    <xf numFmtId="0" fontId="68" fillId="16" borderId="27" xfId="0" applyFont="1" applyFill="1" applyBorder="1" applyAlignment="1">
      <alignment horizontal="center" vertical="top"/>
    </xf>
    <xf numFmtId="0" fontId="61" fillId="16" borderId="30" xfId="0" applyFont="1" applyFill="1" applyBorder="1" applyAlignment="1">
      <alignment horizontal="left" vertical="center" indent="1"/>
    </xf>
    <xf numFmtId="38" fontId="59" fillId="16" borderId="26" xfId="0" applyNumberFormat="1" applyFont="1" applyFill="1" applyBorder="1" applyAlignment="1">
      <alignment horizontal="right"/>
    </xf>
    <xf numFmtId="38" fontId="59" fillId="16" borderId="28" xfId="0" applyNumberFormat="1" applyFont="1" applyFill="1" applyBorder="1" applyAlignment="1">
      <alignment horizontal="right"/>
    </xf>
    <xf numFmtId="38" fontId="59" fillId="16" borderId="29" xfId="0" applyNumberFormat="1" applyFont="1" applyFill="1" applyBorder="1" applyAlignment="1">
      <alignment horizontal="right"/>
    </xf>
    <xf numFmtId="3" fontId="68" fillId="16" borderId="55" xfId="0" applyNumberFormat="1" applyFont="1" applyFill="1" applyBorder="1" applyAlignment="1">
      <alignment horizontal="left" vertical="center" wrapText="1" indent="1"/>
    </xf>
    <xf numFmtId="49" fontId="68" fillId="16" borderId="32" xfId="0" applyNumberFormat="1" applyFont="1" applyFill="1" applyBorder="1" applyAlignment="1">
      <alignment horizontal="center" vertical="center"/>
    </xf>
    <xf numFmtId="38" fontId="59" fillId="16" borderId="27" xfId="0" applyNumberFormat="1" applyFont="1" applyFill="1" applyBorder="1" applyAlignment="1" applyProtection="1">
      <alignment horizontal="right"/>
    </xf>
    <xf numFmtId="3" fontId="68" fillId="16" borderId="55" xfId="0" applyNumberFormat="1" applyFont="1" applyFill="1" applyBorder="1" applyAlignment="1">
      <alignment horizontal="left" vertical="top" wrapText="1" indent="1"/>
    </xf>
    <xf numFmtId="49" fontId="66" fillId="16" borderId="51" xfId="0" applyNumberFormat="1" applyFont="1" applyFill="1" applyBorder="1" applyAlignment="1">
      <alignment horizontal="center" vertical="top"/>
    </xf>
    <xf numFmtId="3" fontId="68" fillId="16" borderId="27" xfId="0" applyNumberFormat="1" applyFont="1" applyFill="1" applyBorder="1" applyAlignment="1">
      <alignment horizontal="left" vertical="center" wrapText="1" indent="1"/>
    </xf>
    <xf numFmtId="3" fontId="68" fillId="16" borderId="36" xfId="0" applyNumberFormat="1" applyFont="1" applyFill="1" applyBorder="1" applyAlignment="1">
      <alignment horizontal="left" vertical="top" wrapText="1" indent="1"/>
    </xf>
    <xf numFmtId="0" fontId="66" fillId="16" borderId="30" xfId="0" applyFont="1" applyFill="1" applyBorder="1" applyAlignment="1">
      <alignment vertical="top"/>
    </xf>
    <xf numFmtId="3" fontId="68" fillId="16" borderId="36" xfId="0" applyNumberFormat="1" applyFont="1" applyFill="1" applyBorder="1" applyAlignment="1">
      <alignment horizontal="left" vertical="center" indent="1"/>
    </xf>
    <xf numFmtId="0" fontId="68" fillId="16" borderId="30" xfId="0" applyFont="1" applyFill="1" applyBorder="1" applyAlignment="1">
      <alignment horizontal="center" vertical="center"/>
    </xf>
    <xf numFmtId="0" fontId="68" fillId="16" borderId="27" xfId="0" applyFont="1" applyFill="1" applyBorder="1" applyAlignment="1">
      <alignment horizontal="center" vertical="center" wrapText="1"/>
    </xf>
    <xf numFmtId="49" fontId="68" fillId="16" borderId="27" xfId="0" applyNumberFormat="1" applyFont="1" applyFill="1" applyBorder="1" applyAlignment="1">
      <alignment horizontal="center" vertical="top" wrapText="1"/>
    </xf>
    <xf numFmtId="3" fontId="68" fillId="16" borderId="36" xfId="0" applyNumberFormat="1" applyFont="1" applyFill="1" applyBorder="1" applyAlignment="1">
      <alignment horizontal="left" vertical="top" indent="1"/>
    </xf>
    <xf numFmtId="38" fontId="59" fillId="16" borderId="3" xfId="0" applyNumberFormat="1" applyFont="1" applyFill="1" applyBorder="1" applyAlignment="1">
      <alignment horizontal="right"/>
    </xf>
    <xf numFmtId="0" fontId="68" fillId="16" borderId="36" xfId="0" applyFont="1" applyFill="1" applyBorder="1" applyAlignment="1">
      <alignment horizontal="left" vertical="center" wrapText="1" indent="1"/>
    </xf>
    <xf numFmtId="49" fontId="66" fillId="16" borderId="51" xfId="0" applyNumberFormat="1" applyFont="1" applyFill="1" applyBorder="1" applyAlignment="1">
      <alignment horizontal="center" vertical="center"/>
    </xf>
    <xf numFmtId="38" fontId="59" fillId="16" borderId="33" xfId="0" applyNumberFormat="1" applyFont="1" applyFill="1" applyBorder="1" applyAlignment="1" applyProtection="1">
      <alignment horizontal="right"/>
    </xf>
    <xf numFmtId="38" fontId="59" fillId="16" borderId="32" xfId="0" applyNumberFormat="1" applyFont="1" applyFill="1" applyBorder="1" applyAlignment="1" applyProtection="1">
      <alignment horizontal="right"/>
    </xf>
    <xf numFmtId="0" fontId="66"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center" wrapText="1" indent="1"/>
    </xf>
    <xf numFmtId="0" fontId="66" fillId="16" borderId="30" xfId="0" applyFont="1" applyFill="1" applyBorder="1" applyAlignment="1" applyProtection="1">
      <alignment horizontal="left" vertical="center"/>
    </xf>
    <xf numFmtId="38" fontId="59" fillId="16" borderId="36" xfId="0" applyNumberFormat="1" applyFont="1" applyFill="1" applyBorder="1" applyAlignment="1" applyProtection="1">
      <alignment horizontal="right"/>
    </xf>
    <xf numFmtId="0" fontId="68" fillId="16" borderId="35" xfId="0" applyFont="1" applyFill="1" applyBorder="1" applyAlignment="1" applyProtection="1">
      <alignment horizontal="left" vertical="center" indent="1"/>
    </xf>
    <xf numFmtId="0" fontId="66" fillId="16" borderId="30" xfId="0" applyFont="1" applyFill="1" applyBorder="1" applyAlignment="1" applyProtection="1">
      <alignment horizontal="center" vertical="center"/>
    </xf>
    <xf numFmtId="37" fontId="59" fillId="16" borderId="36" xfId="0" applyNumberFormat="1" applyFont="1" applyFill="1" applyBorder="1" applyAlignment="1" applyProtection="1">
      <alignment horizontal="right"/>
    </xf>
    <xf numFmtId="37" fontId="59" fillId="16" borderId="27" xfId="0" applyNumberFormat="1" applyFont="1" applyFill="1" applyBorder="1" applyAlignment="1" applyProtection="1">
      <alignment horizontal="right"/>
    </xf>
    <xf numFmtId="0" fontId="66"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top" wrapText="1" indent="1"/>
    </xf>
    <xf numFmtId="49" fontId="68" fillId="16" borderId="33" xfId="0" applyNumberFormat="1" applyFont="1" applyFill="1" applyBorder="1" applyAlignment="1">
      <alignment horizontal="center" vertical="center"/>
    </xf>
    <xf numFmtId="38" fontId="59" fillId="16" borderId="37" xfId="0" applyNumberFormat="1" applyFont="1" applyFill="1" applyBorder="1" applyAlignment="1" applyProtection="1">
      <alignment horizontal="right"/>
    </xf>
    <xf numFmtId="49" fontId="68" fillId="16" borderId="35" xfId="0" applyNumberFormat="1" applyFont="1" applyFill="1" applyBorder="1" applyAlignment="1" applyProtection="1">
      <alignment horizontal="left" vertical="top" indent="1"/>
    </xf>
    <xf numFmtId="49" fontId="68" fillId="16" borderId="27" xfId="0" applyNumberFormat="1" applyFont="1" applyFill="1" applyBorder="1" applyAlignment="1">
      <alignment horizontal="center" vertical="top"/>
    </xf>
    <xf numFmtId="38" fontId="59" fillId="16" borderId="12" xfId="0" applyNumberFormat="1" applyFont="1" applyFill="1" applyBorder="1" applyAlignment="1" applyProtection="1">
      <alignment horizontal="right"/>
    </xf>
    <xf numFmtId="49" fontId="66" fillId="16" borderId="30" xfId="0" applyNumberFormat="1" applyFont="1" applyFill="1" applyBorder="1" applyAlignment="1" applyProtection="1">
      <alignment horizontal="center" vertical="center"/>
    </xf>
    <xf numFmtId="1" fontId="66" fillId="16" borderId="30" xfId="0" applyNumberFormat="1" applyFont="1" applyFill="1" applyBorder="1" applyAlignment="1" applyProtection="1">
      <alignment horizontal="center" vertical="center"/>
    </xf>
    <xf numFmtId="38" fontId="59" fillId="16" borderId="3" xfId="0" applyNumberFormat="1" applyFont="1" applyFill="1" applyBorder="1" applyAlignment="1" applyProtection="1">
      <alignment horizontal="right"/>
    </xf>
    <xf numFmtId="38" fontId="59" fillId="16" borderId="55" xfId="0" applyNumberFormat="1" applyFont="1" applyFill="1" applyBorder="1" applyAlignment="1" applyProtection="1">
      <alignment horizontal="right"/>
    </xf>
    <xf numFmtId="0" fontId="68" fillId="16" borderId="35" xfId="0" applyFont="1" applyFill="1" applyBorder="1" applyAlignment="1" applyProtection="1">
      <alignment horizontal="left" indent="1"/>
    </xf>
    <xf numFmtId="0" fontId="66" fillId="16" borderId="30" xfId="0" applyFont="1" applyFill="1" applyBorder="1" applyAlignment="1" applyProtection="1">
      <alignment horizontal="center"/>
    </xf>
    <xf numFmtId="0" fontId="68" fillId="16" borderId="36" xfId="0" applyFont="1" applyFill="1" applyBorder="1" applyAlignment="1" applyProtection="1">
      <alignment horizontal="left" vertical="center" indent="1"/>
    </xf>
    <xf numFmtId="0" fontId="66" fillId="16" borderId="27" xfId="0" applyFont="1" applyFill="1" applyBorder="1" applyAlignment="1" applyProtection="1">
      <alignment horizontal="center" vertical="center"/>
    </xf>
    <xf numFmtId="0" fontId="68" fillId="16" borderId="30" xfId="0" applyFont="1" applyFill="1" applyBorder="1" applyAlignment="1">
      <alignment vertical="center"/>
    </xf>
    <xf numFmtId="49" fontId="68" fillId="16" borderId="33" xfId="0" applyNumberFormat="1" applyFont="1" applyFill="1" applyBorder="1" applyAlignment="1" applyProtection="1">
      <alignment horizontal="left" vertical="center" wrapText="1" indent="1"/>
    </xf>
    <xf numFmtId="49" fontId="68" fillId="16" borderId="53" xfId="0" applyNumberFormat="1" applyFont="1" applyFill="1" applyBorder="1" applyAlignment="1">
      <alignment horizontal="center" vertical="center"/>
    </xf>
    <xf numFmtId="0" fontId="68" fillId="16" borderId="52" xfId="0" applyFont="1" applyFill="1" applyBorder="1" applyAlignment="1" applyProtection="1">
      <alignment horizontal="left" wrapText="1" indent="1"/>
    </xf>
    <xf numFmtId="0" fontId="66" fillId="16" borderId="53" xfId="0" applyFont="1" applyFill="1" applyBorder="1" applyAlignment="1" applyProtection="1">
      <alignment horizontal="left" indent="2"/>
    </xf>
    <xf numFmtId="176" fontId="61" fillId="16" borderId="2" xfId="0" applyNumberFormat="1" applyFont="1" applyFill="1" applyBorder="1" applyAlignment="1" applyProtection="1">
      <alignment vertical="center"/>
    </xf>
    <xf numFmtId="38" fontId="61" fillId="16" borderId="2" xfId="0" applyNumberFormat="1" applyFont="1" applyFill="1" applyBorder="1" applyAlignment="1" applyProtection="1">
      <alignment horizontal="right" vertical="center"/>
    </xf>
    <xf numFmtId="38" fontId="61" fillId="16" borderId="2" xfId="0" applyNumberFormat="1" applyFont="1" applyFill="1" applyBorder="1" applyAlignment="1" applyProtection="1">
      <alignment vertical="center"/>
    </xf>
    <xf numFmtId="37" fontId="61" fillId="16" borderId="13" xfId="5" applyNumberFormat="1" applyFont="1" applyFill="1" applyBorder="1" applyAlignment="1" applyProtection="1">
      <alignment horizontal="right"/>
    </xf>
    <xf numFmtId="0" fontId="68" fillId="16" borderId="35" xfId="0" applyFont="1" applyFill="1" applyBorder="1" applyAlignment="1" applyProtection="1">
      <alignment horizontal="left" vertical="center" indent="2"/>
    </xf>
    <xf numFmtId="38" fontId="59" fillId="16" borderId="30" xfId="0" applyNumberFormat="1" applyFont="1" applyFill="1" applyBorder="1" applyAlignment="1" applyProtection="1">
      <alignment horizontal="right"/>
    </xf>
    <xf numFmtId="0" fontId="68" fillId="16" borderId="20" xfId="0" applyFont="1" applyFill="1" applyBorder="1" applyAlignment="1" applyProtection="1">
      <alignment horizontal="left" vertical="center" indent="2"/>
    </xf>
    <xf numFmtId="0" fontId="68" fillId="16" borderId="14" xfId="0" applyFont="1" applyFill="1" applyBorder="1" applyAlignment="1" applyProtection="1">
      <alignment horizontal="center" vertical="center"/>
    </xf>
    <xf numFmtId="38" fontId="59" fillId="16" borderId="26" xfId="0" applyNumberFormat="1" applyFont="1" applyFill="1" applyBorder="1" applyAlignment="1" applyProtection="1">
      <alignment horizontal="right"/>
    </xf>
    <xf numFmtId="0" fontId="68" fillId="16" borderId="30" xfId="0" applyFont="1" applyFill="1" applyBorder="1" applyAlignment="1" applyProtection="1">
      <alignment horizontal="center" vertical="center"/>
    </xf>
    <xf numFmtId="38" fontId="59" fillId="16" borderId="4" xfId="0" applyNumberFormat="1" applyFont="1" applyFill="1" applyBorder="1" applyAlignment="1" applyProtection="1">
      <alignment horizontal="right"/>
    </xf>
    <xf numFmtId="38" fontId="59" fillId="16" borderId="2" xfId="0" applyNumberFormat="1" applyFont="1" applyFill="1" applyBorder="1" applyAlignment="1" applyProtection="1">
      <alignment horizontal="right"/>
    </xf>
    <xf numFmtId="0" fontId="77" fillId="16" borderId="20" xfId="0" applyFont="1" applyFill="1" applyBorder="1" applyAlignment="1" applyProtection="1">
      <alignment horizontal="left" vertical="center" indent="1"/>
    </xf>
    <xf numFmtId="0" fontId="66" fillId="16" borderId="4" xfId="0" applyFont="1" applyFill="1" applyBorder="1" applyAlignment="1" applyProtection="1">
      <alignment horizontal="center"/>
    </xf>
    <xf numFmtId="38" fontId="59" fillId="16" borderId="28" xfId="0" applyNumberFormat="1" applyFont="1" applyFill="1" applyBorder="1" applyAlignment="1" applyProtection="1">
      <alignment horizontal="right"/>
    </xf>
    <xf numFmtId="38" fontId="59" fillId="16" borderId="18" xfId="0" applyNumberFormat="1" applyFont="1" applyFill="1" applyBorder="1" applyAlignment="1" applyProtection="1">
      <alignment horizontal="right"/>
    </xf>
    <xf numFmtId="38" fontId="59" fillId="16" borderId="0" xfId="0" applyNumberFormat="1" applyFont="1" applyFill="1" applyAlignment="1" applyProtection="1">
      <alignment horizontal="right"/>
    </xf>
    <xf numFmtId="38" fontId="59" fillId="16" borderId="124" xfId="0" applyNumberFormat="1" applyFont="1" applyFill="1" applyBorder="1" applyAlignment="1" applyProtection="1">
      <alignment horizontal="right" vertical="center"/>
      <protection locked="0"/>
    </xf>
    <xf numFmtId="38" fontId="59" fillId="16" borderId="2" xfId="0" applyNumberFormat="1" applyFont="1" applyFill="1" applyBorder="1" applyAlignment="1" applyProtection="1">
      <alignment horizontal="right" vertical="center"/>
      <protection locked="0"/>
    </xf>
    <xf numFmtId="38" fontId="59" fillId="16" borderId="27" xfId="0" applyNumberFormat="1" applyFont="1" applyFill="1" applyBorder="1" applyAlignment="1" applyProtection="1">
      <alignment horizontal="right" vertical="center"/>
      <protection locked="0"/>
    </xf>
    <xf numFmtId="38" fontId="59" fillId="16" borderId="124"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horizontal="right" vertical="center"/>
    </xf>
    <xf numFmtId="0" fontId="68" fillId="16" borderId="27" xfId="0" applyFont="1" applyFill="1" applyBorder="1" applyAlignment="1">
      <alignment horizontal="left" vertical="center" wrapText="1" indent="1"/>
    </xf>
    <xf numFmtId="38" fontId="59" fillId="16" borderId="27" xfId="0" applyNumberFormat="1" applyFont="1" applyFill="1" applyBorder="1" applyAlignment="1" applyProtection="1">
      <alignment horizontal="right" vertical="center"/>
    </xf>
    <xf numFmtId="38" fontId="59" fillId="16" borderId="2" xfId="9" applyNumberFormat="1" applyFont="1" applyFill="1" applyBorder="1" applyAlignment="1" applyProtection="1">
      <alignment horizontal="right"/>
    </xf>
    <xf numFmtId="49" fontId="66" fillId="16" borderId="41"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vertical="center"/>
    </xf>
    <xf numFmtId="49" fontId="66" fillId="16" borderId="7"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horizontal="right" vertical="center"/>
    </xf>
    <xf numFmtId="49" fontId="66" fillId="16" borderId="7" xfId="0" applyNumberFormat="1" applyFont="1" applyFill="1" applyBorder="1" applyAlignment="1" applyProtection="1">
      <alignment horizontal="left" vertical="center" indent="2"/>
    </xf>
    <xf numFmtId="0" fontId="61" fillId="16" borderId="7" xfId="0" applyFont="1" applyFill="1" applyBorder="1" applyAlignment="1">
      <alignment horizontal="left" indent="2"/>
    </xf>
    <xf numFmtId="38" fontId="59" fillId="16" borderId="60" xfId="0" applyNumberFormat="1" applyFont="1" applyFill="1" applyBorder="1" applyAlignment="1" applyProtection="1"/>
    <xf numFmtId="38" fontId="59" fillId="16" borderId="41" xfId="0" applyNumberFormat="1" applyFont="1" applyFill="1" applyBorder="1" applyAlignment="1" applyProtection="1">
      <alignment horizontal="right"/>
    </xf>
    <xf numFmtId="0" fontId="68" fillId="16" borderId="54" xfId="0" applyFont="1" applyFill="1" applyBorder="1" applyAlignment="1" applyProtection="1">
      <alignment horizontal="left" vertical="center" indent="2"/>
    </xf>
    <xf numFmtId="0" fontId="68" fillId="16" borderId="41" xfId="0" applyFont="1" applyFill="1" applyBorder="1" applyAlignment="1" applyProtection="1">
      <alignment horizontal="center" vertical="center"/>
    </xf>
    <xf numFmtId="0" fontId="68" fillId="16" borderId="41" xfId="0" applyFont="1" applyFill="1" applyBorder="1" applyAlignment="1" applyProtection="1">
      <alignment horizontal="left" vertical="center" indent="1"/>
    </xf>
    <xf numFmtId="0" fontId="61" fillId="16" borderId="41" xfId="0" applyFont="1" applyFill="1" applyBorder="1" applyAlignment="1" applyProtection="1">
      <alignment vertical="center"/>
    </xf>
    <xf numFmtId="38" fontId="59" fillId="16" borderId="22" xfId="0" applyNumberFormat="1" applyFont="1" applyFill="1" applyBorder="1" applyAlignment="1" applyProtection="1">
      <alignment horizontal="right" vertical="center"/>
    </xf>
    <xf numFmtId="0" fontId="66" fillId="16" borderId="0" xfId="10" applyFont="1" applyFill="1" applyAlignment="1">
      <alignment vertical="center"/>
    </xf>
    <xf numFmtId="0" fontId="66" fillId="16" borderId="0" xfId="10" applyFont="1" applyFill="1" applyAlignment="1">
      <alignment horizontal="center" vertical="center"/>
    </xf>
    <xf numFmtId="0" fontId="66" fillId="16" borderId="0" xfId="10" applyFont="1" applyFill="1" applyAlignment="1">
      <alignment horizontal="right" vertical="center"/>
    </xf>
    <xf numFmtId="0" fontId="68" fillId="16" borderId="0" xfId="10" applyFont="1" applyFill="1" applyAlignment="1">
      <alignment horizontal="right" vertical="center" indent="3"/>
    </xf>
    <xf numFmtId="0" fontId="66" fillId="16" borderId="0" xfId="10" applyFont="1" applyFill="1" applyBorder="1" applyAlignment="1">
      <alignment horizontal="right" vertical="center"/>
    </xf>
    <xf numFmtId="3" fontId="68" fillId="16" borderId="57" xfId="10" applyNumberFormat="1" applyFont="1" applyFill="1" applyBorder="1" applyAlignment="1" applyProtection="1">
      <alignment vertical="center"/>
    </xf>
    <xf numFmtId="0" fontId="66" fillId="16" borderId="0" xfId="10" applyFont="1" applyFill="1" applyAlignment="1">
      <alignment horizontal="left" vertical="center"/>
    </xf>
    <xf numFmtId="0" fontId="68" fillId="16" borderId="0" xfId="10" applyFont="1" applyFill="1" applyAlignment="1">
      <alignment horizontal="right" vertical="center"/>
    </xf>
    <xf numFmtId="38" fontId="68" fillId="16" borderId="47" xfId="10" applyNumberFormat="1" applyFont="1" applyFill="1" applyBorder="1" applyAlignment="1">
      <alignment horizontal="right"/>
    </xf>
    <xf numFmtId="0" fontId="66" fillId="16" borderId="0" xfId="10" quotePrefix="1" applyFont="1" applyFill="1" applyAlignment="1">
      <alignment horizontal="left" vertical="center"/>
    </xf>
    <xf numFmtId="38" fontId="66" fillId="16" borderId="58" xfId="10" applyNumberFormat="1" applyFont="1" applyFill="1" applyBorder="1" applyAlignment="1" applyProtection="1">
      <alignment horizontal="right"/>
    </xf>
    <xf numFmtId="0" fontId="66" fillId="16" borderId="0" xfId="11" quotePrefix="1" applyFont="1" applyFill="1" applyAlignment="1">
      <alignment horizontal="left" vertical="center"/>
    </xf>
    <xf numFmtId="0" fontId="68" fillId="16" borderId="0" xfId="10" quotePrefix="1" applyFont="1" applyFill="1" applyAlignment="1">
      <alignment horizontal="left" vertical="center"/>
    </xf>
    <xf numFmtId="40" fontId="68" fillId="16" borderId="47" xfId="10" applyNumberFormat="1" applyFont="1" applyFill="1" applyBorder="1" applyAlignment="1" applyProtection="1">
      <alignment horizontal="right"/>
    </xf>
    <xf numFmtId="0" fontId="66" fillId="16" borderId="0" xfId="11" applyFont="1" applyFill="1" applyAlignment="1">
      <alignment horizontal="left" vertical="center"/>
    </xf>
    <xf numFmtId="0" fontId="66" fillId="16" borderId="0" xfId="11" applyFont="1" applyFill="1" applyAlignment="1">
      <alignment horizontal="right" vertical="center"/>
    </xf>
    <xf numFmtId="0" fontId="68" fillId="16" borderId="0" xfId="11" applyFont="1" applyFill="1" applyAlignment="1">
      <alignment horizontal="right" vertical="center"/>
    </xf>
    <xf numFmtId="0" fontId="66" fillId="16" borderId="0" xfId="11" applyFont="1" applyFill="1" applyBorder="1" applyAlignment="1">
      <alignment horizontal="right" vertical="center"/>
    </xf>
    <xf numFmtId="38" fontId="68" fillId="16" borderId="9" xfId="11" applyNumberFormat="1" applyFont="1" applyFill="1" applyBorder="1" applyAlignment="1" applyProtection="1">
      <alignment horizontal="right"/>
    </xf>
    <xf numFmtId="38" fontId="66" fillId="16" borderId="6" xfId="11" applyNumberFormat="1" applyFont="1" applyFill="1" applyBorder="1" applyAlignment="1" applyProtection="1">
      <alignment horizontal="right"/>
    </xf>
    <xf numFmtId="0" fontId="66" fillId="16" borderId="0" xfId="11" applyFont="1" applyFill="1" applyAlignment="1">
      <alignment vertical="center"/>
    </xf>
    <xf numFmtId="40" fontId="66" fillId="16" borderId="9" xfId="11" applyNumberFormat="1" applyFont="1" applyFill="1" applyBorder="1" applyAlignment="1" applyProtection="1">
      <alignment horizontal="right"/>
    </xf>
    <xf numFmtId="40" fontId="68" fillId="16" borderId="57" xfId="11" applyNumberFormat="1" applyFont="1" applyFill="1" applyBorder="1" applyAlignment="1" applyProtection="1">
      <alignment horizontal="right"/>
    </xf>
    <xf numFmtId="38" fontId="12" fillId="16" borderId="151" xfId="17" applyNumberFormat="1" applyFill="1" applyBorder="1" applyAlignment="1" applyProtection="1">
      <alignment vertical="top"/>
    </xf>
    <xf numFmtId="38" fontId="12" fillId="16" borderId="152" xfId="17" applyNumberFormat="1" applyFill="1" applyBorder="1" applyAlignment="1" applyProtection="1">
      <alignment horizontal="right" vertical="top"/>
    </xf>
    <xf numFmtId="38" fontId="12" fillId="16" borderId="152" xfId="17" applyNumberFormat="1" applyFill="1" applyBorder="1" applyAlignment="1" applyProtection="1">
      <alignment vertical="top"/>
    </xf>
    <xf numFmtId="0" fontId="12" fillId="16" borderId="152" xfId="17" applyFill="1" applyBorder="1" applyAlignment="1" applyProtection="1">
      <alignment horizontal="left" vertical="top" wrapText="1"/>
    </xf>
    <xf numFmtId="49" fontId="12" fillId="16" borderId="152" xfId="17" applyNumberFormat="1" applyFill="1" applyBorder="1" applyAlignment="1" applyProtection="1">
      <alignment vertical="top"/>
    </xf>
    <xf numFmtId="0" fontId="12" fillId="16" borderId="152" xfId="17" applyFill="1" applyBorder="1" applyAlignment="1" applyProtection="1">
      <alignment vertical="top"/>
    </xf>
    <xf numFmtId="0" fontId="59" fillId="16" borderId="123" xfId="0" applyFont="1" applyFill="1" applyBorder="1"/>
    <xf numFmtId="37" fontId="59" fillId="16" borderId="123" xfId="0" applyNumberFormat="1" applyFont="1" applyFill="1" applyBorder="1"/>
    <xf numFmtId="37" fontId="59" fillId="16" borderId="125" xfId="0" applyNumberFormat="1" applyFont="1" applyFill="1" applyBorder="1"/>
    <xf numFmtId="0" fontId="59" fillId="16" borderId="14" xfId="0" applyFont="1" applyFill="1" applyBorder="1"/>
    <xf numFmtId="0" fontId="59" fillId="16" borderId="21" xfId="0" applyFont="1" applyFill="1" applyBorder="1"/>
    <xf numFmtId="37" fontId="59" fillId="16" borderId="14" xfId="0" applyNumberFormat="1" applyFont="1" applyFill="1" applyBorder="1"/>
    <xf numFmtId="37" fontId="59" fillId="16" borderId="21" xfId="0" applyNumberFormat="1" applyFont="1" applyFill="1" applyBorder="1"/>
    <xf numFmtId="38" fontId="59" fillId="16" borderId="14" xfId="0" applyNumberFormat="1" applyFont="1" applyFill="1" applyBorder="1"/>
    <xf numFmtId="0" fontId="66" fillId="16" borderId="0" xfId="0" applyFont="1" applyFill="1" applyBorder="1" applyAlignment="1">
      <alignment horizontal="right"/>
    </xf>
    <xf numFmtId="38" fontId="59" fillId="16" borderId="18" xfId="0" applyNumberFormat="1" applyFont="1" applyFill="1" applyBorder="1"/>
    <xf numFmtId="0" fontId="59" fillId="16" borderId="13" xfId="0" applyFont="1" applyFill="1" applyBorder="1" applyAlignment="1">
      <alignment horizontal="right"/>
    </xf>
    <xf numFmtId="10" fontId="58" fillId="16" borderId="14" xfId="0" applyNumberFormat="1" applyFont="1" applyFill="1" applyBorder="1" applyAlignment="1">
      <alignment horizontal="left" indent="2"/>
    </xf>
    <xf numFmtId="38" fontId="59" fillId="16" borderId="2" xfId="3" applyNumberFormat="1" applyFont="1" applyFill="1" applyBorder="1" applyAlignment="1">
      <alignment vertical="center"/>
    </xf>
    <xf numFmtId="38" fontId="59" fillId="16" borderId="2" xfId="3" applyNumberFormat="1" applyFont="1" applyFill="1" applyBorder="1" applyAlignment="1" applyProtection="1">
      <alignment vertical="center"/>
    </xf>
    <xf numFmtId="38" fontId="59" fillId="16" borderId="27" xfId="3" applyNumberFormat="1" applyFont="1" applyFill="1" applyBorder="1" applyAlignment="1">
      <alignment vertical="center"/>
    </xf>
    <xf numFmtId="9" fontId="59" fillId="16" borderId="4" xfId="3" applyNumberFormat="1" applyFont="1" applyFill="1" applyBorder="1" applyAlignment="1">
      <alignment horizontal="center" vertical="center"/>
    </xf>
    <xf numFmtId="38" fontId="59" fillId="16" borderId="22" xfId="3" applyNumberFormat="1" applyFont="1" applyFill="1" applyBorder="1" applyAlignment="1">
      <alignment horizontal="right" vertical="center"/>
    </xf>
    <xf numFmtId="38" fontId="59" fillId="16" borderId="41" xfId="3" applyNumberFormat="1" applyFont="1" applyFill="1" applyBorder="1" applyAlignment="1">
      <alignment horizontal="right" vertical="center"/>
    </xf>
    <xf numFmtId="38" fontId="59" fillId="16" borderId="75" xfId="3" applyNumberFormat="1" applyFont="1" applyFill="1" applyBorder="1" applyAlignment="1">
      <alignment horizontal="right" vertical="center"/>
    </xf>
    <xf numFmtId="38" fontId="58" fillId="16" borderId="75" xfId="3" applyNumberFormat="1" applyFont="1" applyFill="1" applyBorder="1" applyAlignment="1">
      <alignment horizontal="right" vertical="center"/>
    </xf>
    <xf numFmtId="38" fontId="59" fillId="16" borderId="60" xfId="3" applyNumberFormat="1" applyFont="1" applyFill="1" applyBorder="1" applyAlignment="1">
      <alignment horizontal="right" vertical="center"/>
    </xf>
    <xf numFmtId="38" fontId="58" fillId="16" borderId="60" xfId="3" applyNumberFormat="1" applyFont="1" applyFill="1" applyBorder="1" applyAlignment="1">
      <alignment horizontal="right" vertical="center"/>
    </xf>
    <xf numFmtId="38" fontId="59" fillId="16" borderId="124" xfId="0" applyNumberFormat="1" applyFont="1" applyFill="1" applyBorder="1" applyAlignment="1" applyProtection="1">
      <alignment horizontal="right"/>
    </xf>
    <xf numFmtId="0" fontId="68" fillId="15" borderId="17" xfId="0" applyFont="1" applyFill="1" applyBorder="1" applyAlignment="1">
      <alignment horizontal="left" vertical="center" wrapText="1"/>
    </xf>
    <xf numFmtId="49" fontId="68" fillId="15" borderId="26" xfId="0" applyNumberFormat="1" applyFont="1" applyFill="1" applyBorder="1" applyAlignment="1">
      <alignment horizontal="center" vertical="center"/>
    </xf>
    <xf numFmtId="38" fontId="59" fillId="15" borderId="26" xfId="0" applyNumberFormat="1" applyFont="1" applyFill="1" applyBorder="1" applyAlignment="1">
      <alignment horizontal="right"/>
    </xf>
    <xf numFmtId="38" fontId="59" fillId="15" borderId="3" xfId="0" applyNumberFormat="1" applyFont="1" applyFill="1" applyBorder="1" applyAlignment="1">
      <alignment horizontal="right"/>
    </xf>
    <xf numFmtId="0" fontId="68" fillId="0" borderId="13" xfId="0" applyFont="1" applyFill="1" applyBorder="1" applyAlignment="1">
      <alignment horizontal="left" vertical="center" wrapText="1"/>
    </xf>
    <xf numFmtId="49" fontId="68" fillId="0" borderId="2" xfId="0" applyNumberFormat="1" applyFont="1" applyFill="1" applyBorder="1" applyAlignment="1">
      <alignment horizontal="center" vertical="center"/>
    </xf>
    <xf numFmtId="0" fontId="68" fillId="16" borderId="13" xfId="0" applyFont="1" applyFill="1" applyBorder="1" applyAlignment="1">
      <alignment horizontal="left" vertical="center" wrapText="1"/>
    </xf>
    <xf numFmtId="49" fontId="68" fillId="16" borderId="2" xfId="0" applyNumberFormat="1" applyFont="1" applyFill="1" applyBorder="1" applyAlignment="1">
      <alignment horizontal="center" vertical="center"/>
    </xf>
    <xf numFmtId="3" fontId="66" fillId="0" borderId="13" xfId="0" applyNumberFormat="1" applyFont="1" applyFill="1" applyBorder="1" applyAlignment="1">
      <alignment horizontal="left" vertical="center" wrapText="1" indent="1"/>
    </xf>
    <xf numFmtId="0" fontId="68" fillId="0" borderId="49" xfId="0" applyFont="1" applyFill="1" applyBorder="1" applyAlignment="1">
      <alignment horizontal="left" vertical="center" wrapText="1" indent="1"/>
    </xf>
    <xf numFmtId="0" fontId="68" fillId="0" borderId="13" xfId="0" applyFont="1" applyFill="1" applyBorder="1" applyAlignment="1">
      <alignment horizontal="left" vertical="center" wrapText="1" indent="1"/>
    </xf>
    <xf numFmtId="38" fontId="59" fillId="26" borderId="26" xfId="0" applyNumberFormat="1" applyFont="1" applyFill="1" applyBorder="1" applyAlignment="1">
      <alignment horizontal="right"/>
    </xf>
    <xf numFmtId="3" fontId="66" fillId="0" borderId="12" xfId="0" applyNumberFormat="1" applyFont="1" applyBorder="1" applyAlignment="1">
      <alignment horizontal="left" vertical="top" wrapText="1" indent="1"/>
    </xf>
    <xf numFmtId="38" fontId="59" fillId="16" borderId="19" xfId="0" applyNumberFormat="1" applyFont="1" applyFill="1" applyBorder="1" applyAlignment="1" applyProtection="1">
      <alignment horizontal="right"/>
    </xf>
    <xf numFmtId="49" fontId="38" fillId="0" borderId="0" xfId="2" applyNumberFormat="1" applyBorder="1" applyAlignment="1" applyProtection="1">
      <alignment horizontal="center"/>
    </xf>
    <xf numFmtId="49" fontId="9" fillId="0" borderId="151" xfId="17" applyNumberFormat="1" applyFont="1" applyBorder="1" applyAlignment="1" applyProtection="1">
      <alignment horizontal="center" vertical="center"/>
      <protection locked="0"/>
    </xf>
    <xf numFmtId="14" fontId="61" fillId="0" borderId="0" xfId="0" applyNumberFormat="1" applyFont="1" applyBorder="1" applyAlignment="1" applyProtection="1">
      <alignment vertical="center"/>
      <protection locked="0"/>
    </xf>
    <xf numFmtId="0" fontId="77" fillId="0" borderId="0" xfId="3" applyFont="1" applyBorder="1" applyAlignment="1" applyProtection="1">
      <alignment horizontal="center" vertical="top"/>
    </xf>
    <xf numFmtId="0" fontId="61" fillId="0" borderId="155" xfId="3" applyFont="1" applyBorder="1" applyProtection="1"/>
    <xf numFmtId="49" fontId="66" fillId="0" borderId="14" xfId="0" applyNumberFormat="1" applyFont="1" applyFill="1" applyBorder="1" applyAlignment="1" applyProtection="1">
      <alignment horizontal="center" vertical="center"/>
    </xf>
    <xf numFmtId="38" fontId="59" fillId="15" borderId="3" xfId="0" applyNumberFormat="1" applyFont="1" applyFill="1" applyBorder="1" applyAlignment="1" applyProtection="1">
      <alignment horizontal="right"/>
    </xf>
    <xf numFmtId="38" fontId="59" fillId="15" borderId="26" xfId="0" applyNumberFormat="1" applyFont="1" applyFill="1" applyBorder="1" applyAlignment="1" applyProtection="1">
      <alignment horizontal="right"/>
    </xf>
    <xf numFmtId="38" fontId="12" fillId="0" borderId="151" xfId="17" applyNumberFormat="1" applyBorder="1" applyAlignment="1" applyProtection="1">
      <alignment horizontal="right" vertical="top"/>
      <protection locked="0"/>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69" fillId="12" borderId="46" xfId="0" applyFont="1" applyFill="1" applyBorder="1" applyAlignment="1" applyProtection="1">
      <alignment horizontal="left" vertical="center"/>
    </xf>
    <xf numFmtId="0" fontId="68" fillId="12" borderId="6" xfId="0" applyFont="1" applyFill="1" applyBorder="1" applyAlignment="1" applyProtection="1">
      <alignment horizontal="left" vertical="center"/>
    </xf>
    <xf numFmtId="0" fontId="66" fillId="12" borderId="7" xfId="0" applyFont="1" applyFill="1" applyBorder="1" applyAlignment="1" applyProtection="1">
      <alignment horizontal="left" vertical="center" indent="2"/>
    </xf>
    <xf numFmtId="0" fontId="69" fillId="12" borderId="2" xfId="0" applyFont="1" applyFill="1" applyBorder="1" applyAlignment="1">
      <alignment horizontal="center" vertical="center"/>
    </xf>
    <xf numFmtId="49" fontId="68" fillId="0" borderId="2" xfId="0" applyNumberFormat="1" applyFont="1" applyFill="1" applyBorder="1" applyAlignment="1" applyProtection="1">
      <alignment horizontal="center" vertical="top" wrapText="1"/>
    </xf>
    <xf numFmtId="49" fontId="68" fillId="0" borderId="2" xfId="9" applyNumberFormat="1" applyFont="1" applyFill="1" applyBorder="1" applyAlignment="1">
      <alignment horizontal="center" vertical="top" wrapText="1"/>
    </xf>
    <xf numFmtId="49" fontId="68" fillId="5" borderId="2" xfId="9" applyNumberFormat="1" applyFont="1" applyFill="1" applyBorder="1" applyAlignment="1" applyProtection="1">
      <alignment horizontal="center" vertical="top" wrapText="1"/>
    </xf>
    <xf numFmtId="0" fontId="69" fillId="23" borderId="12" xfId="3" applyNumberFormat="1" applyFont="1" applyFill="1" applyBorder="1" applyAlignment="1">
      <alignment horizontal="left"/>
    </xf>
    <xf numFmtId="0" fontId="58" fillId="0" borderId="12" xfId="3" applyNumberFormat="1" applyFont="1" applyFill="1" applyBorder="1" applyAlignment="1">
      <alignment horizontal="centerContinuous" vertical="center"/>
    </xf>
    <xf numFmtId="0" fontId="58" fillId="0" borderId="3" xfId="3" applyNumberFormat="1" applyFont="1" applyFill="1" applyBorder="1" applyAlignment="1">
      <alignment horizontal="centerContinuous" vertical="center"/>
    </xf>
    <xf numFmtId="0" fontId="59" fillId="12" borderId="39" xfId="0" applyFont="1" applyFill="1" applyBorder="1"/>
    <xf numFmtId="0" fontId="59" fillId="12" borderId="23" xfId="0" applyFont="1" applyFill="1" applyBorder="1" applyAlignment="1">
      <alignment horizontal="left" vertical="top"/>
    </xf>
    <xf numFmtId="0" fontId="59" fillId="12" borderId="23" xfId="0" applyFont="1" applyFill="1" applyBorder="1" applyAlignment="1">
      <alignment vertical="top" wrapText="1"/>
    </xf>
    <xf numFmtId="0" fontId="68" fillId="12" borderId="62" xfId="0" applyFont="1" applyFill="1" applyBorder="1" applyAlignment="1">
      <alignment vertical="top"/>
    </xf>
    <xf numFmtId="6" fontId="59" fillId="0" borderId="78" xfId="3" applyNumberFormat="1" applyFont="1" applyBorder="1" applyAlignment="1" applyProtection="1">
      <alignment horizontal="center"/>
      <protection locked="0"/>
    </xf>
    <xf numFmtId="0" fontId="61" fillId="0" borderId="0" xfId="3" applyFont="1" applyFill="1" applyBorder="1" applyAlignment="1" applyProtection="1">
      <alignment horizontal="center" vertical="center"/>
    </xf>
    <xf numFmtId="3" fontId="59" fillId="0" borderId="0" xfId="3" applyNumberFormat="1" applyFont="1" applyBorder="1" applyAlignment="1" applyProtection="1">
      <alignment horizontal="right" indent="1"/>
    </xf>
    <xf numFmtId="5" fontId="59" fillId="0" borderId="0" xfId="3" applyNumberFormat="1" applyFont="1" applyBorder="1" applyAlignment="1" applyProtection="1"/>
    <xf numFmtId="5" fontId="59" fillId="0" borderId="0" xfId="3" applyNumberFormat="1" applyFont="1" applyBorder="1" applyAlignment="1" applyProtection="1">
      <alignment horizontal="center"/>
    </xf>
    <xf numFmtId="38" fontId="66" fillId="0" borderId="141" xfId="11" applyNumberFormat="1" applyFont="1" applyFill="1" applyBorder="1" applyAlignment="1" applyProtection="1">
      <alignment horizontal="right"/>
      <protection locked="0"/>
    </xf>
    <xf numFmtId="38" fontId="66" fillId="16" borderId="9" xfId="11" applyNumberFormat="1" applyFont="1" applyFill="1" applyBorder="1" applyAlignment="1" applyProtection="1">
      <alignment horizontal="right"/>
    </xf>
    <xf numFmtId="3" fontId="66" fillId="16" borderId="9" xfId="10" applyNumberFormat="1" applyFont="1" applyFill="1" applyBorder="1" applyAlignment="1" applyProtection="1">
      <alignment vertical="center"/>
    </xf>
    <xf numFmtId="3" fontId="66" fillId="16" borderId="6" xfId="10" applyNumberFormat="1" applyFont="1" applyFill="1" applyBorder="1" applyAlignment="1" applyProtection="1">
      <alignment vertical="center"/>
    </xf>
    <xf numFmtId="38" fontId="66" fillId="16" borderId="9" xfId="10" applyNumberFormat="1" applyFont="1" applyFill="1" applyBorder="1" applyAlignment="1" applyProtection="1">
      <alignment horizontal="right" vertical="center"/>
    </xf>
    <xf numFmtId="38" fontId="66" fillId="16" borderId="0" xfId="10" applyNumberFormat="1" applyFont="1" applyFill="1" applyAlignment="1">
      <alignment vertical="top"/>
    </xf>
    <xf numFmtId="38" fontId="66" fillId="16" borderId="6" xfId="10" applyNumberFormat="1" applyFont="1" applyFill="1" applyBorder="1" applyAlignment="1" applyProtection="1">
      <alignment horizontal="right" vertical="center"/>
    </xf>
    <xf numFmtId="38" fontId="66" fillId="16" borderId="6" xfId="10" applyNumberFormat="1" applyFont="1" applyFill="1" applyBorder="1" applyAlignment="1" applyProtection="1">
      <alignment horizontal="right"/>
    </xf>
    <xf numFmtId="38" fontId="66" fillId="16" borderId="0" xfId="10" applyNumberFormat="1" applyFont="1" applyFill="1" applyAlignment="1">
      <alignment horizontal="right"/>
    </xf>
    <xf numFmtId="38" fontId="66" fillId="16" borderId="9" xfId="10" applyNumberFormat="1" applyFont="1" applyFill="1" applyBorder="1" applyAlignment="1" applyProtection="1">
      <alignment horizontal="right"/>
    </xf>
    <xf numFmtId="38" fontId="66" fillId="16" borderId="6" xfId="10" applyNumberFormat="1" applyFont="1" applyFill="1" applyBorder="1" applyAlignment="1">
      <alignment horizontal="right"/>
    </xf>
    <xf numFmtId="38" fontId="66" fillId="16" borderId="141" xfId="10" applyNumberFormat="1" applyFont="1" applyFill="1" applyBorder="1" applyAlignment="1" applyProtection="1">
      <alignment horizontal="right"/>
    </xf>
    <xf numFmtId="0" fontId="68" fillId="0" borderId="0" xfId="11" quotePrefix="1" applyFont="1" applyAlignment="1">
      <alignment horizontal="left" vertical="top"/>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0" applyFont="1" applyAlignment="1">
      <alignment vertical="center"/>
    </xf>
    <xf numFmtId="0" fontId="68" fillId="0" borderId="0" xfId="11" applyFont="1" applyAlignment="1">
      <alignment vertical="center"/>
    </xf>
    <xf numFmtId="0" fontId="68" fillId="0" borderId="0" xfId="11" applyFont="1" applyAlignment="1">
      <alignment horizontal="right" vertical="center"/>
    </xf>
    <xf numFmtId="0" fontId="68" fillId="0" borderId="0" xfId="0" applyFont="1" applyBorder="1" applyAlignment="1" applyProtection="1">
      <alignment horizontal="left" vertical="center"/>
    </xf>
    <xf numFmtId="0" fontId="91" fillId="0" borderId="0" xfId="2" applyFont="1" applyAlignment="1" applyProtection="1">
      <alignment horizontal="right" vertical="center"/>
    </xf>
    <xf numFmtId="0" fontId="38" fillId="0" borderId="0" xfId="2" applyAlignment="1" applyProtection="1">
      <alignment vertical="center"/>
    </xf>
    <xf numFmtId="0" fontId="68" fillId="17" borderId="21" xfId="0" applyFont="1" applyFill="1" applyBorder="1" applyAlignment="1" applyProtection="1">
      <alignment vertical="center"/>
    </xf>
    <xf numFmtId="0" fontId="68" fillId="17" borderId="2" xfId="0" applyFont="1" applyFill="1" applyBorder="1" applyAlignment="1" applyProtection="1">
      <alignment vertical="center"/>
    </xf>
    <xf numFmtId="0" fontId="9" fillId="0" borderId="151" xfId="17" applyFont="1" applyBorder="1" applyAlignment="1" applyProtection="1">
      <alignment horizontal="left" vertical="top" wrapText="1"/>
      <protection locked="0"/>
    </xf>
    <xf numFmtId="0" fontId="66" fillId="0" borderId="21" xfId="0" applyFont="1" applyBorder="1" applyAlignment="1" applyProtection="1">
      <alignment horizontal="left" vertical="center" indent="1"/>
    </xf>
    <xf numFmtId="0" fontId="121" fillId="0" borderId="21" xfId="0" applyFont="1" applyBorder="1" applyAlignment="1" applyProtection="1">
      <alignment horizontal="left" vertical="center" indent="1"/>
    </xf>
    <xf numFmtId="38" fontId="8" fillId="16" borderId="151" xfId="17" applyNumberFormat="1" applyFont="1" applyFill="1" applyBorder="1" applyAlignment="1" applyProtection="1">
      <alignment horizontal="right" vertical="top"/>
    </xf>
    <xf numFmtId="38" fontId="8" fillId="16" borderId="152" xfId="17" applyNumberFormat="1" applyFont="1" applyFill="1" applyBorder="1" applyAlignment="1" applyProtection="1">
      <alignment horizontal="right" vertical="top"/>
    </xf>
    <xf numFmtId="49" fontId="8" fillId="0" borderId="151" xfId="17" applyNumberFormat="1" applyFont="1" applyBorder="1" applyAlignment="1" applyProtection="1">
      <alignment horizontal="center" vertical="top"/>
      <protection locked="0"/>
    </xf>
    <xf numFmtId="49" fontId="8" fillId="0" borderId="151" xfId="17" applyNumberFormat="1" applyFont="1" applyBorder="1" applyAlignment="1" applyProtection="1">
      <alignment horizontal="center" vertical="center"/>
      <protection locked="0"/>
    </xf>
    <xf numFmtId="0" fontId="61" fillId="0" borderId="77" xfId="3" applyNumberFormat="1" applyFont="1" applyBorder="1" applyAlignment="1" applyProtection="1">
      <alignment horizontal="center"/>
      <protection locked="0"/>
    </xf>
    <xf numFmtId="38" fontId="59" fillId="0" borderId="14"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4" xfId="0" applyNumberFormat="1" applyFont="1" applyFill="1" applyBorder="1" applyAlignment="1" applyProtection="1">
      <alignment horizontal="right"/>
      <protection locked="0"/>
    </xf>
    <xf numFmtId="38" fontId="59" fillId="0" borderId="124"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24" xfId="0" applyNumberFormat="1" applyFont="1" applyBorder="1" applyAlignment="1" applyProtection="1">
      <alignment horizontal="right"/>
      <protection locked="0"/>
    </xf>
    <xf numFmtId="38" fontId="59" fillId="0" borderId="12"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26"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29" xfId="0" applyNumberFormat="1" applyFont="1" applyFill="1" applyBorder="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0" xfId="0" applyNumberFormat="1" applyFont="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24" xfId="0" applyNumberFormat="1" applyFont="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0" xfId="0" applyNumberFormat="1" applyFont="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32" xfId="0" applyNumberFormat="1" applyFont="1" applyBorder="1" applyAlignment="1" applyProtection="1">
      <alignment horizontal="right"/>
      <protection locked="0"/>
    </xf>
    <xf numFmtId="38" fontId="59" fillId="0" borderId="37" xfId="0" applyNumberFormat="1" applyFont="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36" xfId="0" applyNumberFormat="1" applyFont="1" applyFill="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55" xfId="0" applyNumberFormat="1" applyFont="1" applyBorder="1" applyAlignment="1" applyProtection="1">
      <alignment horizontal="right" vertical="center"/>
      <protection locked="0"/>
    </xf>
    <xf numFmtId="38" fontId="59" fillId="0" borderId="32" xfId="0" applyNumberFormat="1" applyFont="1" applyBorder="1" applyAlignment="1" applyProtection="1">
      <alignment horizontal="right" vertical="center"/>
      <protection locked="0"/>
    </xf>
    <xf numFmtId="38" fontId="59" fillId="0" borderId="27" xfId="0" applyNumberFormat="1" applyFont="1" applyFill="1" applyBorder="1" applyAlignment="1" applyProtection="1">
      <alignment horizontal="right" vertical="center"/>
      <protection locked="0"/>
    </xf>
    <xf numFmtId="38" fontId="59" fillId="0" borderId="32" xfId="0" applyNumberFormat="1" applyFont="1" applyFill="1" applyBorder="1" applyAlignment="1" applyProtection="1">
      <alignment horizontal="right" vertical="center"/>
      <protection locked="0"/>
    </xf>
    <xf numFmtId="38" fontId="59" fillId="0" borderId="2" xfId="0" applyNumberFormat="1" applyFont="1" applyFill="1" applyBorder="1" applyAlignment="1" applyProtection="1">
      <alignment horizontal="right" vertical="center"/>
      <protection locked="0"/>
    </xf>
    <xf numFmtId="38" fontId="59" fillId="0" borderId="121" xfId="0" applyNumberFormat="1" applyFont="1" applyFill="1" applyBorder="1" applyAlignment="1" applyProtection="1">
      <alignment horizontal="right"/>
      <protection locked="0"/>
    </xf>
    <xf numFmtId="38" fontId="59" fillId="0" borderId="120" xfId="0" applyNumberFormat="1" applyFont="1" applyFill="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24"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24"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29" xfId="0" applyNumberFormat="1" applyFont="1" applyFill="1" applyBorder="1" applyAlignment="1" applyProtection="1">
      <alignment horizontal="right"/>
      <protection locked="0"/>
    </xf>
    <xf numFmtId="38" fontId="59" fillId="0" borderId="32" xfId="0" applyNumberFormat="1" applyFont="1" applyBorder="1" applyAlignment="1" applyProtection="1">
      <alignment horizontal="right"/>
      <protection locked="0"/>
    </xf>
    <xf numFmtId="38" fontId="59" fillId="0" borderId="37" xfId="0" applyNumberFormat="1" applyFont="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108" xfId="0" applyNumberFormat="1" applyFont="1" applyFill="1" applyBorder="1" applyAlignment="1" applyProtection="1">
      <alignment horizontal="right"/>
      <protection locked="0"/>
    </xf>
    <xf numFmtId="38" fontId="59" fillId="0" borderId="29"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37" xfId="0" applyNumberFormat="1" applyFont="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2" xfId="8" applyNumberFormat="1" applyFont="1" applyFill="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24"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24" xfId="0" applyNumberFormat="1" applyFont="1" applyBorder="1" applyAlignment="1" applyProtection="1">
      <alignment horizontal="right"/>
      <protection locked="0"/>
    </xf>
    <xf numFmtId="38" fontId="59" fillId="0" borderId="26"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32" xfId="0" applyNumberFormat="1" applyFont="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29" xfId="0" applyNumberFormat="1" applyFont="1" applyBorder="1" applyAlignment="1" applyProtection="1">
      <alignment horizontal="right"/>
      <protection locked="0"/>
    </xf>
    <xf numFmtId="38" fontId="59" fillId="0" borderId="2" xfId="6" applyNumberFormat="1" applyFont="1" applyBorder="1" applyProtection="1">
      <protection locked="0"/>
    </xf>
    <xf numFmtId="0" fontId="104" fillId="0" borderId="0" xfId="3506" applyFont="1"/>
    <xf numFmtId="38" fontId="59" fillId="0" borderId="2" xfId="0" applyNumberFormat="1" applyFont="1" applyFill="1" applyBorder="1" applyAlignment="1" applyProtection="1">
      <alignment horizontal="right"/>
      <protection locked="0"/>
    </xf>
    <xf numFmtId="38" fontId="59" fillId="0" borderId="29" xfId="0" applyNumberFormat="1" applyFont="1" applyFill="1" applyBorder="1" applyAlignment="1" applyProtection="1">
      <alignment horizontal="right"/>
      <protection locked="0"/>
    </xf>
    <xf numFmtId="0" fontId="61" fillId="0" borderId="0" xfId="0" applyFont="1" applyFill="1"/>
    <xf numFmtId="164" fontId="66" fillId="0" borderId="0" xfId="0" applyNumberFormat="1" applyFont="1"/>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38" fontId="59" fillId="0" borderId="2" xfId="9" applyNumberFormat="1" applyFont="1" applyFill="1" applyBorder="1" applyAlignment="1" applyProtection="1">
      <alignment horizontal="right"/>
      <protection locked="0"/>
    </xf>
    <xf numFmtId="3" fontId="59" fillId="0" borderId="2" xfId="9" applyNumberFormat="1" applyFont="1" applyFill="1" applyBorder="1" applyAlignment="1" applyProtection="1">
      <alignment horizontal="right" vertical="center"/>
      <protection locked="0"/>
    </xf>
    <xf numFmtId="38" fontId="59" fillId="0" borderId="2" xfId="0" applyNumberFormat="1" applyFont="1" applyFill="1" applyBorder="1" applyAlignment="1" applyProtection="1">
      <alignment horizontal="right"/>
      <protection locked="0"/>
    </xf>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0" fontId="59" fillId="0" borderId="2" xfId="0" applyFont="1" applyFill="1" applyBorder="1" applyAlignment="1" applyProtection="1">
      <alignment horizontal="right"/>
      <protection locked="0"/>
    </xf>
    <xf numFmtId="0" fontId="0" fillId="0" borderId="0" xfId="0"/>
    <xf numFmtId="0" fontId="16" fillId="0" borderId="0" xfId="3697" applyFont="1" applyBorder="1" applyProtection="1"/>
    <xf numFmtId="0" fontId="15" fillId="0" borderId="0" xfId="3697" applyBorder="1" applyProtection="1"/>
    <xf numFmtId="0" fontId="18" fillId="0" borderId="0" xfId="3697" applyFont="1" applyBorder="1" applyAlignment="1" applyProtection="1">
      <alignment horizontal="center"/>
    </xf>
    <xf numFmtId="0" fontId="15" fillId="0" borderId="0" xfId="3697" applyBorder="1" applyProtection="1">
      <protection locked="0"/>
    </xf>
    <xf numFmtId="0" fontId="174" fillId="0" borderId="0" xfId="3697" applyFont="1" applyBorder="1" applyAlignment="1" applyProtection="1">
      <alignment horizontal="left"/>
    </xf>
    <xf numFmtId="0" fontId="39" fillId="0" borderId="0" xfId="3697" applyFont="1" applyBorder="1" applyAlignment="1" applyProtection="1">
      <alignment horizontal="left"/>
    </xf>
    <xf numFmtId="0" fontId="39" fillId="0" borderId="0" xfId="3697" applyFont="1" applyBorder="1" applyProtection="1"/>
    <xf numFmtId="178" fontId="18" fillId="0" borderId="9" xfId="3697" applyNumberFormat="1" applyFont="1" applyBorder="1" applyAlignment="1" applyProtection="1">
      <alignment horizontal="center"/>
      <protection locked="0"/>
    </xf>
    <xf numFmtId="0" fontId="176" fillId="0" borderId="0" xfId="3697" applyFont="1" applyBorder="1" applyAlignment="1" applyProtection="1">
      <alignment horizontal="left"/>
    </xf>
    <xf numFmtId="14" fontId="15" fillId="0" borderId="0" xfId="3697" applyNumberFormat="1" applyAlignment="1" applyProtection="1">
      <alignment horizontal="left" indent="2"/>
      <protection locked="0"/>
    </xf>
    <xf numFmtId="0" fontId="152" fillId="0" borderId="0" xfId="0" applyFont="1" applyAlignment="1">
      <alignment horizontal="center" vertical="center"/>
    </xf>
    <xf numFmtId="0" fontId="179" fillId="0" borderId="0" xfId="0" applyFont="1" applyAlignment="1">
      <alignment vertical="center"/>
    </xf>
    <xf numFmtId="0" fontId="17" fillId="0" borderId="0" xfId="0" applyFont="1" applyAlignment="1">
      <alignment vertical="center"/>
    </xf>
    <xf numFmtId="0" fontId="16" fillId="0" borderId="0" xfId="0" applyFont="1" applyAlignment="1">
      <alignment vertical="center"/>
    </xf>
    <xf numFmtId="0" fontId="18" fillId="0" borderId="19" xfId="12" applyNumberFormat="1" applyFont="1" applyFill="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8" fillId="0" borderId="19" xfId="12" applyNumberFormat="1" applyFont="1" applyBorder="1" applyAlignment="1" applyProtection="1">
      <alignment horizontal="left" vertical="center"/>
      <protection locked="0"/>
    </xf>
    <xf numFmtId="180" fontId="18" fillId="0" borderId="20" xfId="0" applyNumberFormat="1" applyFont="1" applyBorder="1" applyAlignment="1" applyProtection="1">
      <alignment horizontal="left" vertical="center"/>
      <protection locked="0"/>
    </xf>
    <xf numFmtId="180" fontId="18" fillId="0" borderId="11" xfId="0" applyNumberFormat="1" applyFont="1" applyBorder="1" applyAlignment="1" applyProtection="1">
      <alignment horizontal="left" vertical="center"/>
      <protection locked="0"/>
    </xf>
    <xf numFmtId="0" fontId="16" fillId="0" borderId="12" xfId="12" applyNumberFormat="1" applyFont="1" applyBorder="1" applyAlignment="1" applyProtection="1">
      <alignment horizontal="left" vertical="center"/>
    </xf>
    <xf numFmtId="0" fontId="19" fillId="0" borderId="16" xfId="0" applyNumberFormat="1" applyFont="1" applyBorder="1" applyAlignment="1">
      <alignment horizontal="left" vertical="center"/>
    </xf>
    <xf numFmtId="0" fontId="19"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9"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8" fillId="0" borderId="19" xfId="2" applyNumberFormat="1" applyBorder="1" applyAlignment="1" applyProtection="1">
      <alignment horizontal="left" vertical="center" indent="1"/>
      <protection locked="0"/>
    </xf>
    <xf numFmtId="0" fontId="49" fillId="0" borderId="20" xfId="2" applyNumberFormat="1" applyFont="1" applyBorder="1" applyAlignment="1" applyProtection="1">
      <alignment horizontal="left" vertical="center" indent="1"/>
      <protection locked="0"/>
    </xf>
    <xf numFmtId="0" fontId="49" fillId="0" borderId="20" xfId="2" applyFont="1" applyBorder="1" applyAlignment="1" applyProtection="1">
      <alignment horizontal="left" vertical="center" indent="1"/>
      <protection locked="0"/>
    </xf>
    <xf numFmtId="0" fontId="26" fillId="0" borderId="20" xfId="0" applyFont="1" applyBorder="1" applyAlignment="1" applyProtection="1">
      <alignment horizontal="left" vertical="center" indent="1"/>
      <protection locked="0"/>
    </xf>
    <xf numFmtId="0" fontId="26" fillId="0" borderId="11" xfId="0" applyFont="1" applyBorder="1" applyAlignment="1" applyProtection="1">
      <alignment horizontal="left" vertical="center" indent="1"/>
      <protection locked="0"/>
    </xf>
    <xf numFmtId="180" fontId="18" fillId="0" borderId="19" xfId="0" applyNumberFormat="1" applyFont="1" applyBorder="1" applyAlignment="1" applyProtection="1">
      <alignment horizontal="left" vertical="center" indent="1"/>
      <protection locked="0"/>
    </xf>
    <xf numFmtId="180" fontId="18" fillId="0" borderId="20" xfId="0" applyNumberFormat="1" applyFont="1" applyBorder="1" applyAlignment="1" applyProtection="1">
      <alignment horizontal="left" vertical="center" indent="1"/>
      <protection locked="0"/>
    </xf>
    <xf numFmtId="180" fontId="18" fillId="0" borderId="11" xfId="0" applyNumberFormat="1" applyFont="1" applyBorder="1" applyAlignment="1" applyProtection="1">
      <alignment horizontal="left" vertical="center" indent="1"/>
      <protection locked="0"/>
    </xf>
    <xf numFmtId="0" fontId="18" fillId="0" borderId="20" xfId="0" applyNumberFormat="1" applyFont="1" applyBorder="1" applyAlignment="1" applyProtection="1">
      <alignment horizontal="left" vertical="center" indent="1"/>
      <protection locked="0"/>
    </xf>
    <xf numFmtId="0" fontId="129" fillId="0" borderId="0" xfId="12" applyFont="1" applyBorder="1" applyAlignment="1" applyProtection="1">
      <alignment horizontal="center" vertical="center" wrapText="1"/>
    </xf>
    <xf numFmtId="0" fontId="129" fillId="0" borderId="18" xfId="12" applyFont="1" applyBorder="1" applyAlignment="1" applyProtection="1">
      <alignment horizontal="center" vertical="center" wrapText="1"/>
    </xf>
    <xf numFmtId="0" fontId="129" fillId="0" borderId="125" xfId="12" applyFont="1" applyBorder="1" applyAlignment="1" applyProtection="1">
      <alignment horizontal="center" vertical="center" wrapText="1"/>
    </xf>
    <xf numFmtId="0" fontId="129" fillId="0" borderId="123" xfId="12" applyFont="1" applyBorder="1" applyAlignment="1" applyProtection="1">
      <alignment horizontal="center" vertical="center" wrapText="1"/>
    </xf>
    <xf numFmtId="0" fontId="19" fillId="0" borderId="20" xfId="12" applyFont="1" applyBorder="1" applyAlignment="1" applyProtection="1">
      <alignment vertical="center"/>
    </xf>
    <xf numFmtId="180" fontId="18" fillId="0" borderId="19" xfId="12" applyNumberFormat="1" applyFont="1" applyBorder="1" applyAlignment="1" applyProtection="1">
      <alignment horizontal="left" vertical="center" indent="1"/>
      <protection locked="0"/>
    </xf>
    <xf numFmtId="0" fontId="18" fillId="0" borderId="0" xfId="12" applyFont="1" applyBorder="1" applyAlignment="1" applyProtection="1">
      <alignment vertical="center"/>
      <protection locked="0"/>
    </xf>
    <xf numFmtId="0" fontId="18" fillId="0" borderId="20" xfId="0" applyNumberFormat="1" applyFont="1" applyBorder="1" applyAlignment="1" applyProtection="1">
      <alignment horizontal="left" vertical="center"/>
      <protection locked="0"/>
    </xf>
    <xf numFmtId="0" fontId="18" fillId="0" borderId="20" xfId="0" applyFont="1" applyBorder="1" applyAlignment="1" applyProtection="1">
      <alignment horizontal="left" vertical="center"/>
      <protection locked="0"/>
    </xf>
    <xf numFmtId="0" fontId="18" fillId="0" borderId="11" xfId="0" applyFont="1" applyBorder="1" applyAlignment="1" applyProtection="1">
      <alignment horizontal="left" vertical="center"/>
      <protection locked="0"/>
    </xf>
    <xf numFmtId="0" fontId="19"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8" fillId="0" borderId="17" xfId="12" applyNumberFormat="1" applyFont="1" applyBorder="1" applyAlignment="1" applyProtection="1">
      <alignment horizontal="left" vertical="center" indent="1"/>
      <protection locked="0"/>
    </xf>
    <xf numFmtId="0" fontId="18" fillId="0" borderId="0" xfId="0" applyNumberFormat="1" applyFont="1" applyBorder="1" applyAlignment="1" applyProtection="1">
      <alignment horizontal="left" vertical="center" indent="1"/>
      <protection locked="0"/>
    </xf>
    <xf numFmtId="180" fontId="18" fillId="0" borderId="19" xfId="0" applyNumberFormat="1" applyFont="1" applyBorder="1" applyAlignment="1" applyProtection="1">
      <alignment horizontal="left" vertical="center"/>
      <protection locked="0"/>
    </xf>
    <xf numFmtId="0" fontId="49" fillId="0" borderId="19" xfId="2" applyNumberFormat="1" applyFont="1" applyBorder="1" applyAlignment="1" applyProtection="1">
      <alignment horizontal="left" vertical="center"/>
      <protection locked="0"/>
    </xf>
    <xf numFmtId="0" fontId="49" fillId="0" borderId="20" xfId="2" applyFont="1" applyBorder="1" applyAlignment="1" applyProtection="1">
      <alignment horizontal="left" vertical="center"/>
      <protection locked="0"/>
    </xf>
    <xf numFmtId="0" fontId="49" fillId="0" borderId="11" xfId="2" applyFont="1" applyBorder="1" applyAlignment="1" applyProtection="1">
      <alignment horizontal="left" vertical="center"/>
      <protection locked="0"/>
    </xf>
    <xf numFmtId="49" fontId="21" fillId="0" borderId="0" xfId="12" applyNumberFormat="1" applyFont="1" applyBorder="1" applyAlignment="1" applyProtection="1">
      <alignment horizontal="center" vertical="center"/>
    </xf>
    <xf numFmtId="0" fontId="21" fillId="0" borderId="0" xfId="0" applyFont="1" applyBorder="1" applyAlignment="1">
      <alignment horizontal="center" vertical="center"/>
    </xf>
    <xf numFmtId="0" fontId="21" fillId="0" borderId="0" xfId="12" applyFont="1" applyBorder="1" applyAlignment="1" applyProtection="1">
      <alignment horizontal="center" vertical="center"/>
    </xf>
    <xf numFmtId="171" fontId="18"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9" fillId="0" borderId="12" xfId="12" applyFont="1" applyBorder="1" applyAlignment="1" applyProtection="1">
      <alignment horizontal="center"/>
    </xf>
    <xf numFmtId="0" fontId="19" fillId="0" borderId="16" xfId="0" applyFont="1" applyBorder="1" applyAlignment="1">
      <alignment horizontal="center"/>
    </xf>
    <xf numFmtId="0" fontId="19" fillId="0" borderId="10" xfId="0" applyFont="1" applyBorder="1" applyAlignment="1">
      <alignment horizontal="center"/>
    </xf>
    <xf numFmtId="0" fontId="18" fillId="0" borderId="0" xfId="12" applyFont="1" applyBorder="1" applyAlignment="1" applyProtection="1">
      <alignment horizontal="center" vertical="center"/>
    </xf>
    <xf numFmtId="0" fontId="0" fillId="0" borderId="0" xfId="0" applyBorder="1" applyAlignment="1">
      <alignment horizontal="center" vertical="center"/>
    </xf>
    <xf numFmtId="49" fontId="18" fillId="0" borderId="0" xfId="12" applyNumberFormat="1" applyFont="1" applyBorder="1" applyAlignment="1" applyProtection="1">
      <alignment horizontal="center" vertical="center"/>
    </xf>
    <xf numFmtId="49" fontId="38" fillId="0" borderId="19" xfId="2" applyNumberFormat="1" applyFill="1" applyBorder="1" applyAlignment="1" applyProtection="1">
      <alignment horizontal="left" vertical="center" indent="1"/>
      <protection locked="0"/>
    </xf>
    <xf numFmtId="49" fontId="42" fillId="0" borderId="20" xfId="0" applyNumberFormat="1" applyFont="1" applyBorder="1" applyAlignment="1" applyProtection="1">
      <alignment horizontal="left" vertical="center" indent="1"/>
      <protection locked="0"/>
    </xf>
    <xf numFmtId="49" fontId="42" fillId="0" borderId="11" xfId="0" applyNumberFormat="1" applyFont="1" applyBorder="1" applyAlignment="1" applyProtection="1">
      <alignment horizontal="left" vertical="center" indent="1"/>
      <protection locked="0"/>
    </xf>
    <xf numFmtId="0" fontId="26"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8" fillId="0" borderId="17" xfId="2" applyNumberFormat="1" applyBorder="1" applyAlignment="1" applyProtection="1">
      <alignment horizontal="center" vertical="center"/>
    </xf>
    <xf numFmtId="0" fontId="38" fillId="0" borderId="0" xfId="2" applyBorder="1" applyAlignment="1" applyProtection="1">
      <alignment horizontal="center" vertical="center"/>
    </xf>
    <xf numFmtId="0" fontId="38" fillId="0" borderId="18" xfId="2" applyBorder="1" applyAlignment="1" applyProtection="1">
      <alignment horizontal="center" vertical="center"/>
    </xf>
    <xf numFmtId="0" fontId="39" fillId="0" borderId="17" xfId="12" applyFont="1" applyBorder="1" applyAlignment="1" applyProtection="1">
      <alignment horizontal="center"/>
    </xf>
    <xf numFmtId="0" fontId="18" fillId="0" borderId="18" xfId="0" applyFont="1" applyBorder="1" applyAlignment="1" applyProtection="1">
      <alignment horizontal="left" vertical="center" indent="1"/>
      <protection locked="0"/>
    </xf>
    <xf numFmtId="0" fontId="39"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9" fillId="0" borderId="17"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18" xfId="0" applyFont="1" applyBorder="1" applyAlignment="1">
      <alignment horizontal="center" vertical="center"/>
    </xf>
    <xf numFmtId="0" fontId="44" fillId="0" borderId="19" xfId="0" applyFont="1" applyBorder="1" applyAlignment="1">
      <alignment horizontal="center" vertical="top"/>
    </xf>
    <xf numFmtId="0" fontId="44" fillId="0" borderId="20" xfId="0" applyFont="1" applyBorder="1" applyAlignment="1">
      <alignment horizontal="center" vertical="top"/>
    </xf>
    <xf numFmtId="0" fontId="44" fillId="0" borderId="11" xfId="0" applyFont="1" applyBorder="1" applyAlignment="1">
      <alignment horizontal="center" vertical="top"/>
    </xf>
    <xf numFmtId="0" fontId="18" fillId="0" borderId="19" xfId="12" applyNumberFormat="1" applyFont="1" applyBorder="1" applyAlignment="1" applyProtection="1">
      <alignment horizontal="left" vertical="center" indent="1"/>
      <protection locked="0"/>
    </xf>
    <xf numFmtId="174" fontId="18" fillId="0" borderId="17" xfId="12" applyNumberFormat="1" applyFont="1" applyBorder="1" applyAlignment="1" applyProtection="1">
      <alignment horizontal="left" vertical="center" indent="1"/>
      <protection locked="0"/>
    </xf>
    <xf numFmtId="174" fontId="18" fillId="0" borderId="0" xfId="0" applyNumberFormat="1" applyFont="1" applyBorder="1" applyAlignment="1" applyProtection="1">
      <alignment horizontal="left" vertical="center" indent="1"/>
      <protection locked="0"/>
    </xf>
    <xf numFmtId="174" fontId="18" fillId="0" borderId="18" xfId="0" applyNumberFormat="1" applyFont="1" applyBorder="1" applyAlignment="1" applyProtection="1">
      <alignment horizontal="left" vertical="center" indent="1"/>
      <protection locked="0"/>
    </xf>
    <xf numFmtId="0" fontId="18" fillId="0" borderId="20" xfId="12" applyNumberFormat="1" applyFont="1" applyBorder="1" applyAlignment="1" applyProtection="1">
      <alignment horizontal="left" vertical="center" indent="1"/>
      <protection locked="0"/>
    </xf>
    <xf numFmtId="0" fontId="18" fillId="0" borderId="11" xfId="12" applyNumberFormat="1"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readingOrder="1"/>
      <protection locked="0"/>
    </xf>
    <xf numFmtId="0" fontId="18" fillId="0" borderId="20" xfId="0" applyNumberFormat="1" applyFont="1" applyBorder="1" applyAlignment="1" applyProtection="1">
      <alignment horizontal="left" vertical="center" readingOrder="1"/>
      <protection locked="0"/>
    </xf>
    <xf numFmtId="0" fontId="19" fillId="0" borderId="20" xfId="0" applyFont="1" applyBorder="1" applyAlignment="1" applyProtection="1">
      <alignment vertical="center" readingOrder="1"/>
      <protection locked="0"/>
    </xf>
    <xf numFmtId="0" fontId="19" fillId="0" borderId="11" xfId="0" applyFont="1" applyBorder="1" applyAlignment="1" applyProtection="1">
      <alignment vertical="center" readingOrder="1"/>
      <protection locked="0"/>
    </xf>
    <xf numFmtId="0" fontId="18" fillId="0" borderId="19" xfId="12" applyNumberFormat="1" applyFont="1" applyBorder="1" applyAlignment="1" applyProtection="1">
      <alignment horizontal="left" vertical="center"/>
      <protection locked="0"/>
    </xf>
    <xf numFmtId="0" fontId="19" fillId="0" borderId="20" xfId="0" applyFont="1" applyBorder="1" applyAlignment="1" applyProtection="1">
      <alignment vertical="center"/>
      <protection locked="0"/>
    </xf>
    <xf numFmtId="0" fontId="19" fillId="0" borderId="11" xfId="0" applyFont="1" applyBorder="1" applyAlignment="1" applyProtection="1">
      <alignment vertical="center"/>
      <protection locked="0"/>
    </xf>
    <xf numFmtId="0" fontId="18" fillId="0" borderId="133" xfId="12" applyFont="1" applyBorder="1" applyAlignment="1" applyProtection="1">
      <alignment horizontal="left" vertical="center" indent="1"/>
      <protection locked="0"/>
    </xf>
    <xf numFmtId="0" fontId="18" fillId="0" borderId="123" xfId="0" applyFont="1" applyBorder="1" applyAlignment="1" applyProtection="1">
      <alignment horizontal="left" vertical="center" indent="1"/>
      <protection locked="0"/>
    </xf>
    <xf numFmtId="0" fontId="18" fillId="0" borderId="19" xfId="0" applyFont="1" applyBorder="1" applyAlignment="1" applyProtection="1">
      <alignment horizontal="left" vertical="center" indent="1"/>
      <protection locked="0"/>
    </xf>
    <xf numFmtId="0" fontId="18" fillId="0" borderId="125" xfId="0" applyFont="1" applyBorder="1" applyAlignment="1" applyProtection="1">
      <alignment horizontal="left" vertical="center" indent="1"/>
      <protection locked="0"/>
    </xf>
    <xf numFmtId="0" fontId="25"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8" fillId="0" borderId="19" xfId="2" applyBorder="1" applyAlignment="1" applyProtection="1">
      <protection locked="0"/>
    </xf>
    <xf numFmtId="0" fontId="24" fillId="0" borderId="20" xfId="0" applyFont="1" applyBorder="1" applyProtection="1">
      <protection locked="0"/>
    </xf>
    <xf numFmtId="0" fontId="24" fillId="0" borderId="11" xfId="0" applyFont="1" applyBorder="1" applyProtection="1">
      <protection locked="0"/>
    </xf>
    <xf numFmtId="0" fontId="18" fillId="0" borderId="0" xfId="0" applyFont="1" applyBorder="1" applyAlignment="1" applyProtection="1">
      <alignment horizontal="left" vertical="center" indent="1"/>
      <protection locked="0"/>
    </xf>
    <xf numFmtId="180" fontId="18" fillId="0" borderId="17" xfId="12" applyNumberFormat="1" applyFont="1" applyBorder="1" applyAlignment="1" applyProtection="1">
      <alignment horizontal="left" vertical="center" indent="1"/>
      <protection locked="0"/>
    </xf>
    <xf numFmtId="180" fontId="18" fillId="0" borderId="0" xfId="0" applyNumberFormat="1" applyFont="1" applyBorder="1" applyAlignment="1" applyProtection="1">
      <alignment horizontal="left" vertical="center" indent="1"/>
      <protection locked="0"/>
    </xf>
    <xf numFmtId="0" fontId="49" fillId="0" borderId="20" xfId="2" applyNumberFormat="1" applyFont="1" applyBorder="1" applyAlignment="1" applyProtection="1">
      <alignment horizontal="left" vertical="center"/>
      <protection locked="0"/>
    </xf>
    <xf numFmtId="14" fontId="18" fillId="0" borderId="122" xfId="12" applyNumberFormat="1" applyFont="1" applyBorder="1" applyAlignment="1" applyProtection="1">
      <alignment horizontal="left" vertical="center" indent="1"/>
      <protection locked="0"/>
    </xf>
    <xf numFmtId="0" fontId="18" fillId="0" borderId="125" xfId="12" applyNumberFormat="1" applyFont="1" applyBorder="1" applyAlignment="1" applyProtection="1">
      <alignment horizontal="left" vertical="center" indent="1"/>
      <protection locked="0"/>
    </xf>
    <xf numFmtId="0" fontId="18" fillId="0" borderId="123" xfId="12" applyNumberFormat="1" applyFont="1" applyBorder="1" applyAlignment="1" applyProtection="1">
      <alignment horizontal="left" vertical="center" indent="1"/>
      <protection locked="0"/>
    </xf>
    <xf numFmtId="180" fontId="18" fillId="0" borderId="122" xfId="12" applyNumberFormat="1" applyFont="1" applyBorder="1" applyAlignment="1" applyProtection="1">
      <alignment horizontal="left" vertical="center" indent="1"/>
      <protection locked="0"/>
    </xf>
    <xf numFmtId="180" fontId="18" fillId="0" borderId="125" xfId="12" applyNumberFormat="1" applyFont="1" applyBorder="1" applyAlignment="1" applyProtection="1">
      <alignment horizontal="left" vertical="center" indent="1"/>
      <protection locked="0"/>
    </xf>
    <xf numFmtId="180" fontId="18" fillId="0" borderId="123" xfId="12" applyNumberFormat="1" applyFont="1" applyBorder="1" applyAlignment="1" applyProtection="1">
      <alignment horizontal="left" vertical="center" indent="1"/>
      <protection locked="0"/>
    </xf>
    <xf numFmtId="0" fontId="58" fillId="0" borderId="0" xfId="0" applyFont="1" applyBorder="1" applyAlignment="1">
      <alignment horizontal="center" vertical="center"/>
    </xf>
    <xf numFmtId="0" fontId="58" fillId="0" borderId="0" xfId="0" applyFont="1" applyBorder="1" applyAlignment="1">
      <alignment horizontal="center"/>
    </xf>
    <xf numFmtId="0" fontId="62" fillId="0" borderId="0" xfId="2" applyFont="1" applyBorder="1" applyAlignment="1" applyProtection="1">
      <alignment horizontal="center"/>
    </xf>
    <xf numFmtId="0" fontId="58" fillId="0" borderId="48" xfId="0" applyFont="1" applyBorder="1" applyAlignment="1">
      <alignment horizontal="center"/>
    </xf>
    <xf numFmtId="0" fontId="70" fillId="0" borderId="0" xfId="0" applyFont="1" applyBorder="1" applyAlignment="1" applyProtection="1">
      <alignment horizontal="center" vertical="center"/>
    </xf>
    <xf numFmtId="0" fontId="59" fillId="0" borderId="12" xfId="3" applyFont="1" applyBorder="1" applyAlignment="1" applyProtection="1">
      <alignment horizontal="left" vertical="top"/>
      <protection locked="0"/>
    </xf>
    <xf numFmtId="0" fontId="59" fillId="0" borderId="16" xfId="3" applyFont="1" applyBorder="1" applyAlignment="1" applyProtection="1">
      <alignment horizontal="left" vertical="top"/>
      <protection locked="0"/>
    </xf>
    <xf numFmtId="0" fontId="59" fillId="0" borderId="10" xfId="3" applyFont="1" applyBorder="1" applyAlignment="1" applyProtection="1">
      <alignment horizontal="left" vertical="top"/>
      <protection locked="0"/>
    </xf>
    <xf numFmtId="0" fontId="59" fillId="0" borderId="17" xfId="3" applyFont="1" applyBorder="1" applyAlignment="1" applyProtection="1">
      <alignment horizontal="left" vertical="top"/>
      <protection locked="0"/>
    </xf>
    <xf numFmtId="0" fontId="59" fillId="0" borderId="0" xfId="3" applyFont="1" applyBorder="1" applyAlignment="1" applyProtection="1">
      <alignment horizontal="left" vertical="top"/>
      <protection locked="0"/>
    </xf>
    <xf numFmtId="0" fontId="59" fillId="0" borderId="18" xfId="3" applyFont="1" applyBorder="1" applyAlignment="1" applyProtection="1">
      <alignment horizontal="left" vertical="top"/>
      <protection locked="0"/>
    </xf>
    <xf numFmtId="0" fontId="59" fillId="0" borderId="122" xfId="3" applyFont="1" applyBorder="1" applyAlignment="1" applyProtection="1">
      <alignment horizontal="left" vertical="top"/>
      <protection locked="0"/>
    </xf>
    <xf numFmtId="0" fontId="59" fillId="0" borderId="125" xfId="3" applyFont="1" applyBorder="1" applyAlignment="1" applyProtection="1">
      <alignment horizontal="left" vertical="top"/>
      <protection locked="0"/>
    </xf>
    <xf numFmtId="0" fontId="59" fillId="0" borderId="123" xfId="3" applyFont="1" applyBorder="1" applyAlignment="1" applyProtection="1">
      <alignment horizontal="left" vertical="top"/>
      <protection locked="0"/>
    </xf>
    <xf numFmtId="0" fontId="58" fillId="0" borderId="131" xfId="3" applyFont="1" applyBorder="1" applyAlignment="1" applyProtection="1">
      <alignment horizontal="center"/>
      <protection locked="0"/>
    </xf>
    <xf numFmtId="0" fontId="77" fillId="0" borderId="0" xfId="3" applyFont="1" applyBorder="1" applyAlignment="1">
      <alignment horizontal="left" vertical="top" wrapText="1"/>
    </xf>
    <xf numFmtId="0" fontId="84" fillId="0" borderId="0" xfId="3" applyFont="1" applyBorder="1" applyAlignment="1">
      <alignment horizontal="left" vertical="top" wrapText="1"/>
    </xf>
    <xf numFmtId="0" fontId="84" fillId="0" borderId="0" xfId="3" applyFont="1" applyAlignment="1">
      <alignment horizontal="left" vertical="top" wrapText="1"/>
    </xf>
    <xf numFmtId="0" fontId="70" fillId="0" borderId="0" xfId="0" applyFont="1" applyBorder="1" applyAlignment="1" applyProtection="1">
      <alignment horizontal="left" vertical="center"/>
    </xf>
    <xf numFmtId="0" fontId="70" fillId="0" borderId="0" xfId="0" applyFont="1" applyAlignment="1">
      <alignment horizontal="left" vertical="center"/>
    </xf>
    <xf numFmtId="0" fontId="69" fillId="0" borderId="0" xfId="0" applyFont="1" applyAlignment="1">
      <alignment horizontal="left" vertical="center"/>
    </xf>
    <xf numFmtId="0" fontId="79" fillId="0" borderId="0" xfId="0" applyFont="1" applyAlignment="1">
      <alignment horizontal="left" vertical="center"/>
    </xf>
    <xf numFmtId="0" fontId="61" fillId="0" borderId="0" xfId="0" applyFont="1" applyAlignment="1">
      <alignment horizontal="left" vertical="center"/>
    </xf>
    <xf numFmtId="0" fontId="58" fillId="18" borderId="0" xfId="0" applyFont="1" applyFill="1" applyBorder="1" applyAlignment="1" applyProtection="1">
      <alignment horizontal="center" vertical="center"/>
    </xf>
    <xf numFmtId="0" fontId="58" fillId="18" borderId="104" xfId="0" applyFont="1" applyFill="1" applyBorder="1" applyAlignment="1" applyProtection="1">
      <alignment horizontal="center" vertical="center"/>
    </xf>
    <xf numFmtId="0" fontId="59" fillId="0" borderId="12" xfId="0" applyFont="1" applyBorder="1" applyAlignment="1" applyProtection="1">
      <alignment horizontal="left" vertical="top" wrapText="1"/>
      <protection locked="0"/>
    </xf>
    <xf numFmtId="0" fontId="59" fillId="0" borderId="16" xfId="0" applyFont="1" applyBorder="1" applyAlignment="1" applyProtection="1">
      <alignment horizontal="left" vertical="top" wrapText="1"/>
      <protection locked="0"/>
    </xf>
    <xf numFmtId="0" fontId="59" fillId="0" borderId="10" xfId="0" applyFont="1" applyBorder="1" applyAlignment="1" applyProtection="1">
      <alignment horizontal="left" vertical="top" wrapText="1"/>
      <protection locked="0"/>
    </xf>
    <xf numFmtId="0" fontId="59" fillId="0" borderId="17" xfId="0" applyFont="1" applyBorder="1" applyAlignment="1" applyProtection="1">
      <alignment horizontal="left" vertical="top" wrapText="1"/>
      <protection locked="0"/>
    </xf>
    <xf numFmtId="0" fontId="59" fillId="0" borderId="0" xfId="0" applyFont="1" applyBorder="1" applyAlignment="1" applyProtection="1">
      <alignment horizontal="left" vertical="top" wrapText="1"/>
      <protection locked="0"/>
    </xf>
    <xf numFmtId="0" fontId="59" fillId="0" borderId="18" xfId="0" applyFont="1" applyBorder="1" applyAlignment="1" applyProtection="1">
      <alignment horizontal="left" vertical="top" wrapText="1"/>
      <protection locked="0"/>
    </xf>
    <xf numFmtId="0" fontId="59" fillId="0" borderId="122" xfId="0" applyFont="1" applyBorder="1" applyAlignment="1" applyProtection="1">
      <alignment horizontal="left" vertical="top" wrapText="1"/>
      <protection locked="0"/>
    </xf>
    <xf numFmtId="0" fontId="59" fillId="0" borderId="125" xfId="0" applyFont="1" applyBorder="1" applyAlignment="1" applyProtection="1">
      <alignment horizontal="left" vertical="top" wrapText="1"/>
      <protection locked="0"/>
    </xf>
    <xf numFmtId="0" fontId="59" fillId="0" borderId="123" xfId="0" applyFont="1" applyBorder="1" applyAlignment="1" applyProtection="1">
      <alignment horizontal="left" vertical="top" wrapText="1"/>
      <protection locked="0"/>
    </xf>
    <xf numFmtId="0" fontId="64" fillId="0" borderId="0" xfId="0" applyFont="1" applyBorder="1" applyAlignment="1" applyProtection="1">
      <alignment horizontal="center" vertical="center"/>
    </xf>
    <xf numFmtId="38" fontId="58" fillId="0" borderId="79" xfId="0" applyNumberFormat="1" applyFont="1" applyBorder="1" applyAlignment="1" applyProtection="1">
      <alignment horizontal="left" vertical="top" wrapText="1"/>
      <protection locked="0"/>
    </xf>
    <xf numFmtId="0" fontId="58" fillId="0" borderId="80" xfId="0" applyFont="1" applyBorder="1" applyAlignment="1" applyProtection="1">
      <alignment wrapText="1"/>
      <protection locked="0"/>
    </xf>
    <xf numFmtId="0" fontId="58" fillId="0" borderId="81" xfId="0" applyFont="1" applyBorder="1" applyAlignment="1" applyProtection="1">
      <alignment wrapText="1"/>
      <protection locked="0"/>
    </xf>
    <xf numFmtId="0" fontId="58" fillId="0" borderId="82" xfId="0" applyFont="1" applyBorder="1" applyAlignment="1" applyProtection="1">
      <alignment wrapText="1"/>
      <protection locked="0"/>
    </xf>
    <xf numFmtId="0" fontId="58" fillId="0" borderId="0" xfId="0" applyFont="1" applyAlignment="1" applyProtection="1">
      <alignment wrapText="1"/>
      <protection locked="0"/>
    </xf>
    <xf numFmtId="0" fontId="58" fillId="0" borderId="83" xfId="0" applyFont="1" applyBorder="1" applyAlignment="1" applyProtection="1">
      <alignment wrapText="1"/>
      <protection locked="0"/>
    </xf>
    <xf numFmtId="0" fontId="58" fillId="0" borderId="84" xfId="0" applyFont="1" applyBorder="1" applyAlignment="1" applyProtection="1">
      <alignment wrapText="1"/>
      <protection locked="0"/>
    </xf>
    <xf numFmtId="0" fontId="58" fillId="0" borderId="85" xfId="0" applyFont="1" applyBorder="1" applyAlignment="1" applyProtection="1">
      <alignment wrapText="1"/>
      <protection locked="0"/>
    </xf>
    <xf numFmtId="0" fontId="58" fillId="0" borderId="86" xfId="0" applyFont="1" applyBorder="1" applyAlignment="1" applyProtection="1">
      <alignment wrapText="1"/>
      <protection locked="0"/>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166" fontId="66" fillId="0" borderId="0" xfId="0" applyNumberFormat="1" applyFont="1" applyBorder="1" applyAlignment="1" applyProtection="1">
      <alignment horizontal="left" vertical="center"/>
    </xf>
    <xf numFmtId="166" fontId="61" fillId="0" borderId="0" xfId="0" applyNumberFormat="1" applyFont="1" applyAlignment="1">
      <alignment horizontal="left" vertical="center"/>
    </xf>
    <xf numFmtId="0" fontId="66" fillId="0" borderId="0" xfId="0" applyFont="1" applyBorder="1" applyAlignment="1" applyProtection="1">
      <alignment wrapText="1"/>
    </xf>
    <xf numFmtId="0" fontId="66" fillId="0" borderId="0" xfId="0" applyFont="1" applyAlignment="1" applyProtection="1">
      <alignment horizontal="left" vertical="center"/>
    </xf>
    <xf numFmtId="0" fontId="66" fillId="0" borderId="0" xfId="0" applyFont="1" applyAlignment="1">
      <alignment horizontal="left" vertical="center"/>
    </xf>
    <xf numFmtId="0" fontId="66" fillId="0" borderId="0" xfId="0" applyFont="1" applyBorder="1" applyAlignment="1" applyProtection="1">
      <alignment vertical="top" wrapText="1"/>
    </xf>
    <xf numFmtId="0" fontId="66" fillId="0" borderId="0" xfId="0" applyFont="1" applyAlignment="1">
      <alignment wrapText="1"/>
    </xf>
    <xf numFmtId="0" fontId="76" fillId="0" borderId="0" xfId="0" applyFont="1" applyAlignment="1">
      <alignment horizontal="center" vertical="center"/>
    </xf>
    <xf numFmtId="0" fontId="61" fillId="0" borderId="0" xfId="0" applyFont="1" applyAlignment="1">
      <alignment horizontal="center" vertical="center"/>
    </xf>
    <xf numFmtId="0" fontId="60" fillId="0" borderId="0" xfId="2" applyFont="1" applyAlignment="1" applyProtection="1">
      <alignment horizontal="center" vertical="center"/>
    </xf>
    <xf numFmtId="0" fontId="58" fillId="0" borderId="10" xfId="0" applyFont="1" applyFill="1" applyBorder="1" applyAlignment="1" applyProtection="1">
      <alignment horizontal="center" vertical="center" wrapText="1"/>
    </xf>
    <xf numFmtId="0" fontId="58" fillId="0" borderId="123" xfId="0" applyFont="1" applyFill="1" applyBorder="1" applyAlignment="1" applyProtection="1">
      <alignment horizontal="center" vertical="center" wrapText="1"/>
    </xf>
    <xf numFmtId="3" fontId="68" fillId="23" borderId="13" xfId="0" applyNumberFormat="1" applyFont="1" applyFill="1" applyBorder="1" applyAlignment="1" applyProtection="1">
      <alignment horizontal="left" vertical="center"/>
    </xf>
    <xf numFmtId="3" fontId="68" fillId="23" borderId="14" xfId="0" applyNumberFormat="1" applyFont="1" applyFill="1" applyBorder="1" applyAlignment="1" applyProtection="1">
      <alignment horizontal="left" vertical="center"/>
    </xf>
    <xf numFmtId="164" fontId="68" fillId="23" borderId="49" xfId="0" applyNumberFormat="1" applyFont="1" applyFill="1" applyBorder="1" applyAlignment="1" applyProtection="1">
      <alignment horizontal="left" vertical="center"/>
    </xf>
    <xf numFmtId="164" fontId="68" fillId="23" borderId="31" xfId="0" applyNumberFormat="1" applyFont="1" applyFill="1" applyBorder="1" applyAlignment="1" applyProtection="1">
      <alignment horizontal="left" vertical="center"/>
    </xf>
    <xf numFmtId="0" fontId="68" fillId="23" borderId="34" xfId="0" applyFont="1" applyFill="1" applyBorder="1" applyAlignment="1" applyProtection="1">
      <alignment horizontal="left" vertical="center"/>
    </xf>
    <xf numFmtId="0" fontId="68" fillId="23" borderId="31" xfId="0" applyFont="1" applyFill="1" applyBorder="1" applyAlignment="1" applyProtection="1">
      <alignment horizontal="left" vertical="center"/>
    </xf>
    <xf numFmtId="164" fontId="68" fillId="23" borderId="13" xfId="0" applyNumberFormat="1" applyFont="1" applyFill="1" applyBorder="1" applyAlignment="1" applyProtection="1">
      <alignment horizontal="left" vertical="center"/>
    </xf>
    <xf numFmtId="164" fontId="68" fillId="23" borderId="14" xfId="0" applyNumberFormat="1" applyFont="1" applyFill="1" applyBorder="1" applyAlignment="1" applyProtection="1">
      <alignment horizontal="left" vertical="center"/>
    </xf>
    <xf numFmtId="164" fontId="68" fillId="16" borderId="36" xfId="0" applyNumberFormat="1" applyFont="1" applyFill="1" applyBorder="1" applyAlignment="1" applyProtection="1">
      <alignment horizontal="left" vertical="center" wrapText="1" indent="2"/>
    </xf>
    <xf numFmtId="164" fontId="68" fillId="16" borderId="30" xfId="0" applyNumberFormat="1" applyFont="1" applyFill="1" applyBorder="1" applyAlignment="1" applyProtection="1">
      <alignment horizontal="left" vertical="center" wrapText="1" indent="2"/>
    </xf>
    <xf numFmtId="0" fontId="68" fillId="16" borderId="52" xfId="0" applyFont="1" applyFill="1" applyBorder="1" applyAlignment="1" applyProtection="1">
      <alignment horizontal="left" vertical="center" indent="2"/>
    </xf>
    <xf numFmtId="0" fontId="68" fillId="16" borderId="53" xfId="0" applyFont="1" applyFill="1" applyBorder="1" applyAlignment="1" applyProtection="1">
      <alignment horizontal="left" vertical="center" indent="2"/>
    </xf>
    <xf numFmtId="0" fontId="68" fillId="16" borderId="35" xfId="0" applyFont="1" applyFill="1" applyBorder="1" applyAlignment="1" applyProtection="1">
      <alignment horizontal="left" vertical="center" indent="2"/>
    </xf>
    <xf numFmtId="0" fontId="68"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center" wrapText="1" indent="2"/>
    </xf>
    <xf numFmtId="0" fontId="61" fillId="16" borderId="53" xfId="0" applyFont="1" applyFill="1" applyBorder="1" applyAlignment="1">
      <alignment horizontal="left" wrapText="1" indent="2"/>
    </xf>
    <xf numFmtId="3" fontId="68" fillId="0" borderId="10" xfId="0" applyNumberFormat="1" applyFont="1" applyBorder="1" applyAlignment="1" applyProtection="1">
      <alignment horizontal="center" vertical="center" wrapText="1"/>
    </xf>
    <xf numFmtId="3" fontId="68" fillId="0" borderId="123" xfId="0" applyNumberFormat="1" applyFont="1" applyBorder="1" applyAlignment="1" applyProtection="1">
      <alignment horizontal="center" vertical="center" wrapText="1"/>
    </xf>
    <xf numFmtId="0" fontId="68" fillId="16" borderId="34" xfId="0" applyFont="1" applyFill="1" applyBorder="1" applyAlignment="1" applyProtection="1">
      <alignment horizontal="left" vertical="center" indent="1"/>
    </xf>
    <xf numFmtId="0" fontId="68" fillId="16" borderId="31" xfId="0" applyFont="1" applyFill="1" applyBorder="1" applyAlignment="1" applyProtection="1">
      <alignment horizontal="left" vertical="center" inden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left" vertical="center" indent="1"/>
    </xf>
    <xf numFmtId="164" fontId="68" fillId="25" borderId="13" xfId="0" applyNumberFormat="1" applyFont="1" applyFill="1" applyBorder="1" applyAlignment="1" applyProtection="1">
      <alignment horizontal="left" vertical="center" wrapText="1" indent="1"/>
    </xf>
    <xf numFmtId="164" fontId="68" fillId="25" borderId="14" xfId="0" applyNumberFormat="1" applyFont="1" applyFill="1" applyBorder="1" applyAlignment="1" applyProtection="1">
      <alignment horizontal="left" vertical="center" wrapText="1" indent="1"/>
    </xf>
    <xf numFmtId="164" fontId="68" fillId="14" borderId="13" xfId="0" applyNumberFormat="1" applyFont="1" applyFill="1" applyBorder="1" applyAlignment="1" applyProtection="1">
      <alignment horizontal="left" vertical="center" wrapText="1" indent="1"/>
    </xf>
    <xf numFmtId="164" fontId="68" fillId="14" borderId="14" xfId="0" applyNumberFormat="1" applyFont="1" applyFill="1" applyBorder="1" applyAlignment="1" applyProtection="1">
      <alignment horizontal="left" vertical="center" wrapText="1" indent="1"/>
    </xf>
    <xf numFmtId="164" fontId="68" fillId="17" borderId="13" xfId="0" applyNumberFormat="1" applyFont="1" applyFill="1" applyBorder="1" applyAlignment="1" applyProtection="1">
      <alignment horizontal="left" vertical="center" wrapText="1"/>
    </xf>
    <xf numFmtId="164" fontId="68" fillId="17" borderId="14" xfId="0" applyNumberFormat="1" applyFont="1" applyFill="1" applyBorder="1" applyAlignment="1" applyProtection="1">
      <alignment horizontal="left" vertical="center" wrapText="1"/>
    </xf>
    <xf numFmtId="49" fontId="68" fillId="23" borderId="13" xfId="0" applyNumberFormat="1" applyFont="1" applyFill="1" applyBorder="1" applyAlignment="1" applyProtection="1">
      <alignment horizontal="left" vertical="center"/>
    </xf>
    <xf numFmtId="49" fontId="68" fillId="23" borderId="14" xfId="0" applyNumberFormat="1" applyFont="1" applyFill="1" applyBorder="1" applyAlignment="1" applyProtection="1">
      <alignment horizontal="left" vertical="center"/>
    </xf>
    <xf numFmtId="0" fontId="68" fillId="23" borderId="13" xfId="0" applyFont="1" applyFill="1" applyBorder="1" applyAlignment="1" applyProtection="1">
      <alignment vertical="center"/>
    </xf>
    <xf numFmtId="0" fontId="68" fillId="23" borderId="14" xfId="0" applyFont="1" applyFill="1" applyBorder="1" applyAlignment="1" applyProtection="1">
      <alignment vertical="center"/>
    </xf>
    <xf numFmtId="164" fontId="68" fillId="16" borderId="13" xfId="0" applyNumberFormat="1" applyFont="1" applyFill="1" applyBorder="1" applyAlignment="1" applyProtection="1">
      <alignment horizontal="left" vertical="center" wrapText="1" indent="2"/>
    </xf>
    <xf numFmtId="164" fontId="68" fillId="16" borderId="14" xfId="0" applyNumberFormat="1" applyFont="1" applyFill="1" applyBorder="1" applyAlignment="1" applyProtection="1">
      <alignment horizontal="left" vertical="center" wrapText="1" indent="2"/>
    </xf>
    <xf numFmtId="164" fontId="68" fillId="6" borderId="13" xfId="0" applyNumberFormat="1" applyFont="1" applyFill="1" applyBorder="1" applyAlignment="1" applyProtection="1">
      <alignment horizontal="left" vertical="center" wrapText="1" indent="1"/>
    </xf>
    <xf numFmtId="164" fontId="68" fillId="6" borderId="14" xfId="0" applyNumberFormat="1" applyFont="1" applyFill="1" applyBorder="1" applyAlignment="1" applyProtection="1">
      <alignment horizontal="left" vertical="center" wrapText="1" indent="1"/>
    </xf>
    <xf numFmtId="0" fontId="68" fillId="16" borderId="24" xfId="0" applyFont="1" applyFill="1" applyBorder="1" applyAlignment="1" applyProtection="1">
      <alignment horizontal="left" vertical="center" indent="1"/>
    </xf>
    <xf numFmtId="0" fontId="61" fillId="16" borderId="51" xfId="0" applyFont="1" applyFill="1" applyBorder="1" applyAlignment="1">
      <alignment horizontal="left" vertical="center" indent="1"/>
    </xf>
    <xf numFmtId="0" fontId="68" fillId="17" borderId="21" xfId="0" applyFont="1" applyFill="1" applyBorder="1" applyAlignment="1">
      <alignment horizontal="left" vertical="center" wrapText="1"/>
    </xf>
    <xf numFmtId="0" fontId="61" fillId="17" borderId="14" xfId="0" applyFont="1" applyFill="1" applyBorder="1" applyAlignment="1">
      <alignment horizontal="left" vertical="center" wrapText="1"/>
    </xf>
    <xf numFmtId="0" fontId="68" fillId="17" borderId="34" xfId="0" applyFont="1" applyFill="1" applyBorder="1" applyAlignment="1">
      <alignment vertical="top" wrapText="1"/>
    </xf>
    <xf numFmtId="0" fontId="61" fillId="17" borderId="31" xfId="0" applyFont="1" applyFill="1" applyBorder="1" applyAlignment="1">
      <alignment vertical="top" wrapText="1"/>
    </xf>
    <xf numFmtId="0" fontId="68" fillId="16" borderId="35" xfId="0" applyFont="1" applyFill="1" applyBorder="1" applyAlignment="1" applyProtection="1">
      <alignment horizontal="left" vertical="top" wrapText="1" indent="1"/>
    </xf>
    <xf numFmtId="0" fontId="61"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top" indent="1"/>
    </xf>
    <xf numFmtId="0" fontId="61" fillId="16" borderId="30" xfId="0" applyFont="1" applyFill="1" applyBorder="1" applyAlignment="1">
      <alignment horizontal="left" vertical="top" indent="1"/>
    </xf>
    <xf numFmtId="0" fontId="68" fillId="17" borderId="34" xfId="0" applyFont="1" applyFill="1" applyBorder="1" applyAlignment="1">
      <alignment vertical="center" wrapText="1"/>
    </xf>
    <xf numFmtId="0" fontId="61" fillId="17" borderId="31" xfId="0" applyFont="1" applyFill="1" applyBorder="1" applyAlignment="1">
      <alignment vertical="center" wrapText="1"/>
    </xf>
    <xf numFmtId="3" fontId="68" fillId="16" borderId="49" xfId="0" applyNumberFormat="1" applyFont="1" applyFill="1" applyBorder="1" applyAlignment="1">
      <alignment horizontal="left" vertical="top" indent="1"/>
    </xf>
    <xf numFmtId="3" fontId="68" fillId="16" borderId="31" xfId="0" applyNumberFormat="1" applyFont="1" applyFill="1" applyBorder="1" applyAlignment="1">
      <alignment horizontal="left" vertical="top" indent="1"/>
    </xf>
    <xf numFmtId="3" fontId="68" fillId="0" borderId="18" xfId="0" applyNumberFormat="1" applyFont="1" applyBorder="1" applyAlignment="1" applyProtection="1">
      <alignment horizontal="center" vertical="center" wrapText="1"/>
    </xf>
    <xf numFmtId="0" fontId="69" fillId="23" borderId="19" xfId="0" applyFont="1" applyFill="1" applyBorder="1" applyAlignment="1">
      <alignment horizontal="center" vertical="center"/>
    </xf>
    <xf numFmtId="0" fontId="61" fillId="23" borderId="11" xfId="0" applyFont="1" applyFill="1" applyBorder="1" applyAlignment="1">
      <alignment horizontal="center" vertical="center"/>
    </xf>
    <xf numFmtId="0" fontId="69" fillId="24" borderId="20" xfId="0" applyFont="1" applyFill="1" applyBorder="1" applyAlignment="1">
      <alignment horizontal="center" vertical="center"/>
    </xf>
    <xf numFmtId="0" fontId="69" fillId="24" borderId="11" xfId="0" applyFont="1" applyFill="1" applyBorder="1" applyAlignment="1">
      <alignment horizontal="center" vertical="center"/>
    </xf>
    <xf numFmtId="0" fontId="61" fillId="24" borderId="11" xfId="0" applyFont="1" applyFill="1" applyBorder="1" applyAlignment="1">
      <alignment horizontal="center" vertical="center"/>
    </xf>
    <xf numFmtId="0" fontId="69" fillId="23" borderId="106" xfId="0" applyFont="1" applyFill="1" applyBorder="1" applyAlignment="1">
      <alignment horizontal="center" vertical="center"/>
    </xf>
    <xf numFmtId="0" fontId="61" fillId="23" borderId="128" xfId="0" applyFont="1" applyFill="1" applyBorder="1" applyAlignment="1">
      <alignment horizontal="center" vertical="center"/>
    </xf>
    <xf numFmtId="0" fontId="69" fillId="23" borderId="20" xfId="0" applyFont="1" applyFill="1" applyBorder="1" applyAlignment="1">
      <alignment horizontal="center" vertical="center"/>
    </xf>
    <xf numFmtId="3" fontId="68" fillId="16" borderId="34" xfId="0" applyNumberFormat="1" applyFont="1" applyFill="1" applyBorder="1" applyAlignment="1">
      <alignment horizontal="left" vertical="top" wrapText="1" indent="1"/>
    </xf>
    <xf numFmtId="0" fontId="61" fillId="16" borderId="31" xfId="0" applyFont="1" applyFill="1" applyBorder="1" applyAlignment="1">
      <alignment horizontal="left" vertical="top" wrapText="1"/>
    </xf>
    <xf numFmtId="3" fontId="68" fillId="16" borderId="23" xfId="0" applyNumberFormat="1" applyFont="1" applyFill="1" applyBorder="1" applyAlignment="1">
      <alignment horizontal="left" vertical="top" wrapText="1" indent="1"/>
    </xf>
    <xf numFmtId="0" fontId="61" fillId="16" borderId="38" xfId="0" applyFont="1" applyFill="1" applyBorder="1" applyAlignment="1">
      <alignment horizontal="left" vertical="top" wrapText="1" indent="1"/>
    </xf>
    <xf numFmtId="3" fontId="68" fillId="16" borderId="24" xfId="0" applyNumberFormat="1" applyFont="1" applyFill="1" applyBorder="1" applyAlignment="1">
      <alignment horizontal="left" vertical="top" wrapText="1" indent="1"/>
    </xf>
    <xf numFmtId="0" fontId="66" fillId="16" borderId="51" xfId="0" applyFont="1" applyFill="1" applyBorder="1" applyAlignment="1">
      <alignment horizontal="left" vertical="top" wrapText="1" indent="1"/>
    </xf>
    <xf numFmtId="3" fontId="68" fillId="16" borderId="35" xfId="0" applyNumberFormat="1" applyFont="1" applyFill="1" applyBorder="1" applyAlignment="1">
      <alignment horizontal="left" vertical="top" wrapText="1" indent="1"/>
    </xf>
    <xf numFmtId="3" fontId="68" fillId="16" borderId="35" xfId="0" applyNumberFormat="1" applyFont="1" applyFill="1" applyBorder="1" applyAlignment="1">
      <alignment horizontal="left" vertical="top" indent="1"/>
    </xf>
    <xf numFmtId="0" fontId="66" fillId="16" borderId="30" xfId="0" applyFont="1" applyFill="1" applyBorder="1" applyAlignment="1">
      <alignment horizontal="left" vertical="top" indent="1"/>
    </xf>
    <xf numFmtId="3" fontId="68" fillId="0" borderId="23" xfId="0" applyNumberFormat="1" applyFont="1" applyBorder="1" applyAlignment="1">
      <alignment horizontal="left" vertical="top" wrapText="1" indent="1"/>
    </xf>
    <xf numFmtId="0" fontId="61" fillId="0" borderId="38" xfId="0" applyFont="1" applyBorder="1" applyAlignment="1">
      <alignment horizontal="left" vertical="top" wrapText="1" indent="1"/>
    </xf>
    <xf numFmtId="0" fontId="69" fillId="23" borderId="20" xfId="0" applyFont="1" applyFill="1" applyBorder="1" applyAlignment="1">
      <alignment horizontal="center" vertical="center" wrapText="1"/>
    </xf>
    <xf numFmtId="0" fontId="61" fillId="23" borderId="11" xfId="0" applyFont="1" applyFill="1" applyBorder="1" applyAlignment="1">
      <alignment horizontal="center" vertical="center" wrapText="1"/>
    </xf>
    <xf numFmtId="3" fontId="69" fillId="23" borderId="13" xfId="0" applyNumberFormat="1" applyFont="1" applyFill="1" applyBorder="1" applyAlignment="1">
      <alignment horizontal="center" vertical="center"/>
    </xf>
    <xf numFmtId="0" fontId="61" fillId="23" borderId="14" xfId="0" applyFont="1" applyFill="1" applyBorder="1" applyAlignment="1">
      <alignment horizontal="center" vertical="center"/>
    </xf>
    <xf numFmtId="0" fontId="69" fillId="23" borderId="21" xfId="0" applyFont="1" applyFill="1" applyBorder="1" applyAlignment="1">
      <alignment horizontal="center" vertical="center"/>
    </xf>
    <xf numFmtId="3" fontId="68" fillId="15" borderId="10" xfId="0" applyNumberFormat="1" applyFont="1" applyFill="1" applyBorder="1" applyAlignment="1" applyProtection="1">
      <alignment horizontal="center" vertical="center" wrapText="1"/>
    </xf>
    <xf numFmtId="3" fontId="68" fillId="15" borderId="123" xfId="0" applyNumberFormat="1" applyFont="1" applyFill="1" applyBorder="1" applyAlignment="1" applyProtection="1">
      <alignment horizontal="center" vertical="center" wrapText="1"/>
    </xf>
    <xf numFmtId="0" fontId="66" fillId="0" borderId="0" xfId="9" applyFont="1" applyFill="1" applyAlignment="1">
      <alignment wrapText="1"/>
    </xf>
    <xf numFmtId="0" fontId="61" fillId="0" borderId="0" xfId="0" applyFont="1" applyAlignment="1">
      <alignment wrapText="1"/>
    </xf>
    <xf numFmtId="0" fontId="59" fillId="0" borderId="9" xfId="9" applyFont="1" applyFill="1" applyBorder="1" applyAlignment="1" applyProtection="1">
      <protection locked="0"/>
    </xf>
    <xf numFmtId="0" fontId="59" fillId="0" borderId="9" xfId="0" applyFont="1" applyBorder="1" applyAlignment="1"/>
    <xf numFmtId="0" fontId="59" fillId="0" borderId="6" xfId="9" applyFont="1" applyFill="1" applyBorder="1" applyAlignment="1" applyProtection="1">
      <protection locked="0"/>
    </xf>
    <xf numFmtId="0" fontId="59" fillId="0" borderId="6" xfId="0" applyFont="1" applyBorder="1" applyAlignment="1"/>
    <xf numFmtId="49" fontId="66" fillId="0" borderId="13" xfId="0" applyNumberFormat="1" applyFont="1" applyBorder="1" applyAlignment="1" applyProtection="1">
      <alignment horizontal="left" vertical="center" wrapText="1" indent="1"/>
    </xf>
    <xf numFmtId="0" fontId="61" fillId="0" borderId="14" xfId="0" applyFont="1" applyBorder="1" applyAlignment="1">
      <alignment horizontal="left" vertical="center" wrapText="1" indent="1"/>
    </xf>
    <xf numFmtId="49" fontId="87"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68" fillId="16" borderId="13" xfId="0" applyNumberFormat="1" applyFont="1" applyFill="1" applyBorder="1" applyAlignment="1" applyProtection="1">
      <alignment horizontal="left" vertical="center" wrapText="1" indent="1"/>
    </xf>
    <xf numFmtId="0" fontId="61" fillId="16" borderId="14" xfId="0" applyFont="1" applyFill="1" applyBorder="1" applyAlignment="1">
      <alignment horizontal="left" vertical="center" wrapText="1" indent="1"/>
    </xf>
    <xf numFmtId="49" fontId="68" fillId="6" borderId="13" xfId="0" applyNumberFormat="1" applyFont="1" applyFill="1" applyBorder="1" applyAlignment="1" applyProtection="1">
      <alignment horizontal="left" vertical="center" wrapText="1"/>
    </xf>
    <xf numFmtId="0" fontId="61" fillId="6" borderId="14" xfId="0" applyFont="1" applyFill="1" applyBorder="1" applyAlignment="1">
      <alignment horizontal="left" vertical="center" wrapText="1"/>
    </xf>
    <xf numFmtId="49" fontId="68" fillId="16" borderId="13" xfId="0" applyNumberFormat="1" applyFont="1" applyFill="1" applyBorder="1" applyAlignment="1" applyProtection="1">
      <alignment horizontal="left" vertical="center" indent="1"/>
    </xf>
    <xf numFmtId="0" fontId="61" fillId="16" borderId="14" xfId="0" applyFont="1" applyFill="1" applyBorder="1" applyAlignment="1">
      <alignment horizontal="left" vertical="center" indent="1"/>
    </xf>
    <xf numFmtId="0" fontId="69" fillId="12" borderId="13" xfId="9" applyFont="1" applyFill="1" applyBorder="1" applyAlignment="1">
      <alignment horizontal="center" vertical="center"/>
    </xf>
    <xf numFmtId="0" fontId="61" fillId="12" borderId="14" xfId="0" applyFont="1" applyFill="1" applyBorder="1" applyAlignment="1">
      <alignment horizontal="center" vertical="center"/>
    </xf>
    <xf numFmtId="0" fontId="68" fillId="6" borderId="13" xfId="0" applyFont="1" applyFill="1" applyBorder="1" applyAlignment="1" applyProtection="1">
      <alignment horizontal="left" vertical="center" wrapText="1"/>
    </xf>
    <xf numFmtId="49" fontId="69" fillId="12" borderId="13" xfId="0" applyNumberFormat="1" applyFont="1" applyFill="1" applyBorder="1" applyAlignment="1" applyProtection="1">
      <alignment horizontal="center" vertical="center"/>
    </xf>
    <xf numFmtId="49" fontId="77"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164" fontId="68" fillId="6" borderId="13" xfId="0" applyNumberFormat="1" applyFont="1" applyFill="1" applyBorder="1" applyAlignment="1" applyProtection="1">
      <alignment horizontal="left" vertical="center" wrapText="1"/>
    </xf>
    <xf numFmtId="49" fontId="68" fillId="0" borderId="13" xfId="0" applyNumberFormat="1" applyFont="1" applyBorder="1" applyAlignment="1" applyProtection="1">
      <alignment horizontal="center" vertical="center" wrapText="1"/>
    </xf>
    <xf numFmtId="49" fontId="68" fillId="0" borderId="14" xfId="0" applyNumberFormat="1" applyFont="1" applyBorder="1" applyAlignment="1" applyProtection="1">
      <alignment horizontal="center" vertical="center" wrapText="1"/>
    </xf>
    <xf numFmtId="49" fontId="68" fillId="6" borderId="13" xfId="0" applyNumberFormat="1" applyFont="1" applyFill="1" applyBorder="1" applyAlignment="1" applyProtection="1">
      <alignment horizontal="left" vertical="center"/>
    </xf>
    <xf numFmtId="49" fontId="68" fillId="6" borderId="14" xfId="0" applyNumberFormat="1" applyFont="1" applyFill="1" applyBorder="1" applyAlignment="1" applyProtection="1">
      <alignment horizontal="left" vertical="center"/>
    </xf>
    <xf numFmtId="0" fontId="69" fillId="12" borderId="46" xfId="0" applyFont="1" applyFill="1" applyBorder="1" applyAlignment="1" applyProtection="1">
      <alignment horizontal="left" vertical="center" wrapText="1"/>
    </xf>
    <xf numFmtId="0" fontId="61" fillId="12" borderId="6" xfId="0" applyFont="1" applyFill="1" applyBorder="1" applyAlignment="1">
      <alignment horizontal="left" wrapText="1"/>
    </xf>
    <xf numFmtId="0" fontId="61" fillId="12" borderId="7" xfId="0" applyFont="1" applyFill="1" applyBorder="1" applyAlignment="1">
      <alignment horizontal="left" wrapText="1"/>
    </xf>
    <xf numFmtId="0" fontId="66" fillId="0" borderId="46" xfId="0" applyFont="1" applyBorder="1" applyAlignment="1" applyProtection="1">
      <alignment horizontal="left" vertical="center" wrapText="1"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0" fontId="66" fillId="0" borderId="7" xfId="0" applyFont="1" applyBorder="1" applyAlignment="1">
      <alignment horizontal="left" wrapText="1" indent="1"/>
    </xf>
    <xf numFmtId="0" fontId="98" fillId="0" borderId="5" xfId="0" applyFont="1" applyBorder="1" applyAlignment="1" applyProtection="1">
      <alignment horizontal="left" wrapText="1" indent="2"/>
    </xf>
    <xf numFmtId="0" fontId="66" fillId="0" borderId="0" xfId="0" applyFont="1" applyAlignment="1">
      <alignment horizontal="left" wrapText="1"/>
    </xf>
    <xf numFmtId="0" fontId="66" fillId="0" borderId="5" xfId="0" applyFont="1" applyBorder="1" applyAlignment="1">
      <alignment horizontal="left" wrapText="1"/>
    </xf>
    <xf numFmtId="0" fontId="66" fillId="0" borderId="9" xfId="0" applyFont="1" applyBorder="1" applyAlignment="1" applyProtection="1">
      <alignment horizontal="left" vertical="center" wrapText="1" indent="1"/>
    </xf>
    <xf numFmtId="0" fontId="61" fillId="0" borderId="59" xfId="0" applyFont="1" applyBorder="1" applyAlignment="1">
      <alignment horizontal="left" wrapText="1" indent="1"/>
    </xf>
    <xf numFmtId="0" fontId="66" fillId="0" borderId="141" xfId="0" applyFont="1" applyBorder="1" applyAlignment="1" applyProtection="1">
      <alignment horizontal="left" vertical="center" wrapText="1" indent="1"/>
    </xf>
    <xf numFmtId="0" fontId="66" fillId="0" borderId="142" xfId="0" applyFont="1" applyBorder="1" applyAlignment="1" applyProtection="1">
      <alignment horizontal="left" vertical="center" wrapText="1" indent="1"/>
    </xf>
    <xf numFmtId="0" fontId="66" fillId="0" borderId="6" xfId="0" applyFont="1" applyBorder="1" applyAlignment="1" applyProtection="1">
      <alignment horizontal="left" vertical="center" indent="1"/>
    </xf>
    <xf numFmtId="0" fontId="61" fillId="0" borderId="6" xfId="0" applyFont="1" applyBorder="1" applyAlignment="1">
      <alignment horizontal="left" indent="1"/>
    </xf>
    <xf numFmtId="0" fontId="61" fillId="0" borderId="7" xfId="0" applyFont="1" applyBorder="1" applyAlignment="1">
      <alignment horizontal="left" indent="1"/>
    </xf>
    <xf numFmtId="0" fontId="61" fillId="0" borderId="6" xfId="0" applyFont="1" applyBorder="1" applyAlignment="1" applyProtection="1">
      <alignment horizontal="left" vertical="center" wrapText="1" indent="1"/>
    </xf>
    <xf numFmtId="0" fontId="61" fillId="0" borderId="7" xfId="0" applyFont="1" applyBorder="1" applyAlignment="1" applyProtection="1">
      <alignment horizontal="left" vertical="center" wrapText="1" indent="1"/>
    </xf>
    <xf numFmtId="49" fontId="68" fillId="0" borderId="66" xfId="0" applyNumberFormat="1"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xf>
    <xf numFmtId="0" fontId="61" fillId="0" borderId="67" xfId="0" applyFont="1" applyFill="1" applyBorder="1" applyAlignment="1">
      <alignment wrapText="1"/>
    </xf>
    <xf numFmtId="0" fontId="68" fillId="0" borderId="46" xfId="0" applyFont="1" applyBorder="1" applyAlignment="1" applyProtection="1">
      <alignment horizontal="left" vertical="center" wrapText="1"/>
    </xf>
    <xf numFmtId="0" fontId="68" fillId="0" borderId="6" xfId="0" applyFont="1" applyBorder="1" applyAlignment="1" applyProtection="1">
      <alignment horizontal="left" vertical="center" wrapText="1"/>
    </xf>
    <xf numFmtId="0" fontId="61" fillId="0" borderId="6" xfId="0" applyFont="1" applyBorder="1" applyAlignment="1">
      <alignment wrapText="1"/>
    </xf>
    <xf numFmtId="0" fontId="68" fillId="6" borderId="5" xfId="0" applyFont="1" applyFill="1" applyBorder="1" applyAlignment="1" applyProtection="1">
      <alignment horizontal="left" vertical="center" wrapText="1"/>
    </xf>
    <xf numFmtId="0" fontId="68" fillId="6" borderId="0" xfId="0" applyFont="1" applyFill="1" applyBorder="1" applyAlignment="1" applyProtection="1">
      <alignment horizontal="left" vertical="center" wrapText="1"/>
    </xf>
    <xf numFmtId="0" fontId="68" fillId="6" borderId="87" xfId="0" applyFont="1" applyFill="1" applyBorder="1" applyAlignment="1" applyProtection="1">
      <alignment horizontal="left" vertical="center" wrapText="1"/>
    </xf>
    <xf numFmtId="0" fontId="68" fillId="6" borderId="88" xfId="0" applyFont="1" applyFill="1" applyBorder="1" applyAlignment="1" applyProtection="1">
      <alignment horizontal="left" vertical="center" wrapText="1"/>
    </xf>
    <xf numFmtId="0" fontId="61" fillId="0" borderId="88" xfId="0" applyFont="1" applyBorder="1" applyAlignment="1">
      <alignment wrapText="1"/>
    </xf>
    <xf numFmtId="0" fontId="68" fillId="16" borderId="54" xfId="0" applyFont="1" applyFill="1" applyBorder="1" applyAlignment="1" applyProtection="1">
      <alignment horizontal="left" vertical="center" indent="1"/>
    </xf>
    <xf numFmtId="0" fontId="68" fillId="16" borderId="57" xfId="0" applyFont="1" applyFill="1" applyBorder="1" applyAlignment="1" applyProtection="1">
      <alignment horizontal="left" vertical="center" indent="1"/>
    </xf>
    <xf numFmtId="0" fontId="68" fillId="16" borderId="61" xfId="0" applyFont="1" applyFill="1" applyBorder="1" applyAlignment="1" applyProtection="1">
      <alignment horizontal="left" vertical="center" indent="1"/>
    </xf>
    <xf numFmtId="0" fontId="68" fillId="16" borderId="141" xfId="0" applyFont="1" applyFill="1" applyBorder="1" applyAlignment="1" applyProtection="1">
      <alignment horizontal="left" vertical="center" indent="1"/>
    </xf>
    <xf numFmtId="0" fontId="68" fillId="16" borderId="140" xfId="0" applyFont="1" applyFill="1" applyBorder="1" applyAlignment="1" applyProtection="1">
      <alignment horizontal="left" vertical="center" indent="1"/>
    </xf>
    <xf numFmtId="0" fontId="68" fillId="3" borderId="141" xfId="0" applyFont="1" applyFill="1" applyBorder="1" applyAlignment="1" applyProtection="1">
      <alignment horizontal="left" vertical="center"/>
    </xf>
    <xf numFmtId="0" fontId="68" fillId="3" borderId="142" xfId="0" applyFont="1" applyFill="1" applyBorder="1" applyAlignment="1" applyProtection="1">
      <alignment horizontal="left" vertical="center"/>
    </xf>
    <xf numFmtId="0" fontId="101" fillId="0" borderId="9" xfId="0" applyFont="1" applyBorder="1" applyAlignment="1">
      <alignment horizontal="left" vertical="center" wrapText="1" indent="1"/>
    </xf>
    <xf numFmtId="0" fontId="61" fillId="0" borderId="9" xfId="0" applyFont="1" applyBorder="1" applyAlignment="1">
      <alignment horizontal="left" vertical="center" wrapText="1" indent="1"/>
    </xf>
    <xf numFmtId="0" fontId="69" fillId="23" borderId="140" xfId="0" applyFont="1" applyFill="1" applyBorder="1" applyAlignment="1" applyProtection="1">
      <alignment horizontal="left" vertical="center" indent="1"/>
    </xf>
    <xf numFmtId="0" fontId="69" fillId="23" borderId="141" xfId="0" applyFont="1" applyFill="1" applyBorder="1" applyAlignment="1" applyProtection="1">
      <alignment horizontal="left" vertical="center" indent="1"/>
    </xf>
    <xf numFmtId="0" fontId="69" fillId="23" borderId="142" xfId="0" applyFont="1" applyFill="1" applyBorder="1" applyAlignment="1" applyProtection="1">
      <alignment horizontal="left" vertical="center" indent="1"/>
    </xf>
    <xf numFmtId="0" fontId="72" fillId="6" borderId="89" xfId="10" applyFont="1" applyFill="1" applyBorder="1" applyAlignment="1">
      <alignment horizontal="center" vertical="center"/>
    </xf>
    <xf numFmtId="0" fontId="102" fillId="0" borderId="90" xfId="0" applyFont="1" applyBorder="1" applyAlignment="1">
      <alignment horizontal="center" vertical="center"/>
    </xf>
    <xf numFmtId="0" fontId="102" fillId="0" borderId="91" xfId="0" applyFont="1" applyBorder="1" applyAlignment="1">
      <alignment horizontal="center" vertical="center"/>
    </xf>
    <xf numFmtId="0" fontId="69" fillId="23" borderId="92" xfId="10" applyFont="1" applyFill="1" applyBorder="1" applyAlignment="1">
      <alignment horizontal="center" vertical="center" wrapText="1"/>
    </xf>
    <xf numFmtId="0" fontId="69" fillId="23" borderId="25" xfId="0" applyFont="1" applyFill="1" applyBorder="1" applyAlignment="1">
      <alignment horizontal="center" vertical="center" wrapText="1"/>
    </xf>
    <xf numFmtId="0" fontId="69" fillId="23" borderId="93" xfId="0" applyFont="1" applyFill="1" applyBorder="1" applyAlignment="1">
      <alignment horizontal="center" vertical="center" wrapText="1"/>
    </xf>
    <xf numFmtId="0" fontId="127" fillId="23" borderId="94" xfId="10" applyFont="1" applyFill="1" applyBorder="1" applyAlignment="1">
      <alignment horizontal="center" vertical="center"/>
    </xf>
    <xf numFmtId="0" fontId="59" fillId="23" borderId="47" xfId="0" applyFont="1" applyFill="1" applyBorder="1" applyAlignment="1">
      <alignment horizontal="center" vertical="center"/>
    </xf>
    <xf numFmtId="0" fontId="59" fillId="23" borderId="95" xfId="0" applyFont="1" applyFill="1" applyBorder="1" applyAlignment="1">
      <alignment horizontal="center" vertical="center"/>
    </xf>
    <xf numFmtId="0" fontId="84" fillId="0" borderId="74" xfId="10" applyFont="1" applyBorder="1" applyAlignment="1">
      <alignment horizontal="center"/>
    </xf>
    <xf numFmtId="0" fontId="61"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3" borderId="134" xfId="17" applyFont="1" applyFill="1" applyBorder="1" applyAlignment="1">
      <alignment horizontal="center" vertical="center"/>
    </xf>
    <xf numFmtId="0" fontId="123" fillId="23" borderId="135" xfId="17" applyFont="1" applyFill="1" applyBorder="1" applyAlignment="1">
      <alignment horizontal="center" vertical="center"/>
    </xf>
    <xf numFmtId="0" fontId="123" fillId="23" borderId="136" xfId="17" applyFont="1" applyFill="1" applyBorder="1" applyAlignment="1">
      <alignment horizontal="center" vertical="center"/>
    </xf>
    <xf numFmtId="0" fontId="123" fillId="23" borderId="98" xfId="17" applyFont="1" applyFill="1" applyBorder="1" applyAlignment="1">
      <alignment horizontal="center" vertical="center"/>
    </xf>
    <xf numFmtId="0" fontId="123" fillId="23" borderId="78" xfId="17" applyFont="1" applyFill="1" applyBorder="1" applyAlignment="1">
      <alignment horizontal="center" vertical="center"/>
    </xf>
    <xf numFmtId="0" fontId="123" fillId="23"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8" fillId="0" borderId="12" xfId="0" applyFont="1" applyFill="1" applyBorder="1" applyAlignment="1" applyProtection="1">
      <alignment horizontal="left" vertical="center" wrapText="1"/>
    </xf>
    <xf numFmtId="0" fontId="61" fillId="0" borderId="16" xfId="0" applyFont="1" applyBorder="1" applyAlignment="1">
      <alignment horizontal="left" vertical="center" wrapText="1"/>
    </xf>
    <xf numFmtId="0" fontId="61" fillId="0" borderId="10" xfId="0" applyFont="1" applyBorder="1" applyAlignment="1">
      <alignment horizontal="left" vertical="center" wrapText="1"/>
    </xf>
    <xf numFmtId="0" fontId="68" fillId="0" borderId="20" xfId="0" applyFont="1" applyBorder="1" applyAlignment="1">
      <alignment horizontal="center" vertical="center"/>
    </xf>
    <xf numFmtId="0" fontId="66" fillId="0" borderId="11" xfId="0" applyFont="1" applyBorder="1" applyAlignment="1">
      <alignment horizontal="center" vertical="center"/>
    </xf>
    <xf numFmtId="0" fontId="66" fillId="19" borderId="13" xfId="0" applyFont="1" applyFill="1" applyBorder="1" applyAlignment="1" applyProtection="1">
      <alignment horizontal="left" vertical="center" wrapText="1" indent="1"/>
    </xf>
    <xf numFmtId="0" fontId="61" fillId="19" borderId="21" xfId="0" applyFont="1" applyFill="1" applyBorder="1" applyAlignment="1">
      <alignment horizontal="left" vertical="center" wrapText="1" indent="1"/>
    </xf>
    <xf numFmtId="0" fontId="61" fillId="19" borderId="14" xfId="0" applyFont="1" applyFill="1" applyBorder="1" applyAlignment="1">
      <alignment horizontal="left" vertical="center" wrapText="1" indent="1"/>
    </xf>
    <xf numFmtId="0" fontId="66" fillId="0" borderId="5" xfId="3" quotePrefix="1" applyNumberFormat="1" applyFont="1" applyBorder="1" applyAlignment="1">
      <alignment horizontal="left" vertical="top" wrapText="1" indent="2"/>
    </xf>
    <xf numFmtId="0" fontId="66" fillId="0" borderId="0" xfId="3" quotePrefix="1" applyNumberFormat="1" applyFont="1" applyBorder="1" applyAlignment="1">
      <alignment horizontal="left" vertical="top" wrapText="1" indent="2"/>
    </xf>
    <xf numFmtId="0" fontId="66" fillId="0" borderId="0" xfId="3" applyNumberFormat="1" applyFont="1" applyBorder="1" applyAlignment="1">
      <alignment horizontal="left" vertical="top" wrapText="1" indent="2"/>
    </xf>
    <xf numFmtId="0" fontId="61" fillId="0" borderId="0" xfId="3" applyFont="1" applyAlignment="1">
      <alignment horizontal="left" vertical="top" wrapText="1" indent="2"/>
    </xf>
    <xf numFmtId="0" fontId="66" fillId="0" borderId="0" xfId="3" applyNumberFormat="1" applyFont="1" applyAlignment="1">
      <alignment horizontal="left" vertical="top" wrapText="1" indent="2"/>
    </xf>
    <xf numFmtId="0" fontId="59" fillId="0" borderId="20" xfId="3" applyNumberFormat="1" applyFont="1" applyBorder="1" applyAlignment="1">
      <alignment horizontal="left" vertical="center" indent="1"/>
    </xf>
    <xf numFmtId="0" fontId="59" fillId="0" borderId="20" xfId="3" applyNumberFormat="1" applyFont="1" applyBorder="1" applyAlignment="1">
      <alignment horizontal="left" vertical="center"/>
    </xf>
    <xf numFmtId="0" fontId="59" fillId="23" borderId="17" xfId="3" applyNumberFormat="1" applyFont="1" applyFill="1" applyBorder="1" applyAlignment="1">
      <alignment horizontal="left" vertical="top" wrapText="1"/>
    </xf>
    <xf numFmtId="0" fontId="59" fillId="23" borderId="0" xfId="3" applyFont="1" applyFill="1" applyBorder="1" applyAlignment="1">
      <alignment vertical="top"/>
    </xf>
    <xf numFmtId="0" fontId="59" fillId="23" borderId="18" xfId="3" applyFont="1" applyFill="1" applyBorder="1" applyAlignment="1">
      <alignment vertical="top"/>
    </xf>
    <xf numFmtId="166" fontId="59" fillId="0" borderId="21" xfId="3" applyNumberFormat="1" applyFont="1" applyBorder="1" applyAlignment="1">
      <alignment horizontal="left" vertical="center" indent="1"/>
    </xf>
    <xf numFmtId="0" fontId="68" fillId="0" borderId="19" xfId="3" applyNumberFormat="1" applyFont="1" applyBorder="1" applyAlignment="1">
      <alignment horizontal="center" vertical="center"/>
    </xf>
    <xf numFmtId="0" fontId="61" fillId="0" borderId="20" xfId="3" applyFont="1" applyBorder="1" applyAlignment="1">
      <alignment horizontal="center" vertical="center"/>
    </xf>
    <xf numFmtId="0" fontId="61" fillId="0" borderId="11" xfId="3" applyFont="1" applyBorder="1" applyAlignment="1">
      <alignment horizontal="center" vertical="center"/>
    </xf>
    <xf numFmtId="0" fontId="66" fillId="0" borderId="21" xfId="3" applyNumberFormat="1" applyFont="1" applyBorder="1" applyAlignment="1">
      <alignment horizontal="left" vertical="center" wrapText="1"/>
    </xf>
    <xf numFmtId="0" fontId="61" fillId="0" borderId="21" xfId="3" applyFont="1" applyBorder="1" applyAlignment="1">
      <alignment horizontal="left" vertical="center" wrapText="1"/>
    </xf>
    <xf numFmtId="0" fontId="61" fillId="0" borderId="14" xfId="3" applyFont="1" applyBorder="1" applyAlignment="1">
      <alignment horizontal="left" vertical="center" wrapText="1"/>
    </xf>
    <xf numFmtId="0" fontId="68" fillId="0" borderId="21" xfId="3" applyNumberFormat="1" applyFont="1" applyBorder="1" applyAlignment="1">
      <alignment vertical="center"/>
    </xf>
    <xf numFmtId="0" fontId="68" fillId="0" borderId="14" xfId="3" applyNumberFormat="1" applyFont="1" applyBorder="1" applyAlignment="1">
      <alignment vertical="center"/>
    </xf>
    <xf numFmtId="0" fontId="77" fillId="0" borderId="130" xfId="3" applyFont="1" applyBorder="1" applyAlignment="1">
      <alignment horizontal="center" vertical="center" wrapText="1"/>
    </xf>
    <xf numFmtId="0" fontId="77" fillId="0" borderId="130" xfId="3" applyNumberFormat="1" applyFont="1" applyBorder="1" applyAlignment="1">
      <alignment horizontal="center"/>
    </xf>
    <xf numFmtId="0" fontId="61" fillId="0" borderId="131" xfId="3" applyNumberFormat="1" applyFont="1" applyBorder="1" applyAlignment="1" applyProtection="1">
      <alignment horizontal="center"/>
      <protection locked="0"/>
    </xf>
    <xf numFmtId="171" fontId="61" fillId="0" borderId="131" xfId="3" applyNumberFormat="1" applyFont="1" applyBorder="1" applyAlignment="1" applyProtection="1">
      <alignment horizontal="center"/>
      <protection locked="0"/>
    </xf>
    <xf numFmtId="0" fontId="61" fillId="0" borderId="131" xfId="3" applyNumberFormat="1" applyFont="1" applyBorder="1" applyAlignment="1" applyProtection="1">
      <alignment horizontal="center" vertical="center"/>
      <protection locked="0"/>
    </xf>
    <xf numFmtId="0" fontId="87" fillId="0" borderId="0" xfId="0" applyFont="1" applyAlignment="1">
      <alignment vertical="top" wrapText="1"/>
    </xf>
    <xf numFmtId="0" fontId="69" fillId="12" borderId="13" xfId="3" applyFont="1" applyFill="1" applyBorder="1" applyAlignment="1">
      <alignment horizontal="center" vertical="center" wrapText="1"/>
    </xf>
    <xf numFmtId="0" fontId="69" fillId="12" borderId="21" xfId="3" applyFont="1" applyFill="1" applyBorder="1" applyAlignment="1">
      <alignment horizontal="center" vertical="center" wrapText="1"/>
    </xf>
    <xf numFmtId="0" fontId="69" fillId="12" borderId="14" xfId="3" applyFont="1" applyFill="1" applyBorder="1" applyAlignment="1">
      <alignment horizontal="center" vertical="center" wrapText="1"/>
    </xf>
    <xf numFmtId="0" fontId="61" fillId="0" borderId="0" xfId="3" applyFont="1" applyBorder="1" applyAlignment="1">
      <alignment wrapText="1"/>
    </xf>
    <xf numFmtId="0" fontId="106" fillId="0" borderId="109"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0" xfId="3" applyFont="1" applyBorder="1" applyAlignment="1">
      <alignment horizontal="center" vertical="center" wrapText="1"/>
    </xf>
    <xf numFmtId="0" fontId="106" fillId="0" borderId="111" xfId="3" applyFont="1" applyBorder="1" applyAlignment="1">
      <alignment horizontal="center" vertical="center" wrapText="1"/>
    </xf>
    <xf numFmtId="0" fontId="106" fillId="0" borderId="112" xfId="3" applyFont="1" applyBorder="1" applyAlignment="1">
      <alignment horizontal="center" vertical="center" wrapText="1"/>
    </xf>
    <xf numFmtId="0" fontId="106" fillId="0" borderId="113"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9" fillId="0" borderId="12" xfId="3" applyFont="1" applyBorder="1" applyAlignment="1">
      <alignment vertical="top" wrapText="1"/>
    </xf>
    <xf numFmtId="0" fontId="59" fillId="0" borderId="16" xfId="3" applyFont="1" applyBorder="1" applyAlignment="1">
      <alignment vertical="top" wrapText="1"/>
    </xf>
    <xf numFmtId="0" fontId="59" fillId="0" borderId="10" xfId="3" applyFont="1" applyBorder="1" applyAlignment="1">
      <alignment vertical="top" wrapText="1"/>
    </xf>
    <xf numFmtId="0" fontId="69" fillId="0" borderId="46" xfId="3" applyFont="1" applyBorder="1" applyAlignment="1">
      <alignment horizontal="center" vertical="center" wrapText="1"/>
    </xf>
    <xf numFmtId="0" fontId="69" fillId="0" borderId="6" xfId="3" applyFont="1" applyBorder="1" applyAlignment="1">
      <alignment horizontal="center" vertical="center" wrapText="1"/>
    </xf>
    <xf numFmtId="0" fontId="69" fillId="0" borderId="7" xfId="3" applyFont="1" applyBorder="1" applyAlignment="1">
      <alignment horizontal="center" vertical="center" wrapText="1"/>
    </xf>
    <xf numFmtId="0" fontId="87" fillId="0" borderId="5" xfId="3" applyFont="1" applyBorder="1" applyAlignment="1">
      <alignment vertical="top"/>
    </xf>
    <xf numFmtId="0" fontId="87" fillId="0" borderId="0" xfId="3" applyFont="1" applyBorder="1" applyAlignment="1">
      <alignment vertical="top"/>
    </xf>
    <xf numFmtId="0" fontId="87" fillId="0" borderId="40" xfId="3" applyFont="1" applyBorder="1" applyAlignment="1">
      <alignment vertical="top"/>
    </xf>
    <xf numFmtId="0" fontId="87" fillId="0" borderId="50" xfId="3" applyFont="1" applyBorder="1" applyAlignment="1">
      <alignment vertical="top"/>
    </xf>
    <xf numFmtId="0" fontId="87" fillId="0" borderId="9" xfId="3" applyFont="1" applyBorder="1" applyAlignment="1">
      <alignment vertical="top"/>
    </xf>
    <xf numFmtId="0" fontId="87" fillId="0" borderId="59" xfId="3" applyFont="1" applyBorder="1" applyAlignment="1">
      <alignment vertical="top"/>
    </xf>
    <xf numFmtId="0" fontId="109" fillId="12" borderId="122" xfId="0" applyFont="1" applyFill="1" applyBorder="1" applyAlignment="1">
      <alignment horizontal="center" vertical="center"/>
    </xf>
    <xf numFmtId="0" fontId="109" fillId="12" borderId="125" xfId="0" applyFont="1" applyFill="1" applyBorder="1" applyAlignment="1">
      <alignment horizontal="center" vertical="center"/>
    </xf>
    <xf numFmtId="0" fontId="109" fillId="12" borderId="147" xfId="0" applyFont="1" applyFill="1" applyBorder="1" applyAlignment="1">
      <alignment horizontal="center" vertical="center"/>
    </xf>
    <xf numFmtId="164" fontId="109" fillId="12" borderId="17" xfId="0" applyNumberFormat="1" applyFont="1" applyFill="1" applyBorder="1" applyAlignment="1">
      <alignment horizontal="center" vertical="center"/>
    </xf>
    <xf numFmtId="164" fontId="109" fillId="12" borderId="0" xfId="0" applyNumberFormat="1" applyFont="1" applyFill="1" applyBorder="1" applyAlignment="1">
      <alignment horizontal="center" vertical="center"/>
    </xf>
    <xf numFmtId="164" fontId="109" fillId="12" borderId="63" xfId="0" applyNumberFormat="1" applyFont="1" applyFill="1" applyBorder="1" applyAlignment="1">
      <alignment horizontal="center" vertical="center"/>
    </xf>
    <xf numFmtId="164" fontId="65" fillId="12" borderId="122" xfId="0" applyNumberFormat="1" applyFont="1" applyFill="1" applyBorder="1" applyAlignment="1">
      <alignment horizontal="center" vertical="top"/>
    </xf>
    <xf numFmtId="164" fontId="110" fillId="12" borderId="125" xfId="0" applyNumberFormat="1" applyFont="1" applyFill="1" applyBorder="1" applyAlignment="1">
      <alignment horizontal="center" vertical="top"/>
    </xf>
    <xf numFmtId="164" fontId="110" fillId="12" borderId="147" xfId="0" applyNumberFormat="1" applyFont="1" applyFill="1" applyBorder="1" applyAlignment="1">
      <alignment horizontal="center" vertical="top"/>
    </xf>
    <xf numFmtId="0" fontId="110" fillId="0" borderId="21" xfId="0" applyFont="1" applyBorder="1" applyAlignment="1">
      <alignment horizontal="left" vertical="top" wrapText="1"/>
    </xf>
    <xf numFmtId="0" fontId="59" fillId="0" borderId="14" xfId="0" applyFont="1" applyBorder="1" applyAlignment="1">
      <alignment horizontal="left" vertical="top" wrapText="1"/>
    </xf>
    <xf numFmtId="0" fontId="59" fillId="0" borderId="21" xfId="0" applyFont="1" applyBorder="1" applyAlignment="1">
      <alignment vertical="top" wrapText="1"/>
    </xf>
    <xf numFmtId="0" fontId="61" fillId="0" borderId="14" xfId="0" applyFont="1" applyBorder="1" applyAlignment="1">
      <alignment wrapText="1"/>
    </xf>
    <xf numFmtId="0" fontId="110" fillId="0" borderId="125" xfId="0" applyNumberFormat="1" applyFont="1" applyBorder="1" applyAlignment="1">
      <alignment horizontal="left" vertical="center" wrapText="1"/>
    </xf>
    <xf numFmtId="0" fontId="61" fillId="0" borderId="123" xfId="0" applyFont="1" applyBorder="1" applyAlignment="1">
      <alignment horizontal="left" vertical="center" wrapText="1"/>
    </xf>
    <xf numFmtId="0" fontId="110" fillId="0" borderId="0" xfId="0" applyNumberFormat="1" applyFont="1" applyBorder="1" applyAlignment="1">
      <alignment horizontal="left" vertical="center" wrapText="1"/>
    </xf>
    <xf numFmtId="0" fontId="59"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9" fillId="0" borderId="14" xfId="0" applyFont="1" applyBorder="1" applyAlignment="1"/>
    <xf numFmtId="0" fontId="69" fillId="0" borderId="50" xfId="3" applyNumberFormat="1" applyFont="1" applyBorder="1" applyAlignment="1" applyProtection="1"/>
    <xf numFmtId="0" fontId="69" fillId="0" borderId="9" xfId="3" applyFont="1" applyBorder="1" applyAlignment="1" applyProtection="1"/>
    <xf numFmtId="0" fontId="69" fillId="0" borderId="59" xfId="3" applyFont="1" applyBorder="1" applyAlignment="1" applyProtection="1"/>
    <xf numFmtId="0" fontId="69" fillId="0" borderId="50" xfId="3" applyNumberFormat="1" applyFont="1" applyBorder="1" applyAlignment="1" applyProtection="1">
      <alignment horizontal="left" indent="1"/>
    </xf>
    <xf numFmtId="0" fontId="69" fillId="0" borderId="9" xfId="3" applyFont="1" applyBorder="1" applyAlignment="1" applyProtection="1">
      <alignment horizontal="left" indent="1"/>
    </xf>
    <xf numFmtId="0" fontId="69" fillId="0" borderId="59" xfId="3" applyNumberFormat="1" applyFont="1" applyBorder="1" applyAlignment="1" applyProtection="1">
      <alignment horizontal="left" indent="1"/>
    </xf>
    <xf numFmtId="0" fontId="69" fillId="0" borderId="5" xfId="3" applyFont="1" applyBorder="1" applyAlignment="1" applyProtection="1"/>
    <xf numFmtId="0" fontId="69" fillId="0" borderId="0" xfId="3" applyFont="1" applyBorder="1" applyAlignment="1" applyProtection="1"/>
    <xf numFmtId="0" fontId="69" fillId="0" borderId="40" xfId="3" applyFont="1" applyBorder="1" applyAlignment="1" applyProtection="1"/>
    <xf numFmtId="0" fontId="69" fillId="0" borderId="0" xfId="3" applyNumberFormat="1" applyFont="1" applyAlignment="1" applyProtection="1">
      <alignment horizontal="center"/>
    </xf>
    <xf numFmtId="0" fontId="69" fillId="0" borderId="50" xfId="3" applyNumberFormat="1" applyFont="1" applyBorder="1" applyAlignment="1" applyProtection="1">
      <alignment horizontal="left" indent="1"/>
      <protection locked="0"/>
    </xf>
    <xf numFmtId="0" fontId="69" fillId="0" borderId="9" xfId="3" applyFont="1" applyBorder="1" applyAlignment="1">
      <alignment horizontal="left" indent="1"/>
    </xf>
    <xf numFmtId="0" fontId="69" fillId="0" borderId="59" xfId="3" applyFont="1" applyBorder="1" applyAlignment="1">
      <alignment horizontal="left" indent="1"/>
    </xf>
    <xf numFmtId="0" fontId="69" fillId="0" borderId="5" xfId="3" applyNumberFormat="1" applyFont="1" applyBorder="1" applyAlignment="1" applyProtection="1">
      <alignment horizontal="left" indent="1"/>
      <protection locked="0"/>
    </xf>
    <xf numFmtId="0" fontId="69" fillId="0" borderId="0" xfId="3" applyFont="1" applyBorder="1" applyAlignment="1">
      <alignment horizontal="left" indent="1"/>
    </xf>
    <xf numFmtId="0" fontId="69" fillId="0" borderId="40" xfId="3" applyFont="1" applyBorder="1" applyAlignment="1">
      <alignment horizontal="left" indent="1"/>
    </xf>
    <xf numFmtId="0" fontId="69" fillId="0" borderId="5" xfId="3" applyNumberFormat="1" applyFont="1" applyBorder="1" applyAlignment="1" applyProtection="1">
      <alignment horizontal="left" indent="1"/>
    </xf>
    <xf numFmtId="0" fontId="69" fillId="0" borderId="0" xfId="3" applyFont="1" applyBorder="1" applyAlignment="1" applyProtection="1">
      <alignment horizontal="left" indent="1"/>
    </xf>
    <xf numFmtId="0" fontId="69" fillId="0" borderId="40" xfId="3" applyFont="1" applyBorder="1" applyAlignment="1" applyProtection="1">
      <alignment horizontal="left" indent="1"/>
    </xf>
    <xf numFmtId="0" fontId="61" fillId="0" borderId="50" xfId="3" applyNumberFormat="1" applyFont="1" applyBorder="1" applyAlignment="1" applyProtection="1">
      <alignment horizontal="left" vertical="center" indent="1"/>
    </xf>
    <xf numFmtId="0" fontId="61" fillId="0" borderId="9" xfId="3" applyFont="1" applyBorder="1" applyAlignment="1" applyProtection="1">
      <alignment horizontal="left" vertical="center" indent="1"/>
    </xf>
    <xf numFmtId="0" fontId="61" fillId="0" borderId="59" xfId="3" applyFont="1" applyBorder="1" applyAlignment="1" applyProtection="1">
      <alignment horizontal="left" vertical="center" indent="1"/>
    </xf>
    <xf numFmtId="0" fontId="69" fillId="0" borderId="5" xfId="3" applyNumberFormat="1" applyFont="1" applyBorder="1" applyAlignment="1" applyProtection="1"/>
    <xf numFmtId="0" fontId="69" fillId="0" borderId="0" xfId="3" applyNumberFormat="1" applyFont="1" applyAlignment="1" applyProtection="1">
      <alignment horizontal="center" vertical="center"/>
    </xf>
    <xf numFmtId="0" fontId="59" fillId="0" borderId="140" xfId="3" applyNumberFormat="1" applyFont="1" applyBorder="1" applyProtection="1"/>
    <xf numFmtId="0" fontId="59" fillId="0" borderId="141" xfId="3" applyNumberFormat="1" applyFont="1" applyBorder="1" applyProtection="1"/>
    <xf numFmtId="0" fontId="69" fillId="0" borderId="5"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vertical="center" indent="1"/>
    </xf>
    <xf numFmtId="0" fontId="69" fillId="0" borderId="40"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indent="1"/>
    </xf>
    <xf numFmtId="0" fontId="69" fillId="0" borderId="40" xfId="3" applyNumberFormat="1" applyFont="1" applyBorder="1" applyAlignment="1" applyProtection="1">
      <alignment horizontal="left" indent="1"/>
    </xf>
    <xf numFmtId="0" fontId="61" fillId="0" borderId="50" xfId="3" applyNumberFormat="1" applyFont="1" applyBorder="1" applyProtection="1"/>
    <xf numFmtId="0" fontId="61" fillId="0" borderId="9" xfId="3" applyNumberFormat="1" applyFont="1" applyBorder="1" applyProtection="1"/>
    <xf numFmtId="0" fontId="61" fillId="0" borderId="59" xfId="3" applyNumberFormat="1" applyFont="1" applyBorder="1" applyProtection="1"/>
    <xf numFmtId="0" fontId="87" fillId="0" borderId="5" xfId="3" applyNumberFormat="1" applyFont="1" applyBorder="1" applyAlignment="1" applyProtection="1"/>
    <xf numFmtId="0" fontId="87" fillId="0" borderId="0" xfId="3" applyFont="1" applyBorder="1" applyAlignment="1" applyProtection="1"/>
    <xf numFmtId="0" fontId="87" fillId="0" borderId="40" xfId="3" applyFont="1" applyBorder="1" applyAlignment="1" applyProtection="1"/>
    <xf numFmtId="0" fontId="69" fillId="0" borderId="141" xfId="3" applyNumberFormat="1" applyFont="1" applyBorder="1" applyAlignment="1" applyProtection="1">
      <alignment horizontal="left" indent="1"/>
      <protection locked="0"/>
    </xf>
    <xf numFmtId="0" fontId="69" fillId="0" borderId="141" xfId="3" applyFont="1" applyBorder="1" applyAlignment="1" applyProtection="1">
      <alignment horizontal="left" indent="1"/>
      <protection locked="0"/>
    </xf>
    <xf numFmtId="0" fontId="69" fillId="0" borderId="142" xfId="3" applyFont="1" applyBorder="1" applyAlignment="1" applyProtection="1">
      <alignment horizontal="left" indent="1"/>
      <protection locked="0"/>
    </xf>
    <xf numFmtId="0" fontId="61" fillId="0" borderId="0" xfId="3" applyFont="1" applyAlignment="1">
      <alignment horizontal="center" vertical="center"/>
    </xf>
    <xf numFmtId="0" fontId="69" fillId="0" borderId="59" xfId="3" applyFont="1" applyBorder="1" applyAlignment="1" applyProtection="1">
      <alignment horizontal="left" indent="1"/>
    </xf>
    <xf numFmtId="165" fontId="69" fillId="0" borderId="50" xfId="3" applyNumberFormat="1" applyFont="1" applyBorder="1" applyAlignment="1" applyProtection="1">
      <alignment horizontal="left" indent="1"/>
    </xf>
    <xf numFmtId="165" fontId="69" fillId="0" borderId="59" xfId="3" applyNumberFormat="1" applyFont="1" applyBorder="1" applyAlignment="1" applyProtection="1">
      <alignment horizontal="left" indent="1"/>
    </xf>
    <xf numFmtId="0" fontId="58" fillId="0" borderId="0" xfId="3" applyFont="1" applyAlignment="1">
      <alignment horizontal="center" vertical="center"/>
    </xf>
    <xf numFmtId="174" fontId="58" fillId="0" borderId="0" xfId="3" applyNumberFormat="1" applyFont="1" applyAlignment="1">
      <alignment horizontal="center" vertical="center"/>
    </xf>
    <xf numFmtId="174" fontId="61" fillId="0" borderId="0" xfId="3" applyNumberFormat="1" applyFont="1" applyAlignment="1">
      <alignment horizontal="center" vertical="center"/>
    </xf>
    <xf numFmtId="0" fontId="61" fillId="0" borderId="69" xfId="3" applyFont="1" applyBorder="1" applyAlignment="1" applyProtection="1">
      <protection locked="0"/>
    </xf>
    <xf numFmtId="0" fontId="69" fillId="0" borderId="0" xfId="3" applyFont="1" applyAlignment="1" applyProtection="1">
      <alignment horizontal="center" vertical="center"/>
    </xf>
    <xf numFmtId="174" fontId="69" fillId="0" borderId="0" xfId="3" applyNumberFormat="1" applyFont="1" applyAlignment="1" applyProtection="1">
      <alignment horizontal="center" vertical="center"/>
    </xf>
    <xf numFmtId="0" fontId="61" fillId="0" borderId="69" xfId="3" applyFont="1" applyBorder="1" applyAlignment="1" applyProtection="1">
      <alignment horizontal="left"/>
      <protection locked="0"/>
    </xf>
    <xf numFmtId="0" fontId="69" fillId="0" borderId="0" xfId="3" quotePrefix="1" applyFont="1" applyAlignment="1" applyProtection="1">
      <alignment horizontal="center" vertical="center"/>
    </xf>
    <xf numFmtId="0" fontId="69" fillId="0" borderId="0" xfId="3" applyNumberFormat="1" applyFont="1" applyAlignment="1">
      <alignment horizontal="center"/>
    </xf>
    <xf numFmtId="165" fontId="69" fillId="0" borderId="0" xfId="3" applyNumberFormat="1" applyFont="1" applyAlignment="1" applyProtection="1">
      <alignment horizontal="center" vertical="center"/>
    </xf>
    <xf numFmtId="165" fontId="58" fillId="0" borderId="0" xfId="3" applyNumberFormat="1" applyFont="1" applyAlignment="1" applyProtection="1">
      <alignment horizontal="center" vertical="center"/>
    </xf>
    <xf numFmtId="0" fontId="58" fillId="0" borderId="0" xfId="3" applyNumberFormat="1" applyFont="1" applyAlignment="1" applyProtection="1">
      <alignment horizontal="center" vertical="center"/>
    </xf>
    <xf numFmtId="0" fontId="59" fillId="0" borderId="0" xfId="3" applyFont="1" applyAlignment="1" applyProtection="1">
      <alignment horizontal="left" vertical="center" wrapText="1"/>
      <protection locked="0"/>
    </xf>
    <xf numFmtId="0" fontId="69" fillId="0" borderId="0" xfId="3" applyNumberFormat="1" applyFont="1" applyBorder="1" applyAlignment="1" applyProtection="1">
      <alignment horizontal="center"/>
    </xf>
    <xf numFmtId="0" fontId="58" fillId="0" borderId="0" xfId="3" applyFont="1" applyAlignment="1" applyProtection="1">
      <alignment horizontal="center" vertical="center" readingOrder="1"/>
    </xf>
    <xf numFmtId="0" fontId="58" fillId="0" borderId="0" xfId="3" applyFont="1" applyAlignment="1" applyProtection="1">
      <alignment horizontal="center" vertical="center"/>
    </xf>
    <xf numFmtId="3" fontId="59" fillId="0" borderId="77" xfId="3" applyNumberFormat="1" applyFont="1" applyBorder="1" applyAlignment="1" applyProtection="1">
      <alignment horizontal="right" indent="1"/>
      <protection locked="0"/>
    </xf>
    <xf numFmtId="0" fontId="58" fillId="0" borderId="0" xfId="3" applyFont="1" applyAlignment="1" applyProtection="1">
      <alignment horizontal="center"/>
    </xf>
    <xf numFmtId="0" fontId="58" fillId="0" borderId="78" xfId="3" applyFont="1" applyBorder="1" applyAlignment="1" applyProtection="1">
      <alignment horizontal="center"/>
    </xf>
    <xf numFmtId="0" fontId="66" fillId="0" borderId="0" xfId="3" applyFont="1" applyAlignment="1" applyProtection="1">
      <alignment horizontal="left" vertical="center" wrapText="1"/>
    </xf>
    <xf numFmtId="0" fontId="59" fillId="0" borderId="0" xfId="3" applyFont="1" applyBorder="1" applyAlignment="1" applyProtection="1">
      <alignment vertical="center" wrapText="1"/>
      <protection locked="0"/>
    </xf>
    <xf numFmtId="5" fontId="69" fillId="0" borderId="143" xfId="3" applyNumberFormat="1" applyFont="1" applyBorder="1" applyAlignment="1" applyProtection="1">
      <protection locked="0"/>
    </xf>
    <xf numFmtId="0" fontId="69" fillId="0" borderId="144" xfId="3" applyFont="1" applyBorder="1" applyAlignment="1" applyProtection="1">
      <protection locked="0"/>
    </xf>
    <xf numFmtId="0" fontId="66" fillId="0" borderId="0" xfId="3" applyFont="1" applyBorder="1" applyAlignment="1" applyProtection="1">
      <alignment horizontal="left" vertical="top" wrapText="1"/>
    </xf>
    <xf numFmtId="0" fontId="66" fillId="0" borderId="143" xfId="3" applyFont="1" applyBorder="1" applyAlignment="1" applyProtection="1">
      <alignment horizontal="left" vertical="center"/>
      <protection locked="0"/>
    </xf>
    <xf numFmtId="0" fontId="66" fillId="0" borderId="76" xfId="3" applyFont="1" applyBorder="1" applyAlignment="1" applyProtection="1">
      <alignment horizontal="left" vertical="center"/>
      <protection locked="0"/>
    </xf>
    <xf numFmtId="0" fontId="66" fillId="0" borderId="144" xfId="3" applyFont="1" applyBorder="1" applyAlignment="1" applyProtection="1">
      <alignment horizontal="left" vertical="center"/>
      <protection locked="0"/>
    </xf>
    <xf numFmtId="38" fontId="66" fillId="0" borderId="77" xfId="3" applyNumberFormat="1" applyFont="1" applyBorder="1" applyAlignment="1" applyProtection="1">
      <alignment horizontal="right" vertical="center"/>
      <protection locked="0"/>
    </xf>
    <xf numFmtId="0" fontId="69" fillId="0" borderId="0" xfId="3" applyNumberFormat="1" applyFont="1" applyBorder="1" applyAlignment="1" applyProtection="1">
      <alignment horizontal="center" vertical="center" wrapText="1"/>
    </xf>
    <xf numFmtId="0" fontId="61" fillId="0" borderId="0" xfId="3" applyNumberFormat="1" applyFont="1" applyAlignment="1">
      <alignment horizontal="center" vertical="center" wrapText="1"/>
    </xf>
    <xf numFmtId="165" fontId="69" fillId="0" borderId="0" xfId="3" applyNumberFormat="1" applyFont="1" applyBorder="1" applyAlignment="1" applyProtection="1">
      <alignment horizontal="center" vertical="center" wrapText="1"/>
    </xf>
    <xf numFmtId="0" fontId="61" fillId="0" borderId="0" xfId="3" applyFont="1" applyAlignment="1">
      <alignment horizontal="center" vertical="center" wrapText="1"/>
    </xf>
    <xf numFmtId="169" fontId="58" fillId="0" borderId="0" xfId="3" applyNumberFormat="1" applyFont="1" applyAlignment="1" applyProtection="1">
      <alignment horizontal="center" vertical="center" wrapText="1"/>
    </xf>
    <xf numFmtId="0" fontId="59" fillId="0" borderId="0" xfId="3" applyFont="1" applyAlignment="1">
      <alignment horizontal="center" vertical="center" wrapText="1"/>
    </xf>
    <xf numFmtId="0" fontId="61" fillId="0" borderId="9" xfId="3" applyFont="1" applyBorder="1" applyAlignment="1" applyProtection="1">
      <alignment horizontal="center"/>
      <protection locked="0"/>
    </xf>
    <xf numFmtId="0" fontId="61" fillId="0" borderId="74" xfId="3" applyFont="1" applyBorder="1" applyAlignment="1" applyProtection="1">
      <alignment horizontal="center"/>
      <protection locked="0"/>
    </xf>
    <xf numFmtId="0" fontId="66" fillId="0" borderId="143" xfId="3" applyFont="1" applyBorder="1" applyAlignment="1" applyProtection="1">
      <alignment horizontal="center"/>
    </xf>
    <xf numFmtId="0" fontId="66" fillId="0" borderId="76" xfId="3" applyFont="1" applyBorder="1" applyAlignment="1" applyProtection="1">
      <alignment horizontal="center"/>
    </xf>
    <xf numFmtId="0" fontId="66" fillId="0" borderId="144" xfId="3" applyFont="1" applyBorder="1" applyAlignment="1" applyProtection="1">
      <alignment horizontal="center"/>
    </xf>
    <xf numFmtId="38" fontId="66" fillId="0" borderId="143" xfId="3" applyNumberFormat="1" applyFont="1" applyBorder="1" applyAlignment="1" applyProtection="1">
      <alignment horizontal="right" vertical="center"/>
      <protection locked="0"/>
    </xf>
    <xf numFmtId="38" fontId="66" fillId="0" borderId="76" xfId="3" applyNumberFormat="1" applyFont="1" applyBorder="1" applyAlignment="1" applyProtection="1">
      <alignment horizontal="right" vertical="center"/>
      <protection locked="0"/>
    </xf>
    <xf numFmtId="38" fontId="66" fillId="0" borderId="144" xfId="3" applyNumberFormat="1" applyFont="1" applyBorder="1" applyAlignment="1" applyProtection="1">
      <alignment horizontal="right" vertical="center"/>
      <protection locked="0"/>
    </xf>
    <xf numFmtId="0" fontId="68" fillId="0" borderId="143" xfId="3" applyFont="1" applyBorder="1" applyAlignment="1" applyProtection="1">
      <alignment horizontal="center" vertical="center"/>
      <protection locked="0"/>
    </xf>
    <xf numFmtId="0" fontId="68" fillId="0" borderId="76" xfId="3" applyFont="1" applyBorder="1" applyAlignment="1" applyProtection="1">
      <alignment horizontal="center" vertical="center"/>
      <protection locked="0"/>
    </xf>
    <xf numFmtId="0" fontId="68" fillId="0" borderId="144" xfId="3" applyFont="1" applyBorder="1" applyAlignment="1" applyProtection="1">
      <alignment horizontal="center" vertical="center"/>
      <protection locked="0"/>
    </xf>
    <xf numFmtId="6" fontId="66" fillId="0" borderId="77" xfId="3" applyNumberFormat="1" applyFont="1" applyBorder="1" applyAlignment="1" applyProtection="1">
      <alignment horizontal="right" vertical="center"/>
      <protection locked="0"/>
    </xf>
    <xf numFmtId="6" fontId="66" fillId="0" borderId="143" xfId="3" applyNumberFormat="1" applyFont="1" applyBorder="1" applyProtection="1">
      <protection locked="0"/>
    </xf>
    <xf numFmtId="6" fontId="66" fillId="0" borderId="144" xfId="3" applyNumberFormat="1" applyFont="1" applyBorder="1" applyProtection="1">
      <protection locked="0"/>
    </xf>
    <xf numFmtId="170" fontId="61" fillId="0" borderId="9" xfId="3" applyNumberFormat="1" applyFont="1" applyBorder="1" applyAlignment="1" applyProtection="1">
      <alignment horizontal="center"/>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0" fontId="58" fillId="0" borderId="0" xfId="3" applyFont="1" applyAlignment="1" applyProtection="1">
      <alignment horizontal="center" vertical="center" wrapText="1"/>
    </xf>
    <xf numFmtId="0" fontId="58" fillId="0" borderId="0" xfId="3" applyFont="1" applyBorder="1" applyAlignment="1" applyProtection="1">
      <alignment horizontal="center" vertical="center" wrapText="1"/>
    </xf>
    <xf numFmtId="0" fontId="61" fillId="0" borderId="0" xfId="3" applyFont="1" applyBorder="1" applyAlignment="1">
      <alignment horizontal="center" vertical="center" wrapText="1"/>
    </xf>
    <xf numFmtId="8" fontId="61" fillId="0" borderId="0" xfId="3" applyNumberFormat="1" applyFont="1" applyAlignment="1" applyProtection="1">
      <alignment horizontal="left" vertical="top" wrapText="1"/>
      <protection locked="0"/>
    </xf>
    <xf numFmtId="0" fontId="58" fillId="0" borderId="0" xfId="3" applyNumberFormat="1" applyFont="1" applyBorder="1" applyAlignment="1" applyProtection="1">
      <alignment horizontal="center" vertical="center" wrapText="1"/>
    </xf>
    <xf numFmtId="165" fontId="58" fillId="0" borderId="0" xfId="3" applyNumberFormat="1" applyFont="1" applyBorder="1" applyAlignment="1" applyProtection="1">
      <alignment horizontal="center" vertical="center" wrapText="1"/>
    </xf>
    <xf numFmtId="0" fontId="58" fillId="0" borderId="138" xfId="3" applyFont="1" applyBorder="1" applyAlignment="1" applyProtection="1">
      <alignment horizontal="center" vertical="center" wrapText="1"/>
    </xf>
    <xf numFmtId="0" fontId="69" fillId="0" borderId="74" xfId="3" applyNumberFormat="1" applyFont="1" applyBorder="1" applyAlignment="1" applyProtection="1">
      <alignment horizontal="center"/>
      <protection locked="0"/>
    </xf>
    <xf numFmtId="0" fontId="69" fillId="0" borderId="74" xfId="3" applyFont="1" applyBorder="1" applyAlignment="1" applyProtection="1">
      <alignment horizontal="center"/>
      <protection locked="0"/>
    </xf>
    <xf numFmtId="0" fontId="69" fillId="0" borderId="74" xfId="3" applyFont="1" applyBorder="1" applyAlignment="1" applyProtection="1">
      <alignment horizontal="center" vertical="center"/>
      <protection locked="0"/>
    </xf>
    <xf numFmtId="0" fontId="58" fillId="0" borderId="0" xfId="3" applyNumberFormat="1" applyFont="1" applyAlignment="1" applyProtection="1">
      <alignment horizontal="center" vertical="center" wrapText="1"/>
    </xf>
    <xf numFmtId="171" fontId="25" fillId="0" borderId="0" xfId="3697" applyNumberFormat="1" applyFont="1" applyAlignment="1" applyProtection="1">
      <alignment horizontal="center" vertical="center" wrapText="1"/>
    </xf>
    <xf numFmtId="0" fontId="15" fillId="0" borderId="0" xfId="3697" applyBorder="1" applyAlignment="1" applyProtection="1">
      <alignment horizontal="left" vertical="top" wrapText="1"/>
      <protection locked="0"/>
    </xf>
    <xf numFmtId="165" fontId="25" fillId="0" borderId="0" xfId="3697" applyNumberFormat="1" applyFont="1" applyBorder="1" applyAlignment="1" applyProtection="1">
      <alignment horizontal="center" vertical="center" wrapText="1"/>
    </xf>
    <xf numFmtId="0" fontId="25" fillId="0" borderId="0" xfId="3697" applyFont="1" applyAlignment="1" applyProtection="1">
      <alignment horizontal="center" vertical="center" wrapText="1"/>
    </xf>
  </cellXfs>
  <cellStyles count="8849">
    <cellStyle name="1" xfId="32" xr:uid="{00000000-0005-0000-0000-000000000000}"/>
    <cellStyle name="1 2" xfId="6355" xr:uid="{F1BA83F8-6875-4CE6-BB3C-4B7C368E3DB8}"/>
    <cellStyle name="1 3" xfId="6791" xr:uid="{238C558E-65E1-4BBE-AADF-F3D6B21A19AA}"/>
    <cellStyle name="10" xfId="33" xr:uid="{00000000-0005-0000-0000-000001000000}"/>
    <cellStyle name="10 2" xfId="6356" xr:uid="{FC8FBED7-DF4F-4B9A-BFE2-371ABE5D872B}"/>
    <cellStyle name="10 3" xfId="6792" xr:uid="{37AED1FC-4ABA-4181-8738-22810AE87044}"/>
    <cellStyle name="12" xfId="31" xr:uid="{00000000-0005-0000-0000-000002000000}"/>
    <cellStyle name="12 10" xfId="255" xr:uid="{00000000-0005-0000-0000-000003000000}"/>
    <cellStyle name="12 10 2" xfId="4834" xr:uid="{A93AA36D-9C31-408D-A5C3-59B77F159618}"/>
    <cellStyle name="12 11" xfId="256" xr:uid="{00000000-0005-0000-0000-000004000000}"/>
    <cellStyle name="12 11 2" xfId="4835" xr:uid="{15D132C5-678F-4186-ACDA-625C9D2C6129}"/>
    <cellStyle name="12 12" xfId="257" xr:uid="{00000000-0005-0000-0000-000005000000}"/>
    <cellStyle name="12 12 2" xfId="4836" xr:uid="{6030A7EF-5131-45DD-8D8C-62FDFFDF1BB3}"/>
    <cellStyle name="12 13" xfId="258" xr:uid="{00000000-0005-0000-0000-000006000000}"/>
    <cellStyle name="12 13 2" xfId="4837" xr:uid="{0C2DC02D-D6EE-48CC-9F7D-D27B344C23BA}"/>
    <cellStyle name="12 14" xfId="259" xr:uid="{00000000-0005-0000-0000-000007000000}"/>
    <cellStyle name="12 14 2" xfId="4838" xr:uid="{CEEA1938-BDA3-430F-AE9A-7D2C39293DD6}"/>
    <cellStyle name="12 15" xfId="260" xr:uid="{00000000-0005-0000-0000-000008000000}"/>
    <cellStyle name="12 15 2" xfId="4839" xr:uid="{506DECA0-9FC3-445D-B8C9-7ABD8431D139}"/>
    <cellStyle name="12 16" xfId="261" xr:uid="{00000000-0005-0000-0000-000009000000}"/>
    <cellStyle name="12 16 2" xfId="4840" xr:uid="{A720FCA7-F387-4F4E-962D-EFF05F6CB0AB}"/>
    <cellStyle name="12 17" xfId="262" xr:uid="{00000000-0005-0000-0000-00000A000000}"/>
    <cellStyle name="12 17 2" xfId="4841" xr:uid="{6223BB9A-F1C9-46DF-AA06-2C01B67C2269}"/>
    <cellStyle name="12 18" xfId="263" xr:uid="{00000000-0005-0000-0000-00000B000000}"/>
    <cellStyle name="12 18 2" xfId="4842" xr:uid="{EABF5DCD-ACC7-4F7D-9260-8348123B1AB2}"/>
    <cellStyle name="12 19" xfId="264" xr:uid="{00000000-0005-0000-0000-00000C000000}"/>
    <cellStyle name="12 19 2" xfId="4843" xr:uid="{02742CE0-CDB3-4565-BC2B-ADC2129D18B4}"/>
    <cellStyle name="12 2" xfId="34" xr:uid="{00000000-0005-0000-0000-00000D000000}"/>
    <cellStyle name="12 2 2" xfId="3911" xr:uid="{4D18C875-6FBA-4B4E-909A-D2291159433B}"/>
    <cellStyle name="12 2 3" xfId="6774" xr:uid="{FA4E48C0-099E-4ABE-948B-06EC3E90EF52}"/>
    <cellStyle name="12 20" xfId="265" xr:uid="{00000000-0005-0000-0000-00000E000000}"/>
    <cellStyle name="12 20 2" xfId="4844" xr:uid="{B053A95D-030B-482F-AC69-2870AAF49EED}"/>
    <cellStyle name="12 21" xfId="266" xr:uid="{00000000-0005-0000-0000-00000F000000}"/>
    <cellStyle name="12 21 2" xfId="4845" xr:uid="{349F6F36-4552-4F5C-8EDA-AEC96EAE8E4F}"/>
    <cellStyle name="12 22" xfId="267" xr:uid="{00000000-0005-0000-0000-000010000000}"/>
    <cellStyle name="12 22 2" xfId="4846" xr:uid="{45324903-6D6E-469E-BBC9-D474CC103EF4}"/>
    <cellStyle name="12 23" xfId="268" xr:uid="{00000000-0005-0000-0000-000011000000}"/>
    <cellStyle name="12 23 2" xfId="4847" xr:uid="{D124F9C4-4F73-4953-AEC2-A1523BD8DEBF}"/>
    <cellStyle name="12 24" xfId="269" xr:uid="{00000000-0005-0000-0000-000012000000}"/>
    <cellStyle name="12 24 2" xfId="4848" xr:uid="{6BEEE2C2-A382-4461-9FD9-D532A64A615E}"/>
    <cellStyle name="12 25" xfId="270" xr:uid="{00000000-0005-0000-0000-000013000000}"/>
    <cellStyle name="12 25 2" xfId="4849" xr:uid="{7C622ED7-8681-47E7-8BF9-54B934B76151}"/>
    <cellStyle name="12 26" xfId="271" xr:uid="{00000000-0005-0000-0000-000014000000}"/>
    <cellStyle name="12 26 2" xfId="4850" xr:uid="{D2AF1237-26C6-416C-85C3-2182E6AFA5F4}"/>
    <cellStyle name="12 27" xfId="272" xr:uid="{00000000-0005-0000-0000-000015000000}"/>
    <cellStyle name="12 27 2" xfId="4851" xr:uid="{6CF65419-F02A-417A-8408-92394BC4D7E7}"/>
    <cellStyle name="12 28" xfId="273" xr:uid="{00000000-0005-0000-0000-000016000000}"/>
    <cellStyle name="12 28 2" xfId="4852" xr:uid="{AF3A7B79-21BD-4D38-A5D0-9CBCB0644CB3}"/>
    <cellStyle name="12 29" xfId="274" xr:uid="{00000000-0005-0000-0000-000017000000}"/>
    <cellStyle name="12 29 2" xfId="4853" xr:uid="{74D0867A-646C-44C4-AA5D-011BD579AC73}"/>
    <cellStyle name="12 3" xfId="36" xr:uid="{00000000-0005-0000-0000-000018000000}"/>
    <cellStyle name="12 3 2" xfId="3913" xr:uid="{F78393D6-F6FF-4FF1-B98A-D9643A4817FB}"/>
    <cellStyle name="12 30" xfId="275" xr:uid="{00000000-0005-0000-0000-000019000000}"/>
    <cellStyle name="12 30 2" xfId="4854" xr:uid="{A5CCBA1C-738C-4FA3-AC36-EA640F09FAF0}"/>
    <cellStyle name="12 31" xfId="276" xr:uid="{00000000-0005-0000-0000-00001A000000}"/>
    <cellStyle name="12 31 2" xfId="4855" xr:uid="{5A2FB479-0994-4DF3-9BF9-DE72DEA1544C}"/>
    <cellStyle name="12 32" xfId="277" xr:uid="{00000000-0005-0000-0000-00001B000000}"/>
    <cellStyle name="12 32 2" xfId="4856" xr:uid="{EE11EB13-815B-40DC-8F0D-9824E7EE46CF}"/>
    <cellStyle name="12 33" xfId="278" xr:uid="{00000000-0005-0000-0000-00001C000000}"/>
    <cellStyle name="12 33 2" xfId="4857" xr:uid="{EB1CAAB4-109A-4B84-A26A-217E327F20CA}"/>
    <cellStyle name="12 34" xfId="279" xr:uid="{00000000-0005-0000-0000-00001D000000}"/>
    <cellStyle name="12 34 2" xfId="4858" xr:uid="{904AB0AC-5E79-48BE-B9AB-F75A7389C5B6}"/>
    <cellStyle name="12 35" xfId="280" xr:uid="{00000000-0005-0000-0000-00001E000000}"/>
    <cellStyle name="12 35 2" xfId="4859" xr:uid="{E26C096F-CC21-4AE1-AAA6-F34E32F5387F}"/>
    <cellStyle name="12 36" xfId="281" xr:uid="{00000000-0005-0000-0000-00001F000000}"/>
    <cellStyle name="12 36 2" xfId="4860" xr:uid="{25F83939-25F0-49BA-AE3F-DF08A4533648}"/>
    <cellStyle name="12 37" xfId="282" xr:uid="{00000000-0005-0000-0000-000020000000}"/>
    <cellStyle name="12 37 2" xfId="4861" xr:uid="{9E46319F-4626-45CE-9F93-627A006353D2}"/>
    <cellStyle name="12 38" xfId="283" xr:uid="{00000000-0005-0000-0000-000021000000}"/>
    <cellStyle name="12 38 2" xfId="2974" xr:uid="{00000000-0005-0000-0000-000022000000}"/>
    <cellStyle name="12 38 2 2" xfId="3690" xr:uid="{48B4F4D2-6930-4286-9527-EF759CE2AB6D}"/>
    <cellStyle name="12 38 3" xfId="6864" xr:uid="{A4D9789E-F7AF-4C5C-AAF3-69BBFE52FF34}"/>
    <cellStyle name="12 38 4" xfId="3943" xr:uid="{1FF9E9F6-CDF5-4242-815B-0383DF9D3330}"/>
    <cellStyle name="12 39" xfId="4819" xr:uid="{79809FDA-BA79-42FE-AC79-69164881587E}"/>
    <cellStyle name="12 4" xfId="37" xr:uid="{00000000-0005-0000-0000-000022000000}"/>
    <cellStyle name="12 4 2" xfId="3914" xr:uid="{431B12A8-3025-4591-B832-3AE58885E9A8}"/>
    <cellStyle name="12 5" xfId="38" xr:uid="{00000000-0005-0000-0000-000023000000}"/>
    <cellStyle name="12 5 2" xfId="3915" xr:uid="{C90C3E2B-B47A-4E10-A08E-3237FD64A3EC}"/>
    <cellStyle name="12 6" xfId="39" xr:uid="{00000000-0005-0000-0000-000024000000}"/>
    <cellStyle name="12 6 2" xfId="3916" xr:uid="{F08622B2-7462-4B53-A9BC-CD83575C9736}"/>
    <cellStyle name="12 7" xfId="40" xr:uid="{00000000-0005-0000-0000-000025000000}"/>
    <cellStyle name="12 7 2" xfId="3917" xr:uid="{390B5594-9155-46A9-AAF5-9587877D24F1}"/>
    <cellStyle name="12 8" xfId="41" xr:uid="{00000000-0005-0000-0000-000026000000}"/>
    <cellStyle name="12 8 2" xfId="3918" xr:uid="{9985EEBB-2D4A-4893-9618-687D0EE606FD}"/>
    <cellStyle name="12 9" xfId="44" xr:uid="{00000000-0005-0000-0000-000027000000}"/>
    <cellStyle name="12 9 2" xfId="285" xr:uid="{00000000-0005-0000-0000-000028000000}"/>
    <cellStyle name="12 9 2 2" xfId="2975" xr:uid="{00000000-0005-0000-0000-00002A000000}"/>
    <cellStyle name="12 9 2 2 2" xfId="3691" xr:uid="{1E6099D8-5CE5-4A0A-961F-A3633EA0AEAE}"/>
    <cellStyle name="12 9 2 3" xfId="6865" xr:uid="{6BD0A122-A7A6-41D4-AB42-6A0A1DB450B6}"/>
    <cellStyle name="12 9 2 4" xfId="3944" xr:uid="{2A0AC3F3-DFA4-410D-846B-5046982980CE}"/>
    <cellStyle name="12 9 3" xfId="284" xr:uid="{00000000-0005-0000-0000-000029000000}"/>
    <cellStyle name="12 9 3 2" xfId="4862" xr:uid="{82042F61-8177-46BF-8B8F-AC16CDCC36A8}"/>
    <cellStyle name="12 9 4" xfId="2963" xr:uid="{00000000-0005-0000-0000-00002C000000}"/>
    <cellStyle name="12 9 4 2" xfId="3679" xr:uid="{E20DCD0C-9DC9-4E3A-9679-E399788151EE}"/>
    <cellStyle name="12 9 4 3" xfId="3919" xr:uid="{8C41A8D5-C34C-4BA8-BEA4-057E730DB14A}"/>
    <cellStyle name="2" xfId="42" xr:uid="{00000000-0005-0000-0000-00002A000000}"/>
    <cellStyle name="2 2" xfId="6357" xr:uid="{8A21B116-F4CA-4C71-B5B0-9CD074D7F94A}"/>
    <cellStyle name="2 3" xfId="6794" xr:uid="{B6A01B34-E916-495C-A099-EB5D2DCE52A2}"/>
    <cellStyle name="20% - Accent1 10 2" xfId="286" xr:uid="{00000000-0005-0000-0000-00002B000000}"/>
    <cellStyle name="20% - Accent1 10 3" xfId="287" xr:uid="{00000000-0005-0000-0000-00002C000000}"/>
    <cellStyle name="20% - Accent1 10 4" xfId="288" xr:uid="{00000000-0005-0000-0000-00002D000000}"/>
    <cellStyle name="20% - Accent1 10 5" xfId="289" xr:uid="{00000000-0005-0000-0000-00002E000000}"/>
    <cellStyle name="20% - Accent1 10 6" xfId="290" xr:uid="{00000000-0005-0000-0000-00002F000000}"/>
    <cellStyle name="20% - Accent1 11 2" xfId="291" xr:uid="{00000000-0005-0000-0000-000030000000}"/>
    <cellStyle name="20% - Accent1 11 3" xfId="292" xr:uid="{00000000-0005-0000-0000-000031000000}"/>
    <cellStyle name="20% - Accent1 11 4" xfId="293" xr:uid="{00000000-0005-0000-0000-000032000000}"/>
    <cellStyle name="20% - Accent1 11 5" xfId="294" xr:uid="{00000000-0005-0000-0000-000033000000}"/>
    <cellStyle name="20% - Accent1 11 6" xfId="295" xr:uid="{00000000-0005-0000-0000-000034000000}"/>
    <cellStyle name="20% - Accent1 2" xfId="296" xr:uid="{00000000-0005-0000-0000-000035000000}"/>
    <cellStyle name="20% - Accent1 2 2" xfId="297" xr:uid="{00000000-0005-0000-0000-000036000000}"/>
    <cellStyle name="20% - Accent1 2 3" xfId="298" xr:uid="{00000000-0005-0000-0000-000037000000}"/>
    <cellStyle name="20% - Accent1 2 4" xfId="299" xr:uid="{00000000-0005-0000-0000-000038000000}"/>
    <cellStyle name="20% - Accent1 2 5" xfId="300" xr:uid="{00000000-0005-0000-0000-000039000000}"/>
    <cellStyle name="20% - Accent1 2 6" xfId="301" xr:uid="{00000000-0005-0000-0000-00003A000000}"/>
    <cellStyle name="20% - Accent1 2 7" xfId="5175" xr:uid="{9695171D-6F13-4302-97AF-C4E5382ED1C1}"/>
    <cellStyle name="20% - Accent1 3" xfId="302" xr:uid="{00000000-0005-0000-0000-00003B000000}"/>
    <cellStyle name="20% - Accent1 3 2" xfId="303" xr:uid="{00000000-0005-0000-0000-00003C000000}"/>
    <cellStyle name="20% - Accent1 3 3" xfId="304" xr:uid="{00000000-0005-0000-0000-00003D000000}"/>
    <cellStyle name="20% - Accent1 3 4" xfId="305" xr:uid="{00000000-0005-0000-0000-00003E000000}"/>
    <cellStyle name="20% - Accent1 3 5" xfId="306" xr:uid="{00000000-0005-0000-0000-00003F000000}"/>
    <cellStyle name="20% - Accent1 3 6" xfId="307" xr:uid="{00000000-0005-0000-0000-000040000000}"/>
    <cellStyle name="20% - Accent1 4 2" xfId="308" xr:uid="{00000000-0005-0000-0000-000041000000}"/>
    <cellStyle name="20% - Accent1 4 3" xfId="309" xr:uid="{00000000-0005-0000-0000-000042000000}"/>
    <cellStyle name="20% - Accent1 4 4" xfId="310" xr:uid="{00000000-0005-0000-0000-000043000000}"/>
    <cellStyle name="20% - Accent1 4 5" xfId="311" xr:uid="{00000000-0005-0000-0000-000044000000}"/>
    <cellStyle name="20% - Accent1 4 6" xfId="312" xr:uid="{00000000-0005-0000-0000-000045000000}"/>
    <cellStyle name="20% - Accent1 5 2" xfId="313" xr:uid="{00000000-0005-0000-0000-000046000000}"/>
    <cellStyle name="20% - Accent1 5 3" xfId="314" xr:uid="{00000000-0005-0000-0000-000047000000}"/>
    <cellStyle name="20% - Accent1 5 4" xfId="315" xr:uid="{00000000-0005-0000-0000-000048000000}"/>
    <cellStyle name="20% - Accent1 5 5" xfId="316" xr:uid="{00000000-0005-0000-0000-000049000000}"/>
    <cellStyle name="20% - Accent1 5 6" xfId="317" xr:uid="{00000000-0005-0000-0000-00004A000000}"/>
    <cellStyle name="20% - Accent1 6 2" xfId="318" xr:uid="{00000000-0005-0000-0000-00004B000000}"/>
    <cellStyle name="20% - Accent1 6 3" xfId="319" xr:uid="{00000000-0005-0000-0000-00004C000000}"/>
    <cellStyle name="20% - Accent1 6 4" xfId="320" xr:uid="{00000000-0005-0000-0000-00004D000000}"/>
    <cellStyle name="20% - Accent1 6 5" xfId="321" xr:uid="{00000000-0005-0000-0000-00004E000000}"/>
    <cellStyle name="20% - Accent1 6 6" xfId="322" xr:uid="{00000000-0005-0000-0000-00004F000000}"/>
    <cellStyle name="20% - Accent1 7 2" xfId="323" xr:uid="{00000000-0005-0000-0000-000050000000}"/>
    <cellStyle name="20% - Accent1 7 3" xfId="324" xr:uid="{00000000-0005-0000-0000-000051000000}"/>
    <cellStyle name="20% - Accent1 7 4" xfId="325" xr:uid="{00000000-0005-0000-0000-000052000000}"/>
    <cellStyle name="20% - Accent1 7 5" xfId="326" xr:uid="{00000000-0005-0000-0000-000053000000}"/>
    <cellStyle name="20% - Accent1 7 6" xfId="327" xr:uid="{00000000-0005-0000-0000-000054000000}"/>
    <cellStyle name="20% - Accent1 8 2" xfId="328" xr:uid="{00000000-0005-0000-0000-000055000000}"/>
    <cellStyle name="20% - Accent1 8 3" xfId="329" xr:uid="{00000000-0005-0000-0000-000056000000}"/>
    <cellStyle name="20% - Accent1 8 4" xfId="330" xr:uid="{00000000-0005-0000-0000-000057000000}"/>
    <cellStyle name="20% - Accent1 8 5" xfId="331" xr:uid="{00000000-0005-0000-0000-000058000000}"/>
    <cellStyle name="20% - Accent1 8 6" xfId="332" xr:uid="{00000000-0005-0000-0000-000059000000}"/>
    <cellStyle name="20% - Accent1 9 2" xfId="333" xr:uid="{00000000-0005-0000-0000-00005A000000}"/>
    <cellStyle name="20% - Accent1 9 3" xfId="334" xr:uid="{00000000-0005-0000-0000-00005B000000}"/>
    <cellStyle name="20% - Accent1 9 4" xfId="335" xr:uid="{00000000-0005-0000-0000-00005C000000}"/>
    <cellStyle name="20% - Accent1 9 5" xfId="336" xr:uid="{00000000-0005-0000-0000-00005D000000}"/>
    <cellStyle name="20% - Accent1 9 6" xfId="337" xr:uid="{00000000-0005-0000-0000-00005E000000}"/>
    <cellStyle name="20% - Accent2 10 2" xfId="338" xr:uid="{00000000-0005-0000-0000-00005F000000}"/>
    <cellStyle name="20% - Accent2 10 3" xfId="339" xr:uid="{00000000-0005-0000-0000-000060000000}"/>
    <cellStyle name="20% - Accent2 10 4" xfId="340" xr:uid="{00000000-0005-0000-0000-000061000000}"/>
    <cellStyle name="20% - Accent2 10 5" xfId="341" xr:uid="{00000000-0005-0000-0000-000062000000}"/>
    <cellStyle name="20% - Accent2 10 6" xfId="342" xr:uid="{00000000-0005-0000-0000-000063000000}"/>
    <cellStyle name="20% - Accent2 11 2" xfId="343" xr:uid="{00000000-0005-0000-0000-000064000000}"/>
    <cellStyle name="20% - Accent2 11 3" xfId="344" xr:uid="{00000000-0005-0000-0000-000065000000}"/>
    <cellStyle name="20% - Accent2 11 4" xfId="345" xr:uid="{00000000-0005-0000-0000-000066000000}"/>
    <cellStyle name="20% - Accent2 11 5" xfId="346" xr:uid="{00000000-0005-0000-0000-000067000000}"/>
    <cellStyle name="20% - Accent2 11 6" xfId="347" xr:uid="{00000000-0005-0000-0000-000068000000}"/>
    <cellStyle name="20% - Accent2 2" xfId="348" xr:uid="{00000000-0005-0000-0000-000069000000}"/>
    <cellStyle name="20% - Accent2 2 2" xfId="349" xr:uid="{00000000-0005-0000-0000-00006A000000}"/>
    <cellStyle name="20% - Accent2 2 3" xfId="350" xr:uid="{00000000-0005-0000-0000-00006B000000}"/>
    <cellStyle name="20% - Accent2 2 4" xfId="351" xr:uid="{00000000-0005-0000-0000-00006C000000}"/>
    <cellStyle name="20% - Accent2 2 5" xfId="352" xr:uid="{00000000-0005-0000-0000-00006D000000}"/>
    <cellStyle name="20% - Accent2 2 6" xfId="353" xr:uid="{00000000-0005-0000-0000-00006E000000}"/>
    <cellStyle name="20% - Accent2 2 7" xfId="5382" xr:uid="{187A6E7F-2748-4208-9772-47E2D18F2E1B}"/>
    <cellStyle name="20% - Accent2 3" xfId="354" xr:uid="{00000000-0005-0000-0000-00006F000000}"/>
    <cellStyle name="20% - Accent2 3 2" xfId="355" xr:uid="{00000000-0005-0000-0000-000070000000}"/>
    <cellStyle name="20% - Accent2 3 3" xfId="356" xr:uid="{00000000-0005-0000-0000-000071000000}"/>
    <cellStyle name="20% - Accent2 3 4" xfId="357" xr:uid="{00000000-0005-0000-0000-000072000000}"/>
    <cellStyle name="20% - Accent2 3 5" xfId="358" xr:uid="{00000000-0005-0000-0000-000073000000}"/>
    <cellStyle name="20% - Accent2 3 6" xfId="359" xr:uid="{00000000-0005-0000-0000-000074000000}"/>
    <cellStyle name="20% - Accent2 4 2" xfId="360" xr:uid="{00000000-0005-0000-0000-000075000000}"/>
    <cellStyle name="20% - Accent2 4 3" xfId="361" xr:uid="{00000000-0005-0000-0000-000076000000}"/>
    <cellStyle name="20% - Accent2 4 4" xfId="362" xr:uid="{00000000-0005-0000-0000-000077000000}"/>
    <cellStyle name="20% - Accent2 4 5" xfId="363" xr:uid="{00000000-0005-0000-0000-000078000000}"/>
    <cellStyle name="20% - Accent2 4 6" xfId="364" xr:uid="{00000000-0005-0000-0000-000079000000}"/>
    <cellStyle name="20% - Accent2 5 2" xfId="365" xr:uid="{00000000-0005-0000-0000-00007A000000}"/>
    <cellStyle name="20% - Accent2 5 3" xfId="366" xr:uid="{00000000-0005-0000-0000-00007B000000}"/>
    <cellStyle name="20% - Accent2 5 4" xfId="367" xr:uid="{00000000-0005-0000-0000-00007C000000}"/>
    <cellStyle name="20% - Accent2 5 5" xfId="368" xr:uid="{00000000-0005-0000-0000-00007D000000}"/>
    <cellStyle name="20% - Accent2 5 6" xfId="369" xr:uid="{00000000-0005-0000-0000-00007E000000}"/>
    <cellStyle name="20% - Accent2 6 2" xfId="370" xr:uid="{00000000-0005-0000-0000-00007F000000}"/>
    <cellStyle name="20% - Accent2 6 3" xfId="371" xr:uid="{00000000-0005-0000-0000-000080000000}"/>
    <cellStyle name="20% - Accent2 6 4" xfId="372" xr:uid="{00000000-0005-0000-0000-000081000000}"/>
    <cellStyle name="20% - Accent2 6 5" xfId="373" xr:uid="{00000000-0005-0000-0000-000082000000}"/>
    <cellStyle name="20% - Accent2 6 6" xfId="374" xr:uid="{00000000-0005-0000-0000-000083000000}"/>
    <cellStyle name="20% - Accent2 7 2" xfId="375" xr:uid="{00000000-0005-0000-0000-000084000000}"/>
    <cellStyle name="20% - Accent2 7 3" xfId="376" xr:uid="{00000000-0005-0000-0000-000085000000}"/>
    <cellStyle name="20% - Accent2 7 4" xfId="377" xr:uid="{00000000-0005-0000-0000-000086000000}"/>
    <cellStyle name="20% - Accent2 7 5" xfId="378" xr:uid="{00000000-0005-0000-0000-000087000000}"/>
    <cellStyle name="20% - Accent2 7 6" xfId="379" xr:uid="{00000000-0005-0000-0000-000088000000}"/>
    <cellStyle name="20% - Accent2 8 2" xfId="380" xr:uid="{00000000-0005-0000-0000-000089000000}"/>
    <cellStyle name="20% - Accent2 8 3" xfId="381" xr:uid="{00000000-0005-0000-0000-00008A000000}"/>
    <cellStyle name="20% - Accent2 8 4" xfId="382" xr:uid="{00000000-0005-0000-0000-00008B000000}"/>
    <cellStyle name="20% - Accent2 8 5" xfId="383" xr:uid="{00000000-0005-0000-0000-00008C000000}"/>
    <cellStyle name="20% - Accent2 8 6" xfId="384" xr:uid="{00000000-0005-0000-0000-00008D000000}"/>
    <cellStyle name="20% - Accent2 9 2" xfId="385" xr:uid="{00000000-0005-0000-0000-00008E000000}"/>
    <cellStyle name="20% - Accent2 9 3" xfId="386" xr:uid="{00000000-0005-0000-0000-00008F000000}"/>
    <cellStyle name="20% - Accent2 9 4" xfId="387" xr:uid="{00000000-0005-0000-0000-000090000000}"/>
    <cellStyle name="20% - Accent2 9 5" xfId="388" xr:uid="{00000000-0005-0000-0000-000091000000}"/>
    <cellStyle name="20% - Accent2 9 6" xfId="389" xr:uid="{00000000-0005-0000-0000-000092000000}"/>
    <cellStyle name="20% - Accent3 10 2" xfId="390" xr:uid="{00000000-0005-0000-0000-000093000000}"/>
    <cellStyle name="20% - Accent3 10 3" xfId="391" xr:uid="{00000000-0005-0000-0000-000094000000}"/>
    <cellStyle name="20% - Accent3 10 4" xfId="392" xr:uid="{00000000-0005-0000-0000-000095000000}"/>
    <cellStyle name="20% - Accent3 10 5" xfId="393" xr:uid="{00000000-0005-0000-0000-000096000000}"/>
    <cellStyle name="20% - Accent3 10 6" xfId="394" xr:uid="{00000000-0005-0000-0000-000097000000}"/>
    <cellStyle name="20% - Accent3 11 2" xfId="395" xr:uid="{00000000-0005-0000-0000-000098000000}"/>
    <cellStyle name="20% - Accent3 11 3" xfId="396" xr:uid="{00000000-0005-0000-0000-000099000000}"/>
    <cellStyle name="20% - Accent3 11 4" xfId="397" xr:uid="{00000000-0005-0000-0000-00009A000000}"/>
    <cellStyle name="20% - Accent3 11 5" xfId="398" xr:uid="{00000000-0005-0000-0000-00009B000000}"/>
    <cellStyle name="20% - Accent3 11 6" xfId="399" xr:uid="{00000000-0005-0000-0000-00009C000000}"/>
    <cellStyle name="20% - Accent3 2" xfId="400" xr:uid="{00000000-0005-0000-0000-00009D000000}"/>
    <cellStyle name="20% - Accent3 2 2" xfId="401" xr:uid="{00000000-0005-0000-0000-00009E000000}"/>
    <cellStyle name="20% - Accent3 2 3" xfId="402" xr:uid="{00000000-0005-0000-0000-00009F000000}"/>
    <cellStyle name="20% - Accent3 2 4" xfId="403" xr:uid="{00000000-0005-0000-0000-0000A0000000}"/>
    <cellStyle name="20% - Accent3 2 5" xfId="404" xr:uid="{00000000-0005-0000-0000-0000A1000000}"/>
    <cellStyle name="20% - Accent3 2 6" xfId="405" xr:uid="{00000000-0005-0000-0000-0000A2000000}"/>
    <cellStyle name="20% - Accent3 2 7" xfId="5381" xr:uid="{F0CE0F4B-F294-4EEF-8006-943950426279}"/>
    <cellStyle name="20% - Accent3 3" xfId="406" xr:uid="{00000000-0005-0000-0000-0000A3000000}"/>
    <cellStyle name="20% - Accent3 3 2" xfId="407" xr:uid="{00000000-0005-0000-0000-0000A4000000}"/>
    <cellStyle name="20% - Accent3 3 3" xfId="408" xr:uid="{00000000-0005-0000-0000-0000A5000000}"/>
    <cellStyle name="20% - Accent3 3 4" xfId="409" xr:uid="{00000000-0005-0000-0000-0000A6000000}"/>
    <cellStyle name="20% - Accent3 3 5" xfId="410" xr:uid="{00000000-0005-0000-0000-0000A7000000}"/>
    <cellStyle name="20% - Accent3 3 6" xfId="411" xr:uid="{00000000-0005-0000-0000-0000A8000000}"/>
    <cellStyle name="20% - Accent3 4 2" xfId="412" xr:uid="{00000000-0005-0000-0000-0000A9000000}"/>
    <cellStyle name="20% - Accent3 4 3" xfId="413" xr:uid="{00000000-0005-0000-0000-0000AA000000}"/>
    <cellStyle name="20% - Accent3 4 4" xfId="414" xr:uid="{00000000-0005-0000-0000-0000AB000000}"/>
    <cellStyle name="20% - Accent3 4 5" xfId="415" xr:uid="{00000000-0005-0000-0000-0000AC000000}"/>
    <cellStyle name="20% - Accent3 4 6" xfId="416" xr:uid="{00000000-0005-0000-0000-0000AD000000}"/>
    <cellStyle name="20% - Accent3 5 2" xfId="417" xr:uid="{00000000-0005-0000-0000-0000AE000000}"/>
    <cellStyle name="20% - Accent3 5 3" xfId="418" xr:uid="{00000000-0005-0000-0000-0000AF000000}"/>
    <cellStyle name="20% - Accent3 5 4" xfId="419" xr:uid="{00000000-0005-0000-0000-0000B0000000}"/>
    <cellStyle name="20% - Accent3 5 5" xfId="420" xr:uid="{00000000-0005-0000-0000-0000B1000000}"/>
    <cellStyle name="20% - Accent3 5 6" xfId="421" xr:uid="{00000000-0005-0000-0000-0000B2000000}"/>
    <cellStyle name="20% - Accent3 6 2" xfId="422" xr:uid="{00000000-0005-0000-0000-0000B3000000}"/>
    <cellStyle name="20% - Accent3 6 3" xfId="423" xr:uid="{00000000-0005-0000-0000-0000B4000000}"/>
    <cellStyle name="20% - Accent3 6 4" xfId="424" xr:uid="{00000000-0005-0000-0000-0000B5000000}"/>
    <cellStyle name="20% - Accent3 6 5" xfId="425" xr:uid="{00000000-0005-0000-0000-0000B6000000}"/>
    <cellStyle name="20% - Accent3 6 6" xfId="426" xr:uid="{00000000-0005-0000-0000-0000B7000000}"/>
    <cellStyle name="20% - Accent3 7 2" xfId="427" xr:uid="{00000000-0005-0000-0000-0000B8000000}"/>
    <cellStyle name="20% - Accent3 7 3" xfId="428" xr:uid="{00000000-0005-0000-0000-0000B9000000}"/>
    <cellStyle name="20% - Accent3 7 4" xfId="429" xr:uid="{00000000-0005-0000-0000-0000BA000000}"/>
    <cellStyle name="20% - Accent3 7 5" xfId="430" xr:uid="{00000000-0005-0000-0000-0000BB000000}"/>
    <cellStyle name="20% - Accent3 7 6" xfId="431" xr:uid="{00000000-0005-0000-0000-0000BC000000}"/>
    <cellStyle name="20% - Accent3 8 2" xfId="432" xr:uid="{00000000-0005-0000-0000-0000BD000000}"/>
    <cellStyle name="20% - Accent3 8 3" xfId="433" xr:uid="{00000000-0005-0000-0000-0000BE000000}"/>
    <cellStyle name="20% - Accent3 8 4" xfId="434" xr:uid="{00000000-0005-0000-0000-0000BF000000}"/>
    <cellStyle name="20% - Accent3 8 5" xfId="435" xr:uid="{00000000-0005-0000-0000-0000C0000000}"/>
    <cellStyle name="20% - Accent3 8 6" xfId="436" xr:uid="{00000000-0005-0000-0000-0000C1000000}"/>
    <cellStyle name="20% - Accent3 9 2" xfId="437" xr:uid="{00000000-0005-0000-0000-0000C2000000}"/>
    <cellStyle name="20% - Accent3 9 3" xfId="438" xr:uid="{00000000-0005-0000-0000-0000C3000000}"/>
    <cellStyle name="20% - Accent3 9 4" xfId="439" xr:uid="{00000000-0005-0000-0000-0000C4000000}"/>
    <cellStyle name="20% - Accent3 9 5" xfId="440" xr:uid="{00000000-0005-0000-0000-0000C5000000}"/>
    <cellStyle name="20% - Accent3 9 6" xfId="441" xr:uid="{00000000-0005-0000-0000-0000C6000000}"/>
    <cellStyle name="20% - Accent4 10 2" xfId="442" xr:uid="{00000000-0005-0000-0000-0000C7000000}"/>
    <cellStyle name="20% - Accent4 10 3" xfId="443" xr:uid="{00000000-0005-0000-0000-0000C8000000}"/>
    <cellStyle name="20% - Accent4 10 4" xfId="444" xr:uid="{00000000-0005-0000-0000-0000C9000000}"/>
    <cellStyle name="20% - Accent4 10 5" xfId="445" xr:uid="{00000000-0005-0000-0000-0000CA000000}"/>
    <cellStyle name="20% - Accent4 10 6" xfId="446" xr:uid="{00000000-0005-0000-0000-0000CB000000}"/>
    <cellStyle name="20% - Accent4 11 2" xfId="447" xr:uid="{00000000-0005-0000-0000-0000CC000000}"/>
    <cellStyle name="20% - Accent4 11 3" xfId="448" xr:uid="{00000000-0005-0000-0000-0000CD000000}"/>
    <cellStyle name="20% - Accent4 11 4" xfId="449" xr:uid="{00000000-0005-0000-0000-0000CE000000}"/>
    <cellStyle name="20% - Accent4 11 5" xfId="450" xr:uid="{00000000-0005-0000-0000-0000CF000000}"/>
    <cellStyle name="20% - Accent4 11 6" xfId="451" xr:uid="{00000000-0005-0000-0000-0000D0000000}"/>
    <cellStyle name="20% - Accent4 2" xfId="452" xr:uid="{00000000-0005-0000-0000-0000D1000000}"/>
    <cellStyle name="20% - Accent4 2 2" xfId="453" xr:uid="{00000000-0005-0000-0000-0000D2000000}"/>
    <cellStyle name="20% - Accent4 2 3" xfId="454" xr:uid="{00000000-0005-0000-0000-0000D3000000}"/>
    <cellStyle name="20% - Accent4 2 4" xfId="455" xr:uid="{00000000-0005-0000-0000-0000D4000000}"/>
    <cellStyle name="20% - Accent4 2 5" xfId="456" xr:uid="{00000000-0005-0000-0000-0000D5000000}"/>
    <cellStyle name="20% - Accent4 2 6" xfId="457" xr:uid="{00000000-0005-0000-0000-0000D6000000}"/>
    <cellStyle name="20% - Accent4 2 7" xfId="5174" xr:uid="{1D2B1BF7-9A5C-4031-8C2F-41B985651834}"/>
    <cellStyle name="20% - Accent4 3" xfId="458" xr:uid="{00000000-0005-0000-0000-0000D7000000}"/>
    <cellStyle name="20% - Accent4 3 2" xfId="459" xr:uid="{00000000-0005-0000-0000-0000D8000000}"/>
    <cellStyle name="20% - Accent4 3 3" xfId="460" xr:uid="{00000000-0005-0000-0000-0000D9000000}"/>
    <cellStyle name="20% - Accent4 3 4" xfId="461" xr:uid="{00000000-0005-0000-0000-0000DA000000}"/>
    <cellStyle name="20% - Accent4 3 5" xfId="462" xr:uid="{00000000-0005-0000-0000-0000DB000000}"/>
    <cellStyle name="20% - Accent4 3 6" xfId="463" xr:uid="{00000000-0005-0000-0000-0000DC000000}"/>
    <cellStyle name="20% - Accent4 4 2" xfId="464" xr:uid="{00000000-0005-0000-0000-0000DD000000}"/>
    <cellStyle name="20% - Accent4 4 3" xfId="465" xr:uid="{00000000-0005-0000-0000-0000DE000000}"/>
    <cellStyle name="20% - Accent4 4 4" xfId="466" xr:uid="{00000000-0005-0000-0000-0000DF000000}"/>
    <cellStyle name="20% - Accent4 4 5" xfId="467" xr:uid="{00000000-0005-0000-0000-0000E0000000}"/>
    <cellStyle name="20% - Accent4 4 6" xfId="468" xr:uid="{00000000-0005-0000-0000-0000E1000000}"/>
    <cellStyle name="20% - Accent4 5 2" xfId="469" xr:uid="{00000000-0005-0000-0000-0000E2000000}"/>
    <cellStyle name="20% - Accent4 5 3" xfId="470" xr:uid="{00000000-0005-0000-0000-0000E3000000}"/>
    <cellStyle name="20% - Accent4 5 4" xfId="471" xr:uid="{00000000-0005-0000-0000-0000E4000000}"/>
    <cellStyle name="20% - Accent4 5 5" xfId="472" xr:uid="{00000000-0005-0000-0000-0000E5000000}"/>
    <cellStyle name="20% - Accent4 5 6" xfId="473" xr:uid="{00000000-0005-0000-0000-0000E6000000}"/>
    <cellStyle name="20% - Accent4 6 2" xfId="474" xr:uid="{00000000-0005-0000-0000-0000E7000000}"/>
    <cellStyle name="20% - Accent4 6 3" xfId="475" xr:uid="{00000000-0005-0000-0000-0000E8000000}"/>
    <cellStyle name="20% - Accent4 6 4" xfId="476" xr:uid="{00000000-0005-0000-0000-0000E9000000}"/>
    <cellStyle name="20% - Accent4 6 5" xfId="477" xr:uid="{00000000-0005-0000-0000-0000EA000000}"/>
    <cellStyle name="20% - Accent4 6 6" xfId="478" xr:uid="{00000000-0005-0000-0000-0000EB000000}"/>
    <cellStyle name="20% - Accent4 7 2" xfId="479" xr:uid="{00000000-0005-0000-0000-0000EC000000}"/>
    <cellStyle name="20% - Accent4 7 3" xfId="480" xr:uid="{00000000-0005-0000-0000-0000ED000000}"/>
    <cellStyle name="20% - Accent4 7 4" xfId="481" xr:uid="{00000000-0005-0000-0000-0000EE000000}"/>
    <cellStyle name="20% - Accent4 7 5" xfId="482" xr:uid="{00000000-0005-0000-0000-0000EF000000}"/>
    <cellStyle name="20% - Accent4 7 6" xfId="483" xr:uid="{00000000-0005-0000-0000-0000F0000000}"/>
    <cellStyle name="20% - Accent4 8 2" xfId="484" xr:uid="{00000000-0005-0000-0000-0000F1000000}"/>
    <cellStyle name="20% - Accent4 8 3" xfId="485" xr:uid="{00000000-0005-0000-0000-0000F2000000}"/>
    <cellStyle name="20% - Accent4 8 4" xfId="486" xr:uid="{00000000-0005-0000-0000-0000F3000000}"/>
    <cellStyle name="20% - Accent4 8 5" xfId="487" xr:uid="{00000000-0005-0000-0000-0000F4000000}"/>
    <cellStyle name="20% - Accent4 8 6" xfId="488" xr:uid="{00000000-0005-0000-0000-0000F5000000}"/>
    <cellStyle name="20% - Accent4 9 2" xfId="489" xr:uid="{00000000-0005-0000-0000-0000F6000000}"/>
    <cellStyle name="20% - Accent4 9 3" xfId="490" xr:uid="{00000000-0005-0000-0000-0000F7000000}"/>
    <cellStyle name="20% - Accent4 9 4" xfId="491" xr:uid="{00000000-0005-0000-0000-0000F8000000}"/>
    <cellStyle name="20% - Accent4 9 5" xfId="492" xr:uid="{00000000-0005-0000-0000-0000F9000000}"/>
    <cellStyle name="20% - Accent4 9 6" xfId="493" xr:uid="{00000000-0005-0000-0000-0000FA000000}"/>
    <cellStyle name="20% - Accent5 10 2" xfId="494" xr:uid="{00000000-0005-0000-0000-0000FB000000}"/>
    <cellStyle name="20% - Accent5 10 3" xfId="495" xr:uid="{00000000-0005-0000-0000-0000FC000000}"/>
    <cellStyle name="20% - Accent5 10 4" xfId="496" xr:uid="{00000000-0005-0000-0000-0000FD000000}"/>
    <cellStyle name="20% - Accent5 10 5" xfId="497" xr:uid="{00000000-0005-0000-0000-0000FE000000}"/>
    <cellStyle name="20% - Accent5 10 6" xfId="498" xr:uid="{00000000-0005-0000-0000-0000FF000000}"/>
    <cellStyle name="20% - Accent5 11 2" xfId="499" xr:uid="{00000000-0005-0000-0000-000000010000}"/>
    <cellStyle name="20% - Accent5 11 3" xfId="500" xr:uid="{00000000-0005-0000-0000-000001010000}"/>
    <cellStyle name="20% - Accent5 11 4" xfId="501" xr:uid="{00000000-0005-0000-0000-000002010000}"/>
    <cellStyle name="20% - Accent5 11 5" xfId="502" xr:uid="{00000000-0005-0000-0000-000003010000}"/>
    <cellStyle name="20% - Accent5 11 6" xfId="503" xr:uid="{00000000-0005-0000-0000-000004010000}"/>
    <cellStyle name="20% - Accent5 2" xfId="504" xr:uid="{00000000-0005-0000-0000-000005010000}"/>
    <cellStyle name="20% - Accent5 2 2" xfId="505" xr:uid="{00000000-0005-0000-0000-000006010000}"/>
    <cellStyle name="20% - Accent5 2 3" xfId="506" xr:uid="{00000000-0005-0000-0000-000007010000}"/>
    <cellStyle name="20% - Accent5 2 4" xfId="507" xr:uid="{00000000-0005-0000-0000-000008010000}"/>
    <cellStyle name="20% - Accent5 2 5" xfId="508" xr:uid="{00000000-0005-0000-0000-000009010000}"/>
    <cellStyle name="20% - Accent5 2 6" xfId="509" xr:uid="{00000000-0005-0000-0000-00000A010000}"/>
    <cellStyle name="20% - Accent5 2 7" xfId="5380" xr:uid="{7D36CA5F-AEBA-4D77-97C4-04826CC9EBF7}"/>
    <cellStyle name="20% - Accent5 3" xfId="510" xr:uid="{00000000-0005-0000-0000-00000B010000}"/>
    <cellStyle name="20% - Accent5 3 2" xfId="511" xr:uid="{00000000-0005-0000-0000-00000C010000}"/>
    <cellStyle name="20% - Accent5 3 3" xfId="512" xr:uid="{00000000-0005-0000-0000-00000D010000}"/>
    <cellStyle name="20% - Accent5 3 4" xfId="513" xr:uid="{00000000-0005-0000-0000-00000E010000}"/>
    <cellStyle name="20% - Accent5 3 5" xfId="514" xr:uid="{00000000-0005-0000-0000-00000F010000}"/>
    <cellStyle name="20% - Accent5 3 6" xfId="515" xr:uid="{00000000-0005-0000-0000-000010010000}"/>
    <cellStyle name="20% - Accent5 4 2" xfId="516" xr:uid="{00000000-0005-0000-0000-000011010000}"/>
    <cellStyle name="20% - Accent5 4 3" xfId="517" xr:uid="{00000000-0005-0000-0000-000012010000}"/>
    <cellStyle name="20% - Accent5 4 4" xfId="518" xr:uid="{00000000-0005-0000-0000-000013010000}"/>
    <cellStyle name="20% - Accent5 4 5" xfId="519" xr:uid="{00000000-0005-0000-0000-000014010000}"/>
    <cellStyle name="20% - Accent5 4 6" xfId="520" xr:uid="{00000000-0005-0000-0000-000015010000}"/>
    <cellStyle name="20% - Accent5 5 2" xfId="521" xr:uid="{00000000-0005-0000-0000-000016010000}"/>
    <cellStyle name="20% - Accent5 5 3" xfId="522" xr:uid="{00000000-0005-0000-0000-000017010000}"/>
    <cellStyle name="20% - Accent5 5 4" xfId="523" xr:uid="{00000000-0005-0000-0000-000018010000}"/>
    <cellStyle name="20% - Accent5 5 5" xfId="524" xr:uid="{00000000-0005-0000-0000-000019010000}"/>
    <cellStyle name="20% - Accent5 5 6" xfId="525" xr:uid="{00000000-0005-0000-0000-00001A010000}"/>
    <cellStyle name="20% - Accent5 6 2" xfId="526" xr:uid="{00000000-0005-0000-0000-00001B010000}"/>
    <cellStyle name="20% - Accent5 6 3" xfId="527" xr:uid="{00000000-0005-0000-0000-00001C010000}"/>
    <cellStyle name="20% - Accent5 6 4" xfId="528" xr:uid="{00000000-0005-0000-0000-00001D010000}"/>
    <cellStyle name="20% - Accent5 6 5" xfId="529" xr:uid="{00000000-0005-0000-0000-00001E010000}"/>
    <cellStyle name="20% - Accent5 6 6" xfId="530" xr:uid="{00000000-0005-0000-0000-00001F010000}"/>
    <cellStyle name="20% - Accent5 7 2" xfId="531" xr:uid="{00000000-0005-0000-0000-000020010000}"/>
    <cellStyle name="20% - Accent5 7 3" xfId="532" xr:uid="{00000000-0005-0000-0000-000021010000}"/>
    <cellStyle name="20% - Accent5 7 4" xfId="533" xr:uid="{00000000-0005-0000-0000-000022010000}"/>
    <cellStyle name="20% - Accent5 7 5" xfId="534" xr:uid="{00000000-0005-0000-0000-000023010000}"/>
    <cellStyle name="20% - Accent5 7 6" xfId="535" xr:uid="{00000000-0005-0000-0000-000024010000}"/>
    <cellStyle name="20% - Accent5 8 2" xfId="536" xr:uid="{00000000-0005-0000-0000-000025010000}"/>
    <cellStyle name="20% - Accent5 8 3" xfId="537" xr:uid="{00000000-0005-0000-0000-000026010000}"/>
    <cellStyle name="20% - Accent5 8 4" xfId="538" xr:uid="{00000000-0005-0000-0000-000027010000}"/>
    <cellStyle name="20% - Accent5 8 5" xfId="539" xr:uid="{00000000-0005-0000-0000-000028010000}"/>
    <cellStyle name="20% - Accent5 8 6" xfId="540" xr:uid="{00000000-0005-0000-0000-000029010000}"/>
    <cellStyle name="20% - Accent5 9 2" xfId="541" xr:uid="{00000000-0005-0000-0000-00002A010000}"/>
    <cellStyle name="20% - Accent5 9 3" xfId="542" xr:uid="{00000000-0005-0000-0000-00002B010000}"/>
    <cellStyle name="20% - Accent5 9 4" xfId="543" xr:uid="{00000000-0005-0000-0000-00002C010000}"/>
    <cellStyle name="20% - Accent5 9 5" xfId="544" xr:uid="{00000000-0005-0000-0000-00002D010000}"/>
    <cellStyle name="20% - Accent5 9 6" xfId="545" xr:uid="{00000000-0005-0000-0000-00002E010000}"/>
    <cellStyle name="20% - Accent6 10 2" xfId="546" xr:uid="{00000000-0005-0000-0000-00002F010000}"/>
    <cellStyle name="20% - Accent6 10 3" xfId="547" xr:uid="{00000000-0005-0000-0000-000030010000}"/>
    <cellStyle name="20% - Accent6 10 4" xfId="548" xr:uid="{00000000-0005-0000-0000-000031010000}"/>
    <cellStyle name="20% - Accent6 10 5" xfId="549" xr:uid="{00000000-0005-0000-0000-000032010000}"/>
    <cellStyle name="20% - Accent6 10 6" xfId="550" xr:uid="{00000000-0005-0000-0000-000033010000}"/>
    <cellStyle name="20% - Accent6 11 2" xfId="551" xr:uid="{00000000-0005-0000-0000-000034010000}"/>
    <cellStyle name="20% - Accent6 11 3" xfId="552" xr:uid="{00000000-0005-0000-0000-000035010000}"/>
    <cellStyle name="20% - Accent6 11 4" xfId="553" xr:uid="{00000000-0005-0000-0000-000036010000}"/>
    <cellStyle name="20% - Accent6 11 5" xfId="554" xr:uid="{00000000-0005-0000-0000-000037010000}"/>
    <cellStyle name="20% - Accent6 11 6" xfId="555" xr:uid="{00000000-0005-0000-0000-000038010000}"/>
    <cellStyle name="20% - Accent6 2" xfId="556" xr:uid="{00000000-0005-0000-0000-000039010000}"/>
    <cellStyle name="20% - Accent6 2 2" xfId="557" xr:uid="{00000000-0005-0000-0000-00003A010000}"/>
    <cellStyle name="20% - Accent6 2 3" xfId="558" xr:uid="{00000000-0005-0000-0000-00003B010000}"/>
    <cellStyle name="20% - Accent6 2 4" xfId="559" xr:uid="{00000000-0005-0000-0000-00003C010000}"/>
    <cellStyle name="20% - Accent6 2 5" xfId="560" xr:uid="{00000000-0005-0000-0000-00003D010000}"/>
    <cellStyle name="20% - Accent6 2 6" xfId="561" xr:uid="{00000000-0005-0000-0000-00003E010000}"/>
    <cellStyle name="20% - Accent6 2 7" xfId="5173" xr:uid="{A33A79C3-1438-47B9-B153-4F243646DC7B}"/>
    <cellStyle name="20% - Accent6 3" xfId="562" xr:uid="{00000000-0005-0000-0000-00003F010000}"/>
    <cellStyle name="20% - Accent6 3 2" xfId="563" xr:uid="{00000000-0005-0000-0000-000040010000}"/>
    <cellStyle name="20% - Accent6 3 3" xfId="564" xr:uid="{00000000-0005-0000-0000-000041010000}"/>
    <cellStyle name="20% - Accent6 3 4" xfId="565" xr:uid="{00000000-0005-0000-0000-000042010000}"/>
    <cellStyle name="20% - Accent6 3 5" xfId="566" xr:uid="{00000000-0005-0000-0000-000043010000}"/>
    <cellStyle name="20% - Accent6 3 6" xfId="567" xr:uid="{00000000-0005-0000-0000-000044010000}"/>
    <cellStyle name="20% - Accent6 4 2" xfId="568" xr:uid="{00000000-0005-0000-0000-000045010000}"/>
    <cellStyle name="20% - Accent6 4 3" xfId="569" xr:uid="{00000000-0005-0000-0000-000046010000}"/>
    <cellStyle name="20% - Accent6 4 4" xfId="570" xr:uid="{00000000-0005-0000-0000-000047010000}"/>
    <cellStyle name="20% - Accent6 4 5" xfId="571" xr:uid="{00000000-0005-0000-0000-000048010000}"/>
    <cellStyle name="20% - Accent6 4 6" xfId="572" xr:uid="{00000000-0005-0000-0000-000049010000}"/>
    <cellStyle name="20% - Accent6 5 2" xfId="573" xr:uid="{00000000-0005-0000-0000-00004A010000}"/>
    <cellStyle name="20% - Accent6 5 3" xfId="574" xr:uid="{00000000-0005-0000-0000-00004B010000}"/>
    <cellStyle name="20% - Accent6 5 4" xfId="575" xr:uid="{00000000-0005-0000-0000-00004C010000}"/>
    <cellStyle name="20% - Accent6 5 5" xfId="576" xr:uid="{00000000-0005-0000-0000-00004D010000}"/>
    <cellStyle name="20% - Accent6 5 6" xfId="577" xr:uid="{00000000-0005-0000-0000-00004E010000}"/>
    <cellStyle name="20% - Accent6 6 2" xfId="578" xr:uid="{00000000-0005-0000-0000-00004F010000}"/>
    <cellStyle name="20% - Accent6 6 3" xfId="579" xr:uid="{00000000-0005-0000-0000-000050010000}"/>
    <cellStyle name="20% - Accent6 6 4" xfId="580" xr:uid="{00000000-0005-0000-0000-000051010000}"/>
    <cellStyle name="20% - Accent6 6 5" xfId="581" xr:uid="{00000000-0005-0000-0000-000052010000}"/>
    <cellStyle name="20% - Accent6 6 6" xfId="582" xr:uid="{00000000-0005-0000-0000-000053010000}"/>
    <cellStyle name="20% - Accent6 7 2" xfId="583" xr:uid="{00000000-0005-0000-0000-000054010000}"/>
    <cellStyle name="20% - Accent6 7 3" xfId="584" xr:uid="{00000000-0005-0000-0000-000055010000}"/>
    <cellStyle name="20% - Accent6 7 4" xfId="585" xr:uid="{00000000-0005-0000-0000-000056010000}"/>
    <cellStyle name="20% - Accent6 7 5" xfId="586" xr:uid="{00000000-0005-0000-0000-000057010000}"/>
    <cellStyle name="20% - Accent6 7 6" xfId="587" xr:uid="{00000000-0005-0000-0000-000058010000}"/>
    <cellStyle name="20% - Accent6 8 2" xfId="588" xr:uid="{00000000-0005-0000-0000-000059010000}"/>
    <cellStyle name="20% - Accent6 8 3" xfId="589" xr:uid="{00000000-0005-0000-0000-00005A010000}"/>
    <cellStyle name="20% - Accent6 8 4" xfId="590" xr:uid="{00000000-0005-0000-0000-00005B010000}"/>
    <cellStyle name="20% - Accent6 8 5" xfId="591" xr:uid="{00000000-0005-0000-0000-00005C010000}"/>
    <cellStyle name="20% - Accent6 8 6" xfId="592" xr:uid="{00000000-0005-0000-0000-00005D010000}"/>
    <cellStyle name="20% - Accent6 9 2" xfId="593" xr:uid="{00000000-0005-0000-0000-00005E010000}"/>
    <cellStyle name="20% - Accent6 9 3" xfId="594" xr:uid="{00000000-0005-0000-0000-00005F010000}"/>
    <cellStyle name="20% - Accent6 9 4" xfId="595" xr:uid="{00000000-0005-0000-0000-000060010000}"/>
    <cellStyle name="20% - Accent6 9 5" xfId="596" xr:uid="{00000000-0005-0000-0000-000061010000}"/>
    <cellStyle name="20% - Accent6 9 6" xfId="597" xr:uid="{00000000-0005-0000-0000-000062010000}"/>
    <cellStyle name="3" xfId="43" xr:uid="{00000000-0005-0000-0000-000063010000}"/>
    <cellStyle name="3 2" xfId="6358" xr:uid="{CA45DFE6-75AE-4F8A-81E7-286B7905E3FD}"/>
    <cellStyle name="3 3" xfId="6795" xr:uid="{24901B7E-3440-40F7-ABBC-AF4985DFB88D}"/>
    <cellStyle name="4" xfId="45" xr:uid="{00000000-0005-0000-0000-000064010000}"/>
    <cellStyle name="4 2" xfId="6359" xr:uid="{A132DA75-0FE0-429B-AFB0-3C7CC9BB0456}"/>
    <cellStyle name="4 3" xfId="6796" xr:uid="{7A7BFBEB-601C-49A3-9D99-D62039DAB8E6}"/>
    <cellStyle name="40% - Accent1 10 2" xfId="598" xr:uid="{00000000-0005-0000-0000-000065010000}"/>
    <cellStyle name="40% - Accent1 10 3" xfId="599" xr:uid="{00000000-0005-0000-0000-000066010000}"/>
    <cellStyle name="40% - Accent1 10 4" xfId="600" xr:uid="{00000000-0005-0000-0000-000067010000}"/>
    <cellStyle name="40% - Accent1 10 5" xfId="601" xr:uid="{00000000-0005-0000-0000-000068010000}"/>
    <cellStyle name="40% - Accent1 10 6" xfId="602" xr:uid="{00000000-0005-0000-0000-000069010000}"/>
    <cellStyle name="40% - Accent1 11 2" xfId="603" xr:uid="{00000000-0005-0000-0000-00006A010000}"/>
    <cellStyle name="40% - Accent1 11 3" xfId="604" xr:uid="{00000000-0005-0000-0000-00006B010000}"/>
    <cellStyle name="40% - Accent1 11 4" xfId="605" xr:uid="{00000000-0005-0000-0000-00006C010000}"/>
    <cellStyle name="40% - Accent1 11 5" xfId="606" xr:uid="{00000000-0005-0000-0000-00006D010000}"/>
    <cellStyle name="40% - Accent1 11 6" xfId="607" xr:uid="{00000000-0005-0000-0000-00006E010000}"/>
    <cellStyle name="40% - Accent1 2" xfId="608" xr:uid="{00000000-0005-0000-0000-00006F010000}"/>
    <cellStyle name="40% - Accent1 2 2" xfId="609" xr:uid="{00000000-0005-0000-0000-000070010000}"/>
    <cellStyle name="40% - Accent1 2 3" xfId="610" xr:uid="{00000000-0005-0000-0000-000071010000}"/>
    <cellStyle name="40% - Accent1 2 4" xfId="611" xr:uid="{00000000-0005-0000-0000-000072010000}"/>
    <cellStyle name="40% - Accent1 2 5" xfId="612" xr:uid="{00000000-0005-0000-0000-000073010000}"/>
    <cellStyle name="40% - Accent1 2 6" xfId="613" xr:uid="{00000000-0005-0000-0000-000074010000}"/>
    <cellStyle name="40% - Accent1 2 7" xfId="5379" xr:uid="{67644098-CDBF-41FB-8233-F3916B8BB9C2}"/>
    <cellStyle name="40% - Accent1 3" xfId="614" xr:uid="{00000000-0005-0000-0000-000075010000}"/>
    <cellStyle name="40% - Accent1 3 2" xfId="615" xr:uid="{00000000-0005-0000-0000-000076010000}"/>
    <cellStyle name="40% - Accent1 3 3" xfId="616" xr:uid="{00000000-0005-0000-0000-000077010000}"/>
    <cellStyle name="40% - Accent1 3 4" xfId="617" xr:uid="{00000000-0005-0000-0000-000078010000}"/>
    <cellStyle name="40% - Accent1 3 5" xfId="618" xr:uid="{00000000-0005-0000-0000-000079010000}"/>
    <cellStyle name="40% - Accent1 3 6" xfId="619" xr:uid="{00000000-0005-0000-0000-00007A010000}"/>
    <cellStyle name="40% - Accent1 4 2" xfId="620" xr:uid="{00000000-0005-0000-0000-00007B010000}"/>
    <cellStyle name="40% - Accent1 4 3" xfId="621" xr:uid="{00000000-0005-0000-0000-00007C010000}"/>
    <cellStyle name="40% - Accent1 4 4" xfId="622" xr:uid="{00000000-0005-0000-0000-00007D010000}"/>
    <cellStyle name="40% - Accent1 4 5" xfId="623" xr:uid="{00000000-0005-0000-0000-00007E010000}"/>
    <cellStyle name="40% - Accent1 4 6" xfId="624" xr:uid="{00000000-0005-0000-0000-00007F010000}"/>
    <cellStyle name="40% - Accent1 5 2" xfId="625" xr:uid="{00000000-0005-0000-0000-000080010000}"/>
    <cellStyle name="40% - Accent1 5 3" xfId="626" xr:uid="{00000000-0005-0000-0000-000081010000}"/>
    <cellStyle name="40% - Accent1 5 4" xfId="627" xr:uid="{00000000-0005-0000-0000-000082010000}"/>
    <cellStyle name="40% - Accent1 5 5" xfId="628" xr:uid="{00000000-0005-0000-0000-000083010000}"/>
    <cellStyle name="40% - Accent1 5 6" xfId="629" xr:uid="{00000000-0005-0000-0000-000084010000}"/>
    <cellStyle name="40% - Accent1 6 2" xfId="630" xr:uid="{00000000-0005-0000-0000-000085010000}"/>
    <cellStyle name="40% - Accent1 6 3" xfId="631" xr:uid="{00000000-0005-0000-0000-000086010000}"/>
    <cellStyle name="40% - Accent1 6 4" xfId="632" xr:uid="{00000000-0005-0000-0000-000087010000}"/>
    <cellStyle name="40% - Accent1 6 5" xfId="633" xr:uid="{00000000-0005-0000-0000-000088010000}"/>
    <cellStyle name="40% - Accent1 6 6" xfId="634" xr:uid="{00000000-0005-0000-0000-000089010000}"/>
    <cellStyle name="40% - Accent1 7 2" xfId="635" xr:uid="{00000000-0005-0000-0000-00008A010000}"/>
    <cellStyle name="40% - Accent1 7 3" xfId="636" xr:uid="{00000000-0005-0000-0000-00008B010000}"/>
    <cellStyle name="40% - Accent1 7 4" xfId="637" xr:uid="{00000000-0005-0000-0000-00008C010000}"/>
    <cellStyle name="40% - Accent1 7 5" xfId="638" xr:uid="{00000000-0005-0000-0000-00008D010000}"/>
    <cellStyle name="40% - Accent1 7 6" xfId="639" xr:uid="{00000000-0005-0000-0000-00008E010000}"/>
    <cellStyle name="40% - Accent1 8 2" xfId="640" xr:uid="{00000000-0005-0000-0000-00008F010000}"/>
    <cellStyle name="40% - Accent1 8 3" xfId="641" xr:uid="{00000000-0005-0000-0000-000090010000}"/>
    <cellStyle name="40% - Accent1 8 4" xfId="642" xr:uid="{00000000-0005-0000-0000-000091010000}"/>
    <cellStyle name="40% - Accent1 8 5" xfId="643" xr:uid="{00000000-0005-0000-0000-000092010000}"/>
    <cellStyle name="40% - Accent1 8 6" xfId="644" xr:uid="{00000000-0005-0000-0000-000093010000}"/>
    <cellStyle name="40% - Accent1 9 2" xfId="645" xr:uid="{00000000-0005-0000-0000-000094010000}"/>
    <cellStyle name="40% - Accent1 9 3" xfId="646" xr:uid="{00000000-0005-0000-0000-000095010000}"/>
    <cellStyle name="40% - Accent1 9 4" xfId="647" xr:uid="{00000000-0005-0000-0000-000096010000}"/>
    <cellStyle name="40% - Accent1 9 5" xfId="648" xr:uid="{00000000-0005-0000-0000-000097010000}"/>
    <cellStyle name="40% - Accent1 9 6" xfId="649" xr:uid="{00000000-0005-0000-0000-000098010000}"/>
    <cellStyle name="40% - Accent2 10 2" xfId="650" xr:uid="{00000000-0005-0000-0000-000099010000}"/>
    <cellStyle name="40% - Accent2 10 3" xfId="651" xr:uid="{00000000-0005-0000-0000-00009A010000}"/>
    <cellStyle name="40% - Accent2 10 4" xfId="652" xr:uid="{00000000-0005-0000-0000-00009B010000}"/>
    <cellStyle name="40% - Accent2 10 5" xfId="653" xr:uid="{00000000-0005-0000-0000-00009C010000}"/>
    <cellStyle name="40% - Accent2 10 6" xfId="654" xr:uid="{00000000-0005-0000-0000-00009D010000}"/>
    <cellStyle name="40% - Accent2 11 2" xfId="655" xr:uid="{00000000-0005-0000-0000-00009E010000}"/>
    <cellStyle name="40% - Accent2 11 3" xfId="656" xr:uid="{00000000-0005-0000-0000-00009F010000}"/>
    <cellStyle name="40% - Accent2 11 4" xfId="657" xr:uid="{00000000-0005-0000-0000-0000A0010000}"/>
    <cellStyle name="40% - Accent2 11 5" xfId="658" xr:uid="{00000000-0005-0000-0000-0000A1010000}"/>
    <cellStyle name="40% - Accent2 11 6" xfId="659" xr:uid="{00000000-0005-0000-0000-0000A2010000}"/>
    <cellStyle name="40% - Accent2 2" xfId="660" xr:uid="{00000000-0005-0000-0000-0000A3010000}"/>
    <cellStyle name="40% - Accent2 2 2" xfId="661" xr:uid="{00000000-0005-0000-0000-0000A4010000}"/>
    <cellStyle name="40% - Accent2 2 3" xfId="662" xr:uid="{00000000-0005-0000-0000-0000A5010000}"/>
    <cellStyle name="40% - Accent2 2 4" xfId="663" xr:uid="{00000000-0005-0000-0000-0000A6010000}"/>
    <cellStyle name="40% - Accent2 2 5" xfId="664" xr:uid="{00000000-0005-0000-0000-0000A7010000}"/>
    <cellStyle name="40% - Accent2 2 6" xfId="665" xr:uid="{00000000-0005-0000-0000-0000A8010000}"/>
    <cellStyle name="40% - Accent2 2 7" xfId="5172" xr:uid="{4C6342C6-BE8E-4219-A12F-DA3207801EE7}"/>
    <cellStyle name="40% - Accent2 3" xfId="666" xr:uid="{00000000-0005-0000-0000-0000A9010000}"/>
    <cellStyle name="40% - Accent2 3 2" xfId="667" xr:uid="{00000000-0005-0000-0000-0000AA010000}"/>
    <cellStyle name="40% - Accent2 3 3" xfId="668" xr:uid="{00000000-0005-0000-0000-0000AB010000}"/>
    <cellStyle name="40% - Accent2 3 4" xfId="669" xr:uid="{00000000-0005-0000-0000-0000AC010000}"/>
    <cellStyle name="40% - Accent2 3 5" xfId="670" xr:uid="{00000000-0005-0000-0000-0000AD010000}"/>
    <cellStyle name="40% - Accent2 3 6" xfId="671" xr:uid="{00000000-0005-0000-0000-0000AE010000}"/>
    <cellStyle name="40% - Accent2 4 2" xfId="672" xr:uid="{00000000-0005-0000-0000-0000AF010000}"/>
    <cellStyle name="40% - Accent2 4 3" xfId="673" xr:uid="{00000000-0005-0000-0000-0000B0010000}"/>
    <cellStyle name="40% - Accent2 4 4" xfId="674" xr:uid="{00000000-0005-0000-0000-0000B1010000}"/>
    <cellStyle name="40% - Accent2 4 5" xfId="675" xr:uid="{00000000-0005-0000-0000-0000B2010000}"/>
    <cellStyle name="40% - Accent2 4 6" xfId="676" xr:uid="{00000000-0005-0000-0000-0000B3010000}"/>
    <cellStyle name="40% - Accent2 5 2" xfId="677" xr:uid="{00000000-0005-0000-0000-0000B4010000}"/>
    <cellStyle name="40% - Accent2 5 3" xfId="678" xr:uid="{00000000-0005-0000-0000-0000B5010000}"/>
    <cellStyle name="40% - Accent2 5 4" xfId="679" xr:uid="{00000000-0005-0000-0000-0000B6010000}"/>
    <cellStyle name="40% - Accent2 5 5" xfId="680" xr:uid="{00000000-0005-0000-0000-0000B7010000}"/>
    <cellStyle name="40% - Accent2 5 6" xfId="681" xr:uid="{00000000-0005-0000-0000-0000B8010000}"/>
    <cellStyle name="40% - Accent2 6 2" xfId="682" xr:uid="{00000000-0005-0000-0000-0000B9010000}"/>
    <cellStyle name="40% - Accent2 6 3" xfId="683" xr:uid="{00000000-0005-0000-0000-0000BA010000}"/>
    <cellStyle name="40% - Accent2 6 4" xfId="684" xr:uid="{00000000-0005-0000-0000-0000BB010000}"/>
    <cellStyle name="40% - Accent2 6 5" xfId="685" xr:uid="{00000000-0005-0000-0000-0000BC010000}"/>
    <cellStyle name="40% - Accent2 6 6" xfId="686" xr:uid="{00000000-0005-0000-0000-0000BD010000}"/>
    <cellStyle name="40% - Accent2 7 2" xfId="687" xr:uid="{00000000-0005-0000-0000-0000BE010000}"/>
    <cellStyle name="40% - Accent2 7 3" xfId="688" xr:uid="{00000000-0005-0000-0000-0000BF010000}"/>
    <cellStyle name="40% - Accent2 7 4" xfId="689" xr:uid="{00000000-0005-0000-0000-0000C0010000}"/>
    <cellStyle name="40% - Accent2 7 5" xfId="690" xr:uid="{00000000-0005-0000-0000-0000C1010000}"/>
    <cellStyle name="40% - Accent2 7 6" xfId="691" xr:uid="{00000000-0005-0000-0000-0000C2010000}"/>
    <cellStyle name="40% - Accent2 8 2" xfId="692" xr:uid="{00000000-0005-0000-0000-0000C3010000}"/>
    <cellStyle name="40% - Accent2 8 3" xfId="693" xr:uid="{00000000-0005-0000-0000-0000C4010000}"/>
    <cellStyle name="40% - Accent2 8 4" xfId="694" xr:uid="{00000000-0005-0000-0000-0000C5010000}"/>
    <cellStyle name="40% - Accent2 8 5" xfId="695" xr:uid="{00000000-0005-0000-0000-0000C6010000}"/>
    <cellStyle name="40% - Accent2 8 6" xfId="696" xr:uid="{00000000-0005-0000-0000-0000C7010000}"/>
    <cellStyle name="40% - Accent2 9 2" xfId="697" xr:uid="{00000000-0005-0000-0000-0000C8010000}"/>
    <cellStyle name="40% - Accent2 9 3" xfId="698" xr:uid="{00000000-0005-0000-0000-0000C9010000}"/>
    <cellStyle name="40% - Accent2 9 4" xfId="699" xr:uid="{00000000-0005-0000-0000-0000CA010000}"/>
    <cellStyle name="40% - Accent2 9 5" xfId="700" xr:uid="{00000000-0005-0000-0000-0000CB010000}"/>
    <cellStyle name="40% - Accent2 9 6" xfId="701" xr:uid="{00000000-0005-0000-0000-0000CC010000}"/>
    <cellStyle name="40% - Accent3 10 2" xfId="702" xr:uid="{00000000-0005-0000-0000-0000CD010000}"/>
    <cellStyle name="40% - Accent3 10 3" xfId="703" xr:uid="{00000000-0005-0000-0000-0000CE010000}"/>
    <cellStyle name="40% - Accent3 10 4" xfId="704" xr:uid="{00000000-0005-0000-0000-0000CF010000}"/>
    <cellStyle name="40% - Accent3 10 5" xfId="705" xr:uid="{00000000-0005-0000-0000-0000D0010000}"/>
    <cellStyle name="40% - Accent3 10 6" xfId="706" xr:uid="{00000000-0005-0000-0000-0000D1010000}"/>
    <cellStyle name="40% - Accent3 11 2" xfId="707" xr:uid="{00000000-0005-0000-0000-0000D2010000}"/>
    <cellStyle name="40% - Accent3 11 3" xfId="708" xr:uid="{00000000-0005-0000-0000-0000D3010000}"/>
    <cellStyle name="40% - Accent3 11 4" xfId="709" xr:uid="{00000000-0005-0000-0000-0000D4010000}"/>
    <cellStyle name="40% - Accent3 11 5" xfId="710" xr:uid="{00000000-0005-0000-0000-0000D5010000}"/>
    <cellStyle name="40% - Accent3 11 6" xfId="711" xr:uid="{00000000-0005-0000-0000-0000D6010000}"/>
    <cellStyle name="40% - Accent3 2" xfId="712" xr:uid="{00000000-0005-0000-0000-0000D7010000}"/>
    <cellStyle name="40% - Accent3 2 2" xfId="713" xr:uid="{00000000-0005-0000-0000-0000D8010000}"/>
    <cellStyle name="40% - Accent3 2 3" xfId="714" xr:uid="{00000000-0005-0000-0000-0000D9010000}"/>
    <cellStyle name="40% - Accent3 2 4" xfId="715" xr:uid="{00000000-0005-0000-0000-0000DA010000}"/>
    <cellStyle name="40% - Accent3 2 5" xfId="716" xr:uid="{00000000-0005-0000-0000-0000DB010000}"/>
    <cellStyle name="40% - Accent3 2 6" xfId="717" xr:uid="{00000000-0005-0000-0000-0000DC010000}"/>
    <cellStyle name="40% - Accent3 2 7" xfId="5378" xr:uid="{F7170D9B-AA90-4931-9E0C-EAE3970372F6}"/>
    <cellStyle name="40% - Accent3 3" xfId="718" xr:uid="{00000000-0005-0000-0000-0000DD010000}"/>
    <cellStyle name="40% - Accent3 3 2" xfId="719" xr:uid="{00000000-0005-0000-0000-0000DE010000}"/>
    <cellStyle name="40% - Accent3 3 3" xfId="720" xr:uid="{00000000-0005-0000-0000-0000DF010000}"/>
    <cellStyle name="40% - Accent3 3 4" xfId="721" xr:uid="{00000000-0005-0000-0000-0000E0010000}"/>
    <cellStyle name="40% - Accent3 3 5" xfId="722" xr:uid="{00000000-0005-0000-0000-0000E1010000}"/>
    <cellStyle name="40% - Accent3 3 6" xfId="723" xr:uid="{00000000-0005-0000-0000-0000E2010000}"/>
    <cellStyle name="40% - Accent3 4 2" xfId="724" xr:uid="{00000000-0005-0000-0000-0000E3010000}"/>
    <cellStyle name="40% - Accent3 4 3" xfId="725" xr:uid="{00000000-0005-0000-0000-0000E4010000}"/>
    <cellStyle name="40% - Accent3 4 4" xfId="726" xr:uid="{00000000-0005-0000-0000-0000E5010000}"/>
    <cellStyle name="40% - Accent3 4 5" xfId="727" xr:uid="{00000000-0005-0000-0000-0000E6010000}"/>
    <cellStyle name="40% - Accent3 4 6" xfId="728" xr:uid="{00000000-0005-0000-0000-0000E7010000}"/>
    <cellStyle name="40% - Accent3 5 2" xfId="729" xr:uid="{00000000-0005-0000-0000-0000E8010000}"/>
    <cellStyle name="40% - Accent3 5 3" xfId="730" xr:uid="{00000000-0005-0000-0000-0000E9010000}"/>
    <cellStyle name="40% - Accent3 5 4" xfId="731" xr:uid="{00000000-0005-0000-0000-0000EA010000}"/>
    <cellStyle name="40% - Accent3 5 5" xfId="732" xr:uid="{00000000-0005-0000-0000-0000EB010000}"/>
    <cellStyle name="40% - Accent3 5 6" xfId="733" xr:uid="{00000000-0005-0000-0000-0000EC010000}"/>
    <cellStyle name="40% - Accent3 6 2" xfId="734" xr:uid="{00000000-0005-0000-0000-0000ED010000}"/>
    <cellStyle name="40% - Accent3 6 3" xfId="735" xr:uid="{00000000-0005-0000-0000-0000EE010000}"/>
    <cellStyle name="40% - Accent3 6 4" xfId="736" xr:uid="{00000000-0005-0000-0000-0000EF010000}"/>
    <cellStyle name="40% - Accent3 6 5" xfId="737" xr:uid="{00000000-0005-0000-0000-0000F0010000}"/>
    <cellStyle name="40% - Accent3 6 6" xfId="738" xr:uid="{00000000-0005-0000-0000-0000F1010000}"/>
    <cellStyle name="40% - Accent3 7 2" xfId="739" xr:uid="{00000000-0005-0000-0000-0000F2010000}"/>
    <cellStyle name="40% - Accent3 7 3" xfId="740" xr:uid="{00000000-0005-0000-0000-0000F3010000}"/>
    <cellStyle name="40% - Accent3 7 4" xfId="741" xr:uid="{00000000-0005-0000-0000-0000F4010000}"/>
    <cellStyle name="40% - Accent3 7 5" xfId="742" xr:uid="{00000000-0005-0000-0000-0000F5010000}"/>
    <cellStyle name="40% - Accent3 7 6" xfId="743" xr:uid="{00000000-0005-0000-0000-0000F6010000}"/>
    <cellStyle name="40% - Accent3 8 2" xfId="744" xr:uid="{00000000-0005-0000-0000-0000F7010000}"/>
    <cellStyle name="40% - Accent3 8 3" xfId="745" xr:uid="{00000000-0005-0000-0000-0000F8010000}"/>
    <cellStyle name="40% - Accent3 8 4" xfId="746" xr:uid="{00000000-0005-0000-0000-0000F9010000}"/>
    <cellStyle name="40% - Accent3 8 5" xfId="747" xr:uid="{00000000-0005-0000-0000-0000FA010000}"/>
    <cellStyle name="40% - Accent3 8 6" xfId="748" xr:uid="{00000000-0005-0000-0000-0000FB010000}"/>
    <cellStyle name="40% - Accent3 9 2" xfId="749" xr:uid="{00000000-0005-0000-0000-0000FC010000}"/>
    <cellStyle name="40% - Accent3 9 3" xfId="750" xr:uid="{00000000-0005-0000-0000-0000FD010000}"/>
    <cellStyle name="40% - Accent3 9 4" xfId="751" xr:uid="{00000000-0005-0000-0000-0000FE010000}"/>
    <cellStyle name="40% - Accent3 9 5" xfId="752" xr:uid="{00000000-0005-0000-0000-0000FF010000}"/>
    <cellStyle name="40% - Accent3 9 6" xfId="753" xr:uid="{00000000-0005-0000-0000-000000020000}"/>
    <cellStyle name="40% - Accent4 10 2" xfId="754" xr:uid="{00000000-0005-0000-0000-000001020000}"/>
    <cellStyle name="40% - Accent4 10 3" xfId="755" xr:uid="{00000000-0005-0000-0000-000002020000}"/>
    <cellStyle name="40% - Accent4 10 4" xfId="756" xr:uid="{00000000-0005-0000-0000-000003020000}"/>
    <cellStyle name="40% - Accent4 10 5" xfId="757" xr:uid="{00000000-0005-0000-0000-000004020000}"/>
    <cellStyle name="40% - Accent4 10 6" xfId="758" xr:uid="{00000000-0005-0000-0000-000005020000}"/>
    <cellStyle name="40% - Accent4 11 2" xfId="759" xr:uid="{00000000-0005-0000-0000-000006020000}"/>
    <cellStyle name="40% - Accent4 11 3" xfId="760" xr:uid="{00000000-0005-0000-0000-000007020000}"/>
    <cellStyle name="40% - Accent4 11 4" xfId="761" xr:uid="{00000000-0005-0000-0000-000008020000}"/>
    <cellStyle name="40% - Accent4 11 5" xfId="762" xr:uid="{00000000-0005-0000-0000-000009020000}"/>
    <cellStyle name="40% - Accent4 11 6" xfId="763" xr:uid="{00000000-0005-0000-0000-00000A020000}"/>
    <cellStyle name="40% - Accent4 2" xfId="764" xr:uid="{00000000-0005-0000-0000-00000B020000}"/>
    <cellStyle name="40% - Accent4 2 2" xfId="765" xr:uid="{00000000-0005-0000-0000-00000C020000}"/>
    <cellStyle name="40% - Accent4 2 3" xfId="766" xr:uid="{00000000-0005-0000-0000-00000D020000}"/>
    <cellStyle name="40% - Accent4 2 4" xfId="767" xr:uid="{00000000-0005-0000-0000-00000E020000}"/>
    <cellStyle name="40% - Accent4 2 5" xfId="768" xr:uid="{00000000-0005-0000-0000-00000F020000}"/>
    <cellStyle name="40% - Accent4 2 6" xfId="769" xr:uid="{00000000-0005-0000-0000-000010020000}"/>
    <cellStyle name="40% - Accent4 2 7" xfId="5377" xr:uid="{63926958-9526-4741-9C3E-643B9289F889}"/>
    <cellStyle name="40% - Accent4 3" xfId="770" xr:uid="{00000000-0005-0000-0000-000011020000}"/>
    <cellStyle name="40% - Accent4 3 2" xfId="771" xr:uid="{00000000-0005-0000-0000-000012020000}"/>
    <cellStyle name="40% - Accent4 3 3" xfId="772" xr:uid="{00000000-0005-0000-0000-000013020000}"/>
    <cellStyle name="40% - Accent4 3 4" xfId="773" xr:uid="{00000000-0005-0000-0000-000014020000}"/>
    <cellStyle name="40% - Accent4 3 5" xfId="774" xr:uid="{00000000-0005-0000-0000-000015020000}"/>
    <cellStyle name="40% - Accent4 3 6" xfId="775" xr:uid="{00000000-0005-0000-0000-000016020000}"/>
    <cellStyle name="40% - Accent4 4 2" xfId="776" xr:uid="{00000000-0005-0000-0000-000017020000}"/>
    <cellStyle name="40% - Accent4 4 3" xfId="777" xr:uid="{00000000-0005-0000-0000-000018020000}"/>
    <cellStyle name="40% - Accent4 4 4" xfId="778" xr:uid="{00000000-0005-0000-0000-000019020000}"/>
    <cellStyle name="40% - Accent4 4 5" xfId="779" xr:uid="{00000000-0005-0000-0000-00001A020000}"/>
    <cellStyle name="40% - Accent4 4 6" xfId="780" xr:uid="{00000000-0005-0000-0000-00001B020000}"/>
    <cellStyle name="40% - Accent4 5 2" xfId="781" xr:uid="{00000000-0005-0000-0000-00001C020000}"/>
    <cellStyle name="40% - Accent4 5 3" xfId="782" xr:uid="{00000000-0005-0000-0000-00001D020000}"/>
    <cellStyle name="40% - Accent4 5 4" xfId="783" xr:uid="{00000000-0005-0000-0000-00001E020000}"/>
    <cellStyle name="40% - Accent4 5 5" xfId="784" xr:uid="{00000000-0005-0000-0000-00001F020000}"/>
    <cellStyle name="40% - Accent4 5 6" xfId="785" xr:uid="{00000000-0005-0000-0000-000020020000}"/>
    <cellStyle name="40% - Accent4 6 2" xfId="786" xr:uid="{00000000-0005-0000-0000-000021020000}"/>
    <cellStyle name="40% - Accent4 6 3" xfId="787" xr:uid="{00000000-0005-0000-0000-000022020000}"/>
    <cellStyle name="40% - Accent4 6 4" xfId="788" xr:uid="{00000000-0005-0000-0000-000023020000}"/>
    <cellStyle name="40% - Accent4 6 5" xfId="789" xr:uid="{00000000-0005-0000-0000-000024020000}"/>
    <cellStyle name="40% - Accent4 6 6" xfId="790" xr:uid="{00000000-0005-0000-0000-000025020000}"/>
    <cellStyle name="40% - Accent4 7 2" xfId="791" xr:uid="{00000000-0005-0000-0000-000026020000}"/>
    <cellStyle name="40% - Accent4 7 3" xfId="792" xr:uid="{00000000-0005-0000-0000-000027020000}"/>
    <cellStyle name="40% - Accent4 7 4" xfId="793" xr:uid="{00000000-0005-0000-0000-000028020000}"/>
    <cellStyle name="40% - Accent4 7 5" xfId="794" xr:uid="{00000000-0005-0000-0000-000029020000}"/>
    <cellStyle name="40% - Accent4 7 6" xfId="795" xr:uid="{00000000-0005-0000-0000-00002A020000}"/>
    <cellStyle name="40% - Accent4 8 2" xfId="796" xr:uid="{00000000-0005-0000-0000-00002B020000}"/>
    <cellStyle name="40% - Accent4 8 3" xfId="797" xr:uid="{00000000-0005-0000-0000-00002C020000}"/>
    <cellStyle name="40% - Accent4 8 4" xfId="798" xr:uid="{00000000-0005-0000-0000-00002D020000}"/>
    <cellStyle name="40% - Accent4 8 5" xfId="799" xr:uid="{00000000-0005-0000-0000-00002E020000}"/>
    <cellStyle name="40% - Accent4 8 6" xfId="800" xr:uid="{00000000-0005-0000-0000-00002F020000}"/>
    <cellStyle name="40% - Accent4 9 2" xfId="801" xr:uid="{00000000-0005-0000-0000-000030020000}"/>
    <cellStyle name="40% - Accent4 9 3" xfId="802" xr:uid="{00000000-0005-0000-0000-000031020000}"/>
    <cellStyle name="40% - Accent4 9 4" xfId="803" xr:uid="{00000000-0005-0000-0000-000032020000}"/>
    <cellStyle name="40% - Accent4 9 5" xfId="804" xr:uid="{00000000-0005-0000-0000-000033020000}"/>
    <cellStyle name="40% - Accent4 9 6" xfId="805" xr:uid="{00000000-0005-0000-0000-000034020000}"/>
    <cellStyle name="40% - Accent5 10 2" xfId="806" xr:uid="{00000000-0005-0000-0000-000035020000}"/>
    <cellStyle name="40% - Accent5 10 3" xfId="807" xr:uid="{00000000-0005-0000-0000-000036020000}"/>
    <cellStyle name="40% - Accent5 10 4" xfId="808" xr:uid="{00000000-0005-0000-0000-000037020000}"/>
    <cellStyle name="40% - Accent5 10 5" xfId="809" xr:uid="{00000000-0005-0000-0000-000038020000}"/>
    <cellStyle name="40% - Accent5 10 6" xfId="810" xr:uid="{00000000-0005-0000-0000-000039020000}"/>
    <cellStyle name="40% - Accent5 11 2" xfId="811" xr:uid="{00000000-0005-0000-0000-00003A020000}"/>
    <cellStyle name="40% - Accent5 11 3" xfId="812" xr:uid="{00000000-0005-0000-0000-00003B020000}"/>
    <cellStyle name="40% - Accent5 11 4" xfId="813" xr:uid="{00000000-0005-0000-0000-00003C020000}"/>
    <cellStyle name="40% - Accent5 11 5" xfId="814" xr:uid="{00000000-0005-0000-0000-00003D020000}"/>
    <cellStyle name="40% - Accent5 11 6" xfId="815" xr:uid="{00000000-0005-0000-0000-00003E020000}"/>
    <cellStyle name="40% - Accent5 2" xfId="816" xr:uid="{00000000-0005-0000-0000-00003F020000}"/>
    <cellStyle name="40% - Accent5 2 2" xfId="817" xr:uid="{00000000-0005-0000-0000-000040020000}"/>
    <cellStyle name="40% - Accent5 2 3" xfId="818" xr:uid="{00000000-0005-0000-0000-000041020000}"/>
    <cellStyle name="40% - Accent5 2 4" xfId="819" xr:uid="{00000000-0005-0000-0000-000042020000}"/>
    <cellStyle name="40% - Accent5 2 5" xfId="820" xr:uid="{00000000-0005-0000-0000-000043020000}"/>
    <cellStyle name="40% - Accent5 2 6" xfId="821" xr:uid="{00000000-0005-0000-0000-000044020000}"/>
    <cellStyle name="40% - Accent5 2 7" xfId="5090" xr:uid="{EAB3F1A0-7CD2-4BA2-B829-E9580689F329}"/>
    <cellStyle name="40% - Accent5 3" xfId="822" xr:uid="{00000000-0005-0000-0000-000045020000}"/>
    <cellStyle name="40% - Accent5 3 2" xfId="823" xr:uid="{00000000-0005-0000-0000-000046020000}"/>
    <cellStyle name="40% - Accent5 3 3" xfId="824" xr:uid="{00000000-0005-0000-0000-000047020000}"/>
    <cellStyle name="40% - Accent5 3 4" xfId="825" xr:uid="{00000000-0005-0000-0000-000048020000}"/>
    <cellStyle name="40% - Accent5 3 5" xfId="826" xr:uid="{00000000-0005-0000-0000-000049020000}"/>
    <cellStyle name="40% - Accent5 3 6" xfId="827" xr:uid="{00000000-0005-0000-0000-00004A020000}"/>
    <cellStyle name="40% - Accent5 4 2" xfId="828" xr:uid="{00000000-0005-0000-0000-00004B020000}"/>
    <cellStyle name="40% - Accent5 4 3" xfId="829" xr:uid="{00000000-0005-0000-0000-00004C020000}"/>
    <cellStyle name="40% - Accent5 4 4" xfId="830" xr:uid="{00000000-0005-0000-0000-00004D020000}"/>
    <cellStyle name="40% - Accent5 4 5" xfId="831" xr:uid="{00000000-0005-0000-0000-00004E020000}"/>
    <cellStyle name="40% - Accent5 4 6" xfId="832" xr:uid="{00000000-0005-0000-0000-00004F020000}"/>
    <cellStyle name="40% - Accent5 5 2" xfId="833" xr:uid="{00000000-0005-0000-0000-000050020000}"/>
    <cellStyle name="40% - Accent5 5 3" xfId="834" xr:uid="{00000000-0005-0000-0000-000051020000}"/>
    <cellStyle name="40% - Accent5 5 4" xfId="835" xr:uid="{00000000-0005-0000-0000-000052020000}"/>
    <cellStyle name="40% - Accent5 5 5" xfId="836" xr:uid="{00000000-0005-0000-0000-000053020000}"/>
    <cellStyle name="40% - Accent5 5 6" xfId="837" xr:uid="{00000000-0005-0000-0000-000054020000}"/>
    <cellStyle name="40% - Accent5 6 2" xfId="838" xr:uid="{00000000-0005-0000-0000-000055020000}"/>
    <cellStyle name="40% - Accent5 6 3" xfId="839" xr:uid="{00000000-0005-0000-0000-000056020000}"/>
    <cellStyle name="40% - Accent5 6 4" xfId="840" xr:uid="{00000000-0005-0000-0000-000057020000}"/>
    <cellStyle name="40% - Accent5 6 5" xfId="841" xr:uid="{00000000-0005-0000-0000-000058020000}"/>
    <cellStyle name="40% - Accent5 6 6" xfId="842" xr:uid="{00000000-0005-0000-0000-000059020000}"/>
    <cellStyle name="40% - Accent5 7 2" xfId="843" xr:uid="{00000000-0005-0000-0000-00005A020000}"/>
    <cellStyle name="40% - Accent5 7 3" xfId="844" xr:uid="{00000000-0005-0000-0000-00005B020000}"/>
    <cellStyle name="40% - Accent5 7 4" xfId="845" xr:uid="{00000000-0005-0000-0000-00005C020000}"/>
    <cellStyle name="40% - Accent5 7 5" xfId="846" xr:uid="{00000000-0005-0000-0000-00005D020000}"/>
    <cellStyle name="40% - Accent5 7 6" xfId="847" xr:uid="{00000000-0005-0000-0000-00005E020000}"/>
    <cellStyle name="40% - Accent5 8 2" xfId="848" xr:uid="{00000000-0005-0000-0000-00005F020000}"/>
    <cellStyle name="40% - Accent5 8 3" xfId="849" xr:uid="{00000000-0005-0000-0000-000060020000}"/>
    <cellStyle name="40% - Accent5 8 4" xfId="850" xr:uid="{00000000-0005-0000-0000-000061020000}"/>
    <cellStyle name="40% - Accent5 8 5" xfId="851" xr:uid="{00000000-0005-0000-0000-000062020000}"/>
    <cellStyle name="40% - Accent5 8 6" xfId="852" xr:uid="{00000000-0005-0000-0000-000063020000}"/>
    <cellStyle name="40% - Accent5 9 2" xfId="853" xr:uid="{00000000-0005-0000-0000-000064020000}"/>
    <cellStyle name="40% - Accent5 9 3" xfId="854" xr:uid="{00000000-0005-0000-0000-000065020000}"/>
    <cellStyle name="40% - Accent5 9 4" xfId="855" xr:uid="{00000000-0005-0000-0000-000066020000}"/>
    <cellStyle name="40% - Accent5 9 5" xfId="856" xr:uid="{00000000-0005-0000-0000-000067020000}"/>
    <cellStyle name="40% - Accent5 9 6" xfId="857" xr:uid="{00000000-0005-0000-0000-000068020000}"/>
    <cellStyle name="40% - Accent6 10 2" xfId="858" xr:uid="{00000000-0005-0000-0000-000069020000}"/>
    <cellStyle name="40% - Accent6 10 3" xfId="859" xr:uid="{00000000-0005-0000-0000-00006A020000}"/>
    <cellStyle name="40% - Accent6 10 4" xfId="860" xr:uid="{00000000-0005-0000-0000-00006B020000}"/>
    <cellStyle name="40% - Accent6 10 5" xfId="861" xr:uid="{00000000-0005-0000-0000-00006C020000}"/>
    <cellStyle name="40% - Accent6 10 6" xfId="862" xr:uid="{00000000-0005-0000-0000-00006D020000}"/>
    <cellStyle name="40% - Accent6 11 2" xfId="863" xr:uid="{00000000-0005-0000-0000-00006E020000}"/>
    <cellStyle name="40% - Accent6 11 3" xfId="864" xr:uid="{00000000-0005-0000-0000-00006F020000}"/>
    <cellStyle name="40% - Accent6 11 4" xfId="865" xr:uid="{00000000-0005-0000-0000-000070020000}"/>
    <cellStyle name="40% - Accent6 11 5" xfId="866" xr:uid="{00000000-0005-0000-0000-000071020000}"/>
    <cellStyle name="40% - Accent6 11 6" xfId="867" xr:uid="{00000000-0005-0000-0000-000072020000}"/>
    <cellStyle name="40% - Accent6 2" xfId="868" xr:uid="{00000000-0005-0000-0000-000073020000}"/>
    <cellStyle name="40% - Accent6 2 2" xfId="869" xr:uid="{00000000-0005-0000-0000-000074020000}"/>
    <cellStyle name="40% - Accent6 2 3" xfId="870" xr:uid="{00000000-0005-0000-0000-000075020000}"/>
    <cellStyle name="40% - Accent6 2 4" xfId="871" xr:uid="{00000000-0005-0000-0000-000076020000}"/>
    <cellStyle name="40% - Accent6 2 5" xfId="872" xr:uid="{00000000-0005-0000-0000-000077020000}"/>
    <cellStyle name="40% - Accent6 2 6" xfId="873" xr:uid="{00000000-0005-0000-0000-000078020000}"/>
    <cellStyle name="40% - Accent6 2 7" xfId="5089" xr:uid="{38B306DE-4778-4D6C-8F52-90A4B6AD2A83}"/>
    <cellStyle name="40% - Accent6 3" xfId="874" xr:uid="{00000000-0005-0000-0000-000079020000}"/>
    <cellStyle name="40% - Accent6 3 2" xfId="875" xr:uid="{00000000-0005-0000-0000-00007A020000}"/>
    <cellStyle name="40% - Accent6 3 3" xfId="876" xr:uid="{00000000-0005-0000-0000-00007B020000}"/>
    <cellStyle name="40% - Accent6 3 4" xfId="877" xr:uid="{00000000-0005-0000-0000-00007C020000}"/>
    <cellStyle name="40% - Accent6 3 5" xfId="878" xr:uid="{00000000-0005-0000-0000-00007D020000}"/>
    <cellStyle name="40% - Accent6 3 6" xfId="879" xr:uid="{00000000-0005-0000-0000-00007E020000}"/>
    <cellStyle name="40% - Accent6 4 2" xfId="880" xr:uid="{00000000-0005-0000-0000-00007F020000}"/>
    <cellStyle name="40% - Accent6 4 3" xfId="881" xr:uid="{00000000-0005-0000-0000-000080020000}"/>
    <cellStyle name="40% - Accent6 4 4" xfId="882" xr:uid="{00000000-0005-0000-0000-000081020000}"/>
    <cellStyle name="40% - Accent6 4 5" xfId="883" xr:uid="{00000000-0005-0000-0000-000082020000}"/>
    <cellStyle name="40% - Accent6 4 6" xfId="884" xr:uid="{00000000-0005-0000-0000-000083020000}"/>
    <cellStyle name="40% - Accent6 5 2" xfId="885" xr:uid="{00000000-0005-0000-0000-000084020000}"/>
    <cellStyle name="40% - Accent6 5 3" xfId="886" xr:uid="{00000000-0005-0000-0000-000085020000}"/>
    <cellStyle name="40% - Accent6 5 4" xfId="887" xr:uid="{00000000-0005-0000-0000-000086020000}"/>
    <cellStyle name="40% - Accent6 5 5" xfId="888" xr:uid="{00000000-0005-0000-0000-000087020000}"/>
    <cellStyle name="40% - Accent6 5 6" xfId="889" xr:uid="{00000000-0005-0000-0000-000088020000}"/>
    <cellStyle name="40% - Accent6 6 2" xfId="890" xr:uid="{00000000-0005-0000-0000-000089020000}"/>
    <cellStyle name="40% - Accent6 6 3" xfId="891" xr:uid="{00000000-0005-0000-0000-00008A020000}"/>
    <cellStyle name="40% - Accent6 6 4" xfId="892" xr:uid="{00000000-0005-0000-0000-00008B020000}"/>
    <cellStyle name="40% - Accent6 6 5" xfId="893" xr:uid="{00000000-0005-0000-0000-00008C020000}"/>
    <cellStyle name="40% - Accent6 6 6" xfId="894" xr:uid="{00000000-0005-0000-0000-00008D020000}"/>
    <cellStyle name="40% - Accent6 7 2" xfId="895" xr:uid="{00000000-0005-0000-0000-00008E020000}"/>
    <cellStyle name="40% - Accent6 7 3" xfId="896" xr:uid="{00000000-0005-0000-0000-00008F020000}"/>
    <cellStyle name="40% - Accent6 7 4" xfId="897" xr:uid="{00000000-0005-0000-0000-000090020000}"/>
    <cellStyle name="40% - Accent6 7 5" xfId="898" xr:uid="{00000000-0005-0000-0000-000091020000}"/>
    <cellStyle name="40% - Accent6 7 6" xfId="899" xr:uid="{00000000-0005-0000-0000-000092020000}"/>
    <cellStyle name="40% - Accent6 8 2" xfId="900" xr:uid="{00000000-0005-0000-0000-000093020000}"/>
    <cellStyle name="40% - Accent6 8 3" xfId="901" xr:uid="{00000000-0005-0000-0000-000094020000}"/>
    <cellStyle name="40% - Accent6 8 4" xfId="902" xr:uid="{00000000-0005-0000-0000-000095020000}"/>
    <cellStyle name="40% - Accent6 8 5" xfId="903" xr:uid="{00000000-0005-0000-0000-000096020000}"/>
    <cellStyle name="40% - Accent6 8 6" xfId="904" xr:uid="{00000000-0005-0000-0000-000097020000}"/>
    <cellStyle name="40% - Accent6 9 2" xfId="905" xr:uid="{00000000-0005-0000-0000-000098020000}"/>
    <cellStyle name="40% - Accent6 9 3" xfId="906" xr:uid="{00000000-0005-0000-0000-000099020000}"/>
    <cellStyle name="40% - Accent6 9 4" xfId="907" xr:uid="{00000000-0005-0000-0000-00009A020000}"/>
    <cellStyle name="40% - Accent6 9 5" xfId="908" xr:uid="{00000000-0005-0000-0000-00009B020000}"/>
    <cellStyle name="40% - Accent6 9 6" xfId="909" xr:uid="{00000000-0005-0000-0000-00009C020000}"/>
    <cellStyle name="5" xfId="46" xr:uid="{00000000-0005-0000-0000-00009D020000}"/>
    <cellStyle name="5 2" xfId="6360" xr:uid="{6D0E3F76-FAEE-4CD6-884F-7A02B081FE67}"/>
    <cellStyle name="5 3" xfId="6797" xr:uid="{065862A7-D3B8-4CB7-ABC1-0B983ACA6D68}"/>
    <cellStyle name="6" xfId="47" xr:uid="{00000000-0005-0000-0000-00009E020000}"/>
    <cellStyle name="6 2" xfId="6361" xr:uid="{F2174369-A539-41C9-8511-645F3034CDB6}"/>
    <cellStyle name="6 3" xfId="6798" xr:uid="{4AC02DD2-DEB2-41E1-8DE0-0C30CCBD7A9E}"/>
    <cellStyle name="60% - Accent1 10 2" xfId="910" xr:uid="{00000000-0005-0000-0000-00009F020000}"/>
    <cellStyle name="60% - Accent1 10 3" xfId="911" xr:uid="{00000000-0005-0000-0000-0000A0020000}"/>
    <cellStyle name="60% - Accent1 10 4" xfId="912" xr:uid="{00000000-0005-0000-0000-0000A1020000}"/>
    <cellStyle name="60% - Accent1 10 5" xfId="913" xr:uid="{00000000-0005-0000-0000-0000A2020000}"/>
    <cellStyle name="60% - Accent1 10 6" xfId="914" xr:uid="{00000000-0005-0000-0000-0000A3020000}"/>
    <cellStyle name="60% - Accent1 11 2" xfId="915" xr:uid="{00000000-0005-0000-0000-0000A4020000}"/>
    <cellStyle name="60% - Accent1 11 3" xfId="916" xr:uid="{00000000-0005-0000-0000-0000A5020000}"/>
    <cellStyle name="60% - Accent1 11 4" xfId="917" xr:uid="{00000000-0005-0000-0000-0000A6020000}"/>
    <cellStyle name="60% - Accent1 11 5" xfId="918" xr:uid="{00000000-0005-0000-0000-0000A7020000}"/>
    <cellStyle name="60% - Accent1 11 6" xfId="919" xr:uid="{00000000-0005-0000-0000-0000A8020000}"/>
    <cellStyle name="60% - Accent1 2" xfId="920" xr:uid="{00000000-0005-0000-0000-0000A9020000}"/>
    <cellStyle name="60% - Accent1 2 2" xfId="921" xr:uid="{00000000-0005-0000-0000-0000AA020000}"/>
    <cellStyle name="60% - Accent1 2 3" xfId="922" xr:uid="{00000000-0005-0000-0000-0000AB020000}"/>
    <cellStyle name="60% - Accent1 2 4" xfId="923" xr:uid="{00000000-0005-0000-0000-0000AC020000}"/>
    <cellStyle name="60% - Accent1 2 5" xfId="924" xr:uid="{00000000-0005-0000-0000-0000AD020000}"/>
    <cellStyle name="60% - Accent1 2 6" xfId="925" xr:uid="{00000000-0005-0000-0000-0000AE020000}"/>
    <cellStyle name="60% - Accent1 2 7" xfId="5376" xr:uid="{F41F6A85-0EEF-4267-A823-C3DFB69B3C53}"/>
    <cellStyle name="60% - Accent1 3" xfId="926" xr:uid="{00000000-0005-0000-0000-0000AF020000}"/>
    <cellStyle name="60% - Accent1 3 2" xfId="927" xr:uid="{00000000-0005-0000-0000-0000B0020000}"/>
    <cellStyle name="60% - Accent1 3 3" xfId="928" xr:uid="{00000000-0005-0000-0000-0000B1020000}"/>
    <cellStyle name="60% - Accent1 3 4" xfId="929" xr:uid="{00000000-0005-0000-0000-0000B2020000}"/>
    <cellStyle name="60% - Accent1 3 5" xfId="930" xr:uid="{00000000-0005-0000-0000-0000B3020000}"/>
    <cellStyle name="60% - Accent1 3 6" xfId="931" xr:uid="{00000000-0005-0000-0000-0000B4020000}"/>
    <cellStyle name="60% - Accent1 4 2" xfId="932" xr:uid="{00000000-0005-0000-0000-0000B5020000}"/>
    <cellStyle name="60% - Accent1 4 3" xfId="933" xr:uid="{00000000-0005-0000-0000-0000B6020000}"/>
    <cellStyle name="60% - Accent1 4 4" xfId="934" xr:uid="{00000000-0005-0000-0000-0000B7020000}"/>
    <cellStyle name="60% - Accent1 4 5" xfId="935" xr:uid="{00000000-0005-0000-0000-0000B8020000}"/>
    <cellStyle name="60% - Accent1 4 6" xfId="936" xr:uid="{00000000-0005-0000-0000-0000B9020000}"/>
    <cellStyle name="60% - Accent1 5 2" xfId="937" xr:uid="{00000000-0005-0000-0000-0000BA020000}"/>
    <cellStyle name="60% - Accent1 5 3" xfId="938" xr:uid="{00000000-0005-0000-0000-0000BB020000}"/>
    <cellStyle name="60% - Accent1 5 4" xfId="939" xr:uid="{00000000-0005-0000-0000-0000BC020000}"/>
    <cellStyle name="60% - Accent1 5 5" xfId="940" xr:uid="{00000000-0005-0000-0000-0000BD020000}"/>
    <cellStyle name="60% - Accent1 5 6" xfId="941" xr:uid="{00000000-0005-0000-0000-0000BE020000}"/>
    <cellStyle name="60% - Accent1 6 2" xfId="942" xr:uid="{00000000-0005-0000-0000-0000BF020000}"/>
    <cellStyle name="60% - Accent1 6 3" xfId="943" xr:uid="{00000000-0005-0000-0000-0000C0020000}"/>
    <cellStyle name="60% - Accent1 6 4" xfId="944" xr:uid="{00000000-0005-0000-0000-0000C1020000}"/>
    <cellStyle name="60% - Accent1 6 5" xfId="945" xr:uid="{00000000-0005-0000-0000-0000C2020000}"/>
    <cellStyle name="60% - Accent1 6 6" xfId="946" xr:uid="{00000000-0005-0000-0000-0000C3020000}"/>
    <cellStyle name="60% - Accent1 7 2" xfId="947" xr:uid="{00000000-0005-0000-0000-0000C4020000}"/>
    <cellStyle name="60% - Accent1 7 3" xfId="948" xr:uid="{00000000-0005-0000-0000-0000C5020000}"/>
    <cellStyle name="60% - Accent1 7 4" xfId="949" xr:uid="{00000000-0005-0000-0000-0000C6020000}"/>
    <cellStyle name="60% - Accent1 7 5" xfId="950" xr:uid="{00000000-0005-0000-0000-0000C7020000}"/>
    <cellStyle name="60% - Accent1 7 6" xfId="951" xr:uid="{00000000-0005-0000-0000-0000C8020000}"/>
    <cellStyle name="60% - Accent1 8 2" xfId="952" xr:uid="{00000000-0005-0000-0000-0000C9020000}"/>
    <cellStyle name="60% - Accent1 8 3" xfId="953" xr:uid="{00000000-0005-0000-0000-0000CA020000}"/>
    <cellStyle name="60% - Accent1 8 4" xfId="954" xr:uid="{00000000-0005-0000-0000-0000CB020000}"/>
    <cellStyle name="60% - Accent1 8 5" xfId="955" xr:uid="{00000000-0005-0000-0000-0000CC020000}"/>
    <cellStyle name="60% - Accent1 8 6" xfId="956" xr:uid="{00000000-0005-0000-0000-0000CD020000}"/>
    <cellStyle name="60% - Accent1 9 2" xfId="957" xr:uid="{00000000-0005-0000-0000-0000CE020000}"/>
    <cellStyle name="60% - Accent1 9 3" xfId="958" xr:uid="{00000000-0005-0000-0000-0000CF020000}"/>
    <cellStyle name="60% - Accent1 9 4" xfId="959" xr:uid="{00000000-0005-0000-0000-0000D0020000}"/>
    <cellStyle name="60% - Accent1 9 5" xfId="960" xr:uid="{00000000-0005-0000-0000-0000D1020000}"/>
    <cellStyle name="60% - Accent1 9 6" xfId="961" xr:uid="{00000000-0005-0000-0000-0000D2020000}"/>
    <cellStyle name="60% - Accent2 10 2" xfId="962" xr:uid="{00000000-0005-0000-0000-0000D3020000}"/>
    <cellStyle name="60% - Accent2 10 3" xfId="963" xr:uid="{00000000-0005-0000-0000-0000D4020000}"/>
    <cellStyle name="60% - Accent2 10 4" xfId="964" xr:uid="{00000000-0005-0000-0000-0000D5020000}"/>
    <cellStyle name="60% - Accent2 10 5" xfId="965" xr:uid="{00000000-0005-0000-0000-0000D6020000}"/>
    <cellStyle name="60% - Accent2 10 6" xfId="966" xr:uid="{00000000-0005-0000-0000-0000D7020000}"/>
    <cellStyle name="60% - Accent2 11 2" xfId="967" xr:uid="{00000000-0005-0000-0000-0000D8020000}"/>
    <cellStyle name="60% - Accent2 11 3" xfId="968" xr:uid="{00000000-0005-0000-0000-0000D9020000}"/>
    <cellStyle name="60% - Accent2 11 4" xfId="969" xr:uid="{00000000-0005-0000-0000-0000DA020000}"/>
    <cellStyle name="60% - Accent2 11 5" xfId="970" xr:uid="{00000000-0005-0000-0000-0000DB020000}"/>
    <cellStyle name="60% - Accent2 11 6" xfId="971" xr:uid="{00000000-0005-0000-0000-0000DC020000}"/>
    <cellStyle name="60% - Accent2 2" xfId="972" xr:uid="{00000000-0005-0000-0000-0000DD020000}"/>
    <cellStyle name="60% - Accent2 2 2" xfId="973" xr:uid="{00000000-0005-0000-0000-0000DE020000}"/>
    <cellStyle name="60% - Accent2 2 3" xfId="974" xr:uid="{00000000-0005-0000-0000-0000DF020000}"/>
    <cellStyle name="60% - Accent2 2 4" xfId="975" xr:uid="{00000000-0005-0000-0000-0000E0020000}"/>
    <cellStyle name="60% - Accent2 2 5" xfId="976" xr:uid="{00000000-0005-0000-0000-0000E1020000}"/>
    <cellStyle name="60% - Accent2 2 6" xfId="977" xr:uid="{00000000-0005-0000-0000-0000E2020000}"/>
    <cellStyle name="60% - Accent2 2 7" xfId="5375" xr:uid="{7F837448-9FBB-4A80-BDDE-455147FA6C2C}"/>
    <cellStyle name="60% - Accent2 3" xfId="978" xr:uid="{00000000-0005-0000-0000-0000E3020000}"/>
    <cellStyle name="60% - Accent2 3 2" xfId="979" xr:uid="{00000000-0005-0000-0000-0000E4020000}"/>
    <cellStyle name="60% - Accent2 3 3" xfId="980" xr:uid="{00000000-0005-0000-0000-0000E5020000}"/>
    <cellStyle name="60% - Accent2 3 4" xfId="981" xr:uid="{00000000-0005-0000-0000-0000E6020000}"/>
    <cellStyle name="60% - Accent2 3 5" xfId="982" xr:uid="{00000000-0005-0000-0000-0000E7020000}"/>
    <cellStyle name="60% - Accent2 3 6" xfId="983" xr:uid="{00000000-0005-0000-0000-0000E8020000}"/>
    <cellStyle name="60% - Accent2 4 2" xfId="984" xr:uid="{00000000-0005-0000-0000-0000E9020000}"/>
    <cellStyle name="60% - Accent2 4 3" xfId="985" xr:uid="{00000000-0005-0000-0000-0000EA020000}"/>
    <cellStyle name="60% - Accent2 4 4" xfId="986" xr:uid="{00000000-0005-0000-0000-0000EB020000}"/>
    <cellStyle name="60% - Accent2 4 5" xfId="987" xr:uid="{00000000-0005-0000-0000-0000EC020000}"/>
    <cellStyle name="60% - Accent2 4 6" xfId="988" xr:uid="{00000000-0005-0000-0000-0000ED020000}"/>
    <cellStyle name="60% - Accent2 5 2" xfId="989" xr:uid="{00000000-0005-0000-0000-0000EE020000}"/>
    <cellStyle name="60% - Accent2 5 3" xfId="990" xr:uid="{00000000-0005-0000-0000-0000EF020000}"/>
    <cellStyle name="60% - Accent2 5 4" xfId="991" xr:uid="{00000000-0005-0000-0000-0000F0020000}"/>
    <cellStyle name="60% - Accent2 5 5" xfId="992" xr:uid="{00000000-0005-0000-0000-0000F1020000}"/>
    <cellStyle name="60% - Accent2 5 6" xfId="993" xr:uid="{00000000-0005-0000-0000-0000F2020000}"/>
    <cellStyle name="60% - Accent2 6 2" xfId="994" xr:uid="{00000000-0005-0000-0000-0000F3020000}"/>
    <cellStyle name="60% - Accent2 6 3" xfId="995" xr:uid="{00000000-0005-0000-0000-0000F4020000}"/>
    <cellStyle name="60% - Accent2 6 4" xfId="996" xr:uid="{00000000-0005-0000-0000-0000F5020000}"/>
    <cellStyle name="60% - Accent2 6 5" xfId="997" xr:uid="{00000000-0005-0000-0000-0000F6020000}"/>
    <cellStyle name="60% - Accent2 6 6" xfId="998" xr:uid="{00000000-0005-0000-0000-0000F7020000}"/>
    <cellStyle name="60% - Accent2 7 2" xfId="999" xr:uid="{00000000-0005-0000-0000-0000F8020000}"/>
    <cellStyle name="60% - Accent2 7 3" xfId="1000" xr:uid="{00000000-0005-0000-0000-0000F9020000}"/>
    <cellStyle name="60% - Accent2 7 4" xfId="1001" xr:uid="{00000000-0005-0000-0000-0000FA020000}"/>
    <cellStyle name="60% - Accent2 7 5" xfId="1002" xr:uid="{00000000-0005-0000-0000-0000FB020000}"/>
    <cellStyle name="60% - Accent2 7 6" xfId="1003" xr:uid="{00000000-0005-0000-0000-0000FC020000}"/>
    <cellStyle name="60% - Accent2 8 2" xfId="1004" xr:uid="{00000000-0005-0000-0000-0000FD020000}"/>
    <cellStyle name="60% - Accent2 8 3" xfId="1005" xr:uid="{00000000-0005-0000-0000-0000FE020000}"/>
    <cellStyle name="60% - Accent2 8 4" xfId="1006" xr:uid="{00000000-0005-0000-0000-0000FF020000}"/>
    <cellStyle name="60% - Accent2 8 5" xfId="1007" xr:uid="{00000000-0005-0000-0000-000000030000}"/>
    <cellStyle name="60% - Accent2 8 6" xfId="1008" xr:uid="{00000000-0005-0000-0000-000001030000}"/>
    <cellStyle name="60% - Accent2 9 2" xfId="1009" xr:uid="{00000000-0005-0000-0000-000002030000}"/>
    <cellStyle name="60% - Accent2 9 3" xfId="1010" xr:uid="{00000000-0005-0000-0000-000003030000}"/>
    <cellStyle name="60% - Accent2 9 4" xfId="1011" xr:uid="{00000000-0005-0000-0000-000004030000}"/>
    <cellStyle name="60% - Accent2 9 5" xfId="1012" xr:uid="{00000000-0005-0000-0000-000005030000}"/>
    <cellStyle name="60% - Accent2 9 6" xfId="1013" xr:uid="{00000000-0005-0000-0000-000006030000}"/>
    <cellStyle name="60% - Accent3 10 2" xfId="1014" xr:uid="{00000000-0005-0000-0000-000007030000}"/>
    <cellStyle name="60% - Accent3 10 3" xfId="1015" xr:uid="{00000000-0005-0000-0000-000008030000}"/>
    <cellStyle name="60% - Accent3 10 4" xfId="1016" xr:uid="{00000000-0005-0000-0000-000009030000}"/>
    <cellStyle name="60% - Accent3 10 5" xfId="1017" xr:uid="{00000000-0005-0000-0000-00000A030000}"/>
    <cellStyle name="60% - Accent3 10 6" xfId="1018" xr:uid="{00000000-0005-0000-0000-00000B030000}"/>
    <cellStyle name="60% - Accent3 11 2" xfId="1019" xr:uid="{00000000-0005-0000-0000-00000C030000}"/>
    <cellStyle name="60% - Accent3 11 3" xfId="1020" xr:uid="{00000000-0005-0000-0000-00000D030000}"/>
    <cellStyle name="60% - Accent3 11 4" xfId="1021" xr:uid="{00000000-0005-0000-0000-00000E030000}"/>
    <cellStyle name="60% - Accent3 11 5" xfId="1022" xr:uid="{00000000-0005-0000-0000-00000F030000}"/>
    <cellStyle name="60% - Accent3 11 6" xfId="1023" xr:uid="{00000000-0005-0000-0000-000010030000}"/>
    <cellStyle name="60% - Accent3 2" xfId="1024" xr:uid="{00000000-0005-0000-0000-000011030000}"/>
    <cellStyle name="60% - Accent3 2 2" xfId="1025" xr:uid="{00000000-0005-0000-0000-000012030000}"/>
    <cellStyle name="60% - Accent3 2 3" xfId="1026" xr:uid="{00000000-0005-0000-0000-000013030000}"/>
    <cellStyle name="60% - Accent3 2 4" xfId="1027" xr:uid="{00000000-0005-0000-0000-000014030000}"/>
    <cellStyle name="60% - Accent3 2 5" xfId="1028" xr:uid="{00000000-0005-0000-0000-000015030000}"/>
    <cellStyle name="60% - Accent3 2 6" xfId="1029" xr:uid="{00000000-0005-0000-0000-000016030000}"/>
    <cellStyle name="60% - Accent3 2 7" xfId="5374" xr:uid="{F0C616A9-9881-4D83-9750-613889A22AA6}"/>
    <cellStyle name="60% - Accent3 3" xfId="1030" xr:uid="{00000000-0005-0000-0000-000017030000}"/>
    <cellStyle name="60% - Accent3 3 2" xfId="1031" xr:uid="{00000000-0005-0000-0000-000018030000}"/>
    <cellStyle name="60% - Accent3 3 3" xfId="1032" xr:uid="{00000000-0005-0000-0000-000019030000}"/>
    <cellStyle name="60% - Accent3 3 4" xfId="1033" xr:uid="{00000000-0005-0000-0000-00001A030000}"/>
    <cellStyle name="60% - Accent3 3 5" xfId="1034" xr:uid="{00000000-0005-0000-0000-00001B030000}"/>
    <cellStyle name="60% - Accent3 3 6" xfId="1035" xr:uid="{00000000-0005-0000-0000-00001C030000}"/>
    <cellStyle name="60% - Accent3 4 2" xfId="1036" xr:uid="{00000000-0005-0000-0000-00001D030000}"/>
    <cellStyle name="60% - Accent3 4 3" xfId="1037" xr:uid="{00000000-0005-0000-0000-00001E030000}"/>
    <cellStyle name="60% - Accent3 4 4" xfId="1038" xr:uid="{00000000-0005-0000-0000-00001F030000}"/>
    <cellStyle name="60% - Accent3 4 5" xfId="1039" xr:uid="{00000000-0005-0000-0000-000020030000}"/>
    <cellStyle name="60% - Accent3 4 6" xfId="1040" xr:uid="{00000000-0005-0000-0000-000021030000}"/>
    <cellStyle name="60% - Accent3 5 2" xfId="1041" xr:uid="{00000000-0005-0000-0000-000022030000}"/>
    <cellStyle name="60% - Accent3 5 3" xfId="1042" xr:uid="{00000000-0005-0000-0000-000023030000}"/>
    <cellStyle name="60% - Accent3 5 4" xfId="1043" xr:uid="{00000000-0005-0000-0000-000024030000}"/>
    <cellStyle name="60% - Accent3 5 5" xfId="1044" xr:uid="{00000000-0005-0000-0000-000025030000}"/>
    <cellStyle name="60% - Accent3 5 6" xfId="1045" xr:uid="{00000000-0005-0000-0000-000026030000}"/>
    <cellStyle name="60% - Accent3 6 2" xfId="1046" xr:uid="{00000000-0005-0000-0000-000027030000}"/>
    <cellStyle name="60% - Accent3 6 3" xfId="1047" xr:uid="{00000000-0005-0000-0000-000028030000}"/>
    <cellStyle name="60% - Accent3 6 4" xfId="1048" xr:uid="{00000000-0005-0000-0000-000029030000}"/>
    <cellStyle name="60% - Accent3 6 5" xfId="1049" xr:uid="{00000000-0005-0000-0000-00002A030000}"/>
    <cellStyle name="60% - Accent3 6 6" xfId="1050" xr:uid="{00000000-0005-0000-0000-00002B030000}"/>
    <cellStyle name="60% - Accent3 7 2" xfId="1051" xr:uid="{00000000-0005-0000-0000-00002C030000}"/>
    <cellStyle name="60% - Accent3 7 3" xfId="1052" xr:uid="{00000000-0005-0000-0000-00002D030000}"/>
    <cellStyle name="60% - Accent3 7 4" xfId="1053" xr:uid="{00000000-0005-0000-0000-00002E030000}"/>
    <cellStyle name="60% - Accent3 7 5" xfId="1054" xr:uid="{00000000-0005-0000-0000-00002F030000}"/>
    <cellStyle name="60% - Accent3 7 6" xfId="1055" xr:uid="{00000000-0005-0000-0000-000030030000}"/>
    <cellStyle name="60% - Accent3 8 2" xfId="1056" xr:uid="{00000000-0005-0000-0000-000031030000}"/>
    <cellStyle name="60% - Accent3 8 3" xfId="1057" xr:uid="{00000000-0005-0000-0000-000032030000}"/>
    <cellStyle name="60% - Accent3 8 4" xfId="1058" xr:uid="{00000000-0005-0000-0000-000033030000}"/>
    <cellStyle name="60% - Accent3 8 5" xfId="1059" xr:uid="{00000000-0005-0000-0000-000034030000}"/>
    <cellStyle name="60% - Accent3 8 6" xfId="1060" xr:uid="{00000000-0005-0000-0000-000035030000}"/>
    <cellStyle name="60% - Accent3 9 2" xfId="1061" xr:uid="{00000000-0005-0000-0000-000036030000}"/>
    <cellStyle name="60% - Accent3 9 3" xfId="1062" xr:uid="{00000000-0005-0000-0000-000037030000}"/>
    <cellStyle name="60% - Accent3 9 4" xfId="1063" xr:uid="{00000000-0005-0000-0000-000038030000}"/>
    <cellStyle name="60% - Accent3 9 5" xfId="1064" xr:uid="{00000000-0005-0000-0000-000039030000}"/>
    <cellStyle name="60% - Accent3 9 6" xfId="1065" xr:uid="{00000000-0005-0000-0000-00003A030000}"/>
    <cellStyle name="60% - Accent4 10 2" xfId="1066" xr:uid="{00000000-0005-0000-0000-00003B030000}"/>
    <cellStyle name="60% - Accent4 10 3" xfId="1067" xr:uid="{00000000-0005-0000-0000-00003C030000}"/>
    <cellStyle name="60% - Accent4 10 4" xfId="1068" xr:uid="{00000000-0005-0000-0000-00003D030000}"/>
    <cellStyle name="60% - Accent4 10 5" xfId="1069" xr:uid="{00000000-0005-0000-0000-00003E030000}"/>
    <cellStyle name="60% - Accent4 10 6" xfId="1070" xr:uid="{00000000-0005-0000-0000-00003F030000}"/>
    <cellStyle name="60% - Accent4 11 2" xfId="1071" xr:uid="{00000000-0005-0000-0000-000040030000}"/>
    <cellStyle name="60% - Accent4 11 3" xfId="1072" xr:uid="{00000000-0005-0000-0000-000041030000}"/>
    <cellStyle name="60% - Accent4 11 4" xfId="1073" xr:uid="{00000000-0005-0000-0000-000042030000}"/>
    <cellStyle name="60% - Accent4 11 5" xfId="1074" xr:uid="{00000000-0005-0000-0000-000043030000}"/>
    <cellStyle name="60% - Accent4 11 6" xfId="1075" xr:uid="{00000000-0005-0000-0000-000044030000}"/>
    <cellStyle name="60% - Accent4 2" xfId="1076" xr:uid="{00000000-0005-0000-0000-000045030000}"/>
    <cellStyle name="60% - Accent4 2 2" xfId="1077" xr:uid="{00000000-0005-0000-0000-000046030000}"/>
    <cellStyle name="60% - Accent4 2 3" xfId="1078" xr:uid="{00000000-0005-0000-0000-000047030000}"/>
    <cellStyle name="60% - Accent4 2 4" xfId="1079" xr:uid="{00000000-0005-0000-0000-000048030000}"/>
    <cellStyle name="60% - Accent4 2 5" xfId="1080" xr:uid="{00000000-0005-0000-0000-000049030000}"/>
    <cellStyle name="60% - Accent4 2 6" xfId="1081" xr:uid="{00000000-0005-0000-0000-00004A030000}"/>
    <cellStyle name="60% - Accent4 2 7" xfId="5171" xr:uid="{76A58E06-78FE-4505-A0A9-C2CDB774E268}"/>
    <cellStyle name="60% - Accent4 3" xfId="1082" xr:uid="{00000000-0005-0000-0000-00004B030000}"/>
    <cellStyle name="60% - Accent4 3 2" xfId="1083" xr:uid="{00000000-0005-0000-0000-00004C030000}"/>
    <cellStyle name="60% - Accent4 3 3" xfId="1084" xr:uid="{00000000-0005-0000-0000-00004D030000}"/>
    <cellStyle name="60% - Accent4 3 4" xfId="1085" xr:uid="{00000000-0005-0000-0000-00004E030000}"/>
    <cellStyle name="60% - Accent4 3 5" xfId="1086" xr:uid="{00000000-0005-0000-0000-00004F030000}"/>
    <cellStyle name="60% - Accent4 3 6" xfId="1087" xr:uid="{00000000-0005-0000-0000-000050030000}"/>
    <cellStyle name="60% - Accent4 4 2" xfId="1088" xr:uid="{00000000-0005-0000-0000-000051030000}"/>
    <cellStyle name="60% - Accent4 4 3" xfId="1089" xr:uid="{00000000-0005-0000-0000-000052030000}"/>
    <cellStyle name="60% - Accent4 4 4" xfId="1090" xr:uid="{00000000-0005-0000-0000-000053030000}"/>
    <cellStyle name="60% - Accent4 4 5" xfId="1091" xr:uid="{00000000-0005-0000-0000-000054030000}"/>
    <cellStyle name="60% - Accent4 4 6" xfId="1092" xr:uid="{00000000-0005-0000-0000-000055030000}"/>
    <cellStyle name="60% - Accent4 5 2" xfId="1093" xr:uid="{00000000-0005-0000-0000-000056030000}"/>
    <cellStyle name="60% - Accent4 5 3" xfId="1094" xr:uid="{00000000-0005-0000-0000-000057030000}"/>
    <cellStyle name="60% - Accent4 5 4" xfId="1095" xr:uid="{00000000-0005-0000-0000-000058030000}"/>
    <cellStyle name="60% - Accent4 5 5" xfId="1096" xr:uid="{00000000-0005-0000-0000-000059030000}"/>
    <cellStyle name="60% - Accent4 5 6" xfId="1097" xr:uid="{00000000-0005-0000-0000-00005A030000}"/>
    <cellStyle name="60% - Accent4 6 2" xfId="1098" xr:uid="{00000000-0005-0000-0000-00005B030000}"/>
    <cellStyle name="60% - Accent4 6 3" xfId="1099" xr:uid="{00000000-0005-0000-0000-00005C030000}"/>
    <cellStyle name="60% - Accent4 6 4" xfId="1100" xr:uid="{00000000-0005-0000-0000-00005D030000}"/>
    <cellStyle name="60% - Accent4 6 5" xfId="1101" xr:uid="{00000000-0005-0000-0000-00005E030000}"/>
    <cellStyle name="60% - Accent4 6 6" xfId="1102" xr:uid="{00000000-0005-0000-0000-00005F030000}"/>
    <cellStyle name="60% - Accent4 7 2" xfId="1103" xr:uid="{00000000-0005-0000-0000-000060030000}"/>
    <cellStyle name="60% - Accent4 7 3" xfId="1104" xr:uid="{00000000-0005-0000-0000-000061030000}"/>
    <cellStyle name="60% - Accent4 7 4" xfId="1105" xr:uid="{00000000-0005-0000-0000-000062030000}"/>
    <cellStyle name="60% - Accent4 7 5" xfId="1106" xr:uid="{00000000-0005-0000-0000-000063030000}"/>
    <cellStyle name="60% - Accent4 7 6" xfId="1107" xr:uid="{00000000-0005-0000-0000-000064030000}"/>
    <cellStyle name="60% - Accent4 8 2" xfId="1108" xr:uid="{00000000-0005-0000-0000-000065030000}"/>
    <cellStyle name="60% - Accent4 8 3" xfId="1109" xr:uid="{00000000-0005-0000-0000-000066030000}"/>
    <cellStyle name="60% - Accent4 8 4" xfId="1110" xr:uid="{00000000-0005-0000-0000-000067030000}"/>
    <cellStyle name="60% - Accent4 8 5" xfId="1111" xr:uid="{00000000-0005-0000-0000-000068030000}"/>
    <cellStyle name="60% - Accent4 8 6" xfId="1112" xr:uid="{00000000-0005-0000-0000-000069030000}"/>
    <cellStyle name="60% - Accent4 9 2" xfId="1113" xr:uid="{00000000-0005-0000-0000-00006A030000}"/>
    <cellStyle name="60% - Accent4 9 3" xfId="1114" xr:uid="{00000000-0005-0000-0000-00006B030000}"/>
    <cellStyle name="60% - Accent4 9 4" xfId="1115" xr:uid="{00000000-0005-0000-0000-00006C030000}"/>
    <cellStyle name="60% - Accent4 9 5" xfId="1116" xr:uid="{00000000-0005-0000-0000-00006D030000}"/>
    <cellStyle name="60% - Accent4 9 6" xfId="1117" xr:uid="{00000000-0005-0000-0000-00006E030000}"/>
    <cellStyle name="60% - Accent5 10 2" xfId="1118" xr:uid="{00000000-0005-0000-0000-00006F030000}"/>
    <cellStyle name="60% - Accent5 10 3" xfId="1119" xr:uid="{00000000-0005-0000-0000-000070030000}"/>
    <cellStyle name="60% - Accent5 10 4" xfId="1120" xr:uid="{00000000-0005-0000-0000-000071030000}"/>
    <cellStyle name="60% - Accent5 10 5" xfId="1121" xr:uid="{00000000-0005-0000-0000-000072030000}"/>
    <cellStyle name="60% - Accent5 10 6" xfId="1122" xr:uid="{00000000-0005-0000-0000-000073030000}"/>
    <cellStyle name="60% - Accent5 11 2" xfId="1123" xr:uid="{00000000-0005-0000-0000-000074030000}"/>
    <cellStyle name="60% - Accent5 11 3" xfId="1124" xr:uid="{00000000-0005-0000-0000-000075030000}"/>
    <cellStyle name="60% - Accent5 11 4" xfId="1125" xr:uid="{00000000-0005-0000-0000-000076030000}"/>
    <cellStyle name="60% - Accent5 11 5" xfId="1126" xr:uid="{00000000-0005-0000-0000-000077030000}"/>
    <cellStyle name="60% - Accent5 11 6" xfId="1127" xr:uid="{00000000-0005-0000-0000-000078030000}"/>
    <cellStyle name="60% - Accent5 2" xfId="1128" xr:uid="{00000000-0005-0000-0000-000079030000}"/>
    <cellStyle name="60% - Accent5 2 2" xfId="1129" xr:uid="{00000000-0005-0000-0000-00007A030000}"/>
    <cellStyle name="60% - Accent5 2 3" xfId="1130" xr:uid="{00000000-0005-0000-0000-00007B030000}"/>
    <cellStyle name="60% - Accent5 2 4" xfId="1131" xr:uid="{00000000-0005-0000-0000-00007C030000}"/>
    <cellStyle name="60% - Accent5 2 5" xfId="1132" xr:uid="{00000000-0005-0000-0000-00007D030000}"/>
    <cellStyle name="60% - Accent5 2 6" xfId="1133" xr:uid="{00000000-0005-0000-0000-00007E030000}"/>
    <cellStyle name="60% - Accent5 2 7" xfId="5373" xr:uid="{957535A8-3AE0-4382-9939-971A3AB22445}"/>
    <cellStyle name="60% - Accent5 3" xfId="1134" xr:uid="{00000000-0005-0000-0000-00007F030000}"/>
    <cellStyle name="60% - Accent5 3 2" xfId="1135" xr:uid="{00000000-0005-0000-0000-000080030000}"/>
    <cellStyle name="60% - Accent5 3 3" xfId="1136" xr:uid="{00000000-0005-0000-0000-000081030000}"/>
    <cellStyle name="60% - Accent5 3 4" xfId="1137" xr:uid="{00000000-0005-0000-0000-000082030000}"/>
    <cellStyle name="60% - Accent5 3 5" xfId="1138" xr:uid="{00000000-0005-0000-0000-000083030000}"/>
    <cellStyle name="60% - Accent5 3 6" xfId="1139" xr:uid="{00000000-0005-0000-0000-000084030000}"/>
    <cellStyle name="60% - Accent5 4 2" xfId="1140" xr:uid="{00000000-0005-0000-0000-000085030000}"/>
    <cellStyle name="60% - Accent5 4 3" xfId="1141" xr:uid="{00000000-0005-0000-0000-000086030000}"/>
    <cellStyle name="60% - Accent5 4 4" xfId="1142" xr:uid="{00000000-0005-0000-0000-000087030000}"/>
    <cellStyle name="60% - Accent5 4 5" xfId="1143" xr:uid="{00000000-0005-0000-0000-000088030000}"/>
    <cellStyle name="60% - Accent5 4 6" xfId="1144" xr:uid="{00000000-0005-0000-0000-000089030000}"/>
    <cellStyle name="60% - Accent5 5 2" xfId="1145" xr:uid="{00000000-0005-0000-0000-00008A030000}"/>
    <cellStyle name="60% - Accent5 5 3" xfId="1146" xr:uid="{00000000-0005-0000-0000-00008B030000}"/>
    <cellStyle name="60% - Accent5 5 4" xfId="1147" xr:uid="{00000000-0005-0000-0000-00008C030000}"/>
    <cellStyle name="60% - Accent5 5 5" xfId="1148" xr:uid="{00000000-0005-0000-0000-00008D030000}"/>
    <cellStyle name="60% - Accent5 5 6" xfId="1149" xr:uid="{00000000-0005-0000-0000-00008E030000}"/>
    <cellStyle name="60% - Accent5 6 2" xfId="1150" xr:uid="{00000000-0005-0000-0000-00008F030000}"/>
    <cellStyle name="60% - Accent5 6 3" xfId="1151" xr:uid="{00000000-0005-0000-0000-000090030000}"/>
    <cellStyle name="60% - Accent5 6 4" xfId="1152" xr:uid="{00000000-0005-0000-0000-000091030000}"/>
    <cellStyle name="60% - Accent5 6 5" xfId="1153" xr:uid="{00000000-0005-0000-0000-000092030000}"/>
    <cellStyle name="60% - Accent5 6 6" xfId="1154" xr:uid="{00000000-0005-0000-0000-000093030000}"/>
    <cellStyle name="60% - Accent5 7 2" xfId="1155" xr:uid="{00000000-0005-0000-0000-000094030000}"/>
    <cellStyle name="60% - Accent5 7 3" xfId="1156" xr:uid="{00000000-0005-0000-0000-000095030000}"/>
    <cellStyle name="60% - Accent5 7 4" xfId="1157" xr:uid="{00000000-0005-0000-0000-000096030000}"/>
    <cellStyle name="60% - Accent5 7 5" xfId="1158" xr:uid="{00000000-0005-0000-0000-000097030000}"/>
    <cellStyle name="60% - Accent5 7 6" xfId="1159" xr:uid="{00000000-0005-0000-0000-000098030000}"/>
    <cellStyle name="60% - Accent5 8 2" xfId="1160" xr:uid="{00000000-0005-0000-0000-000099030000}"/>
    <cellStyle name="60% - Accent5 8 3" xfId="1161" xr:uid="{00000000-0005-0000-0000-00009A030000}"/>
    <cellStyle name="60% - Accent5 8 4" xfId="1162" xr:uid="{00000000-0005-0000-0000-00009B030000}"/>
    <cellStyle name="60% - Accent5 8 5" xfId="1163" xr:uid="{00000000-0005-0000-0000-00009C030000}"/>
    <cellStyle name="60% - Accent5 8 6" xfId="1164" xr:uid="{00000000-0005-0000-0000-00009D030000}"/>
    <cellStyle name="60% - Accent5 9 2" xfId="1165" xr:uid="{00000000-0005-0000-0000-00009E030000}"/>
    <cellStyle name="60% - Accent5 9 3" xfId="1166" xr:uid="{00000000-0005-0000-0000-00009F030000}"/>
    <cellStyle name="60% - Accent5 9 4" xfId="1167" xr:uid="{00000000-0005-0000-0000-0000A0030000}"/>
    <cellStyle name="60% - Accent5 9 5" xfId="1168" xr:uid="{00000000-0005-0000-0000-0000A1030000}"/>
    <cellStyle name="60% - Accent5 9 6" xfId="1169" xr:uid="{00000000-0005-0000-0000-0000A2030000}"/>
    <cellStyle name="60% - Accent6 10 2" xfId="1170" xr:uid="{00000000-0005-0000-0000-0000A3030000}"/>
    <cellStyle name="60% - Accent6 10 3" xfId="1171" xr:uid="{00000000-0005-0000-0000-0000A4030000}"/>
    <cellStyle name="60% - Accent6 10 4" xfId="1172" xr:uid="{00000000-0005-0000-0000-0000A5030000}"/>
    <cellStyle name="60% - Accent6 10 5" xfId="1173" xr:uid="{00000000-0005-0000-0000-0000A6030000}"/>
    <cellStyle name="60% - Accent6 10 6" xfId="1174" xr:uid="{00000000-0005-0000-0000-0000A7030000}"/>
    <cellStyle name="60% - Accent6 11 2" xfId="1175" xr:uid="{00000000-0005-0000-0000-0000A8030000}"/>
    <cellStyle name="60% - Accent6 11 3" xfId="1176" xr:uid="{00000000-0005-0000-0000-0000A9030000}"/>
    <cellStyle name="60% - Accent6 11 4" xfId="1177" xr:uid="{00000000-0005-0000-0000-0000AA030000}"/>
    <cellStyle name="60% - Accent6 11 5" xfId="1178" xr:uid="{00000000-0005-0000-0000-0000AB030000}"/>
    <cellStyle name="60% - Accent6 11 6" xfId="1179" xr:uid="{00000000-0005-0000-0000-0000AC030000}"/>
    <cellStyle name="60% - Accent6 2" xfId="1180" xr:uid="{00000000-0005-0000-0000-0000AD030000}"/>
    <cellStyle name="60% - Accent6 2 2" xfId="1181" xr:uid="{00000000-0005-0000-0000-0000AE030000}"/>
    <cellStyle name="60% - Accent6 2 3" xfId="1182" xr:uid="{00000000-0005-0000-0000-0000AF030000}"/>
    <cellStyle name="60% - Accent6 2 4" xfId="1183" xr:uid="{00000000-0005-0000-0000-0000B0030000}"/>
    <cellStyle name="60% - Accent6 2 5" xfId="1184" xr:uid="{00000000-0005-0000-0000-0000B1030000}"/>
    <cellStyle name="60% - Accent6 2 6" xfId="1185" xr:uid="{00000000-0005-0000-0000-0000B2030000}"/>
    <cellStyle name="60% - Accent6 2 7" xfId="5372" xr:uid="{E5BB529A-D748-4E71-8407-BD595E4050AA}"/>
    <cellStyle name="60% - Accent6 3" xfId="1186" xr:uid="{00000000-0005-0000-0000-0000B3030000}"/>
    <cellStyle name="60% - Accent6 3 2" xfId="1187" xr:uid="{00000000-0005-0000-0000-0000B4030000}"/>
    <cellStyle name="60% - Accent6 3 3" xfId="1188" xr:uid="{00000000-0005-0000-0000-0000B5030000}"/>
    <cellStyle name="60% - Accent6 3 4" xfId="1189" xr:uid="{00000000-0005-0000-0000-0000B6030000}"/>
    <cellStyle name="60% - Accent6 3 5" xfId="1190" xr:uid="{00000000-0005-0000-0000-0000B7030000}"/>
    <cellStyle name="60% - Accent6 3 6" xfId="1191" xr:uid="{00000000-0005-0000-0000-0000B8030000}"/>
    <cellStyle name="60% - Accent6 4 2" xfId="1192" xr:uid="{00000000-0005-0000-0000-0000B9030000}"/>
    <cellStyle name="60% - Accent6 4 3" xfId="1193" xr:uid="{00000000-0005-0000-0000-0000BA030000}"/>
    <cellStyle name="60% - Accent6 4 4" xfId="1194" xr:uid="{00000000-0005-0000-0000-0000BB030000}"/>
    <cellStyle name="60% - Accent6 4 5" xfId="1195" xr:uid="{00000000-0005-0000-0000-0000BC030000}"/>
    <cellStyle name="60% - Accent6 4 6" xfId="1196" xr:uid="{00000000-0005-0000-0000-0000BD030000}"/>
    <cellStyle name="60% - Accent6 5 2" xfId="1197" xr:uid="{00000000-0005-0000-0000-0000BE030000}"/>
    <cellStyle name="60% - Accent6 5 3" xfId="1198" xr:uid="{00000000-0005-0000-0000-0000BF030000}"/>
    <cellStyle name="60% - Accent6 5 4" xfId="1199" xr:uid="{00000000-0005-0000-0000-0000C0030000}"/>
    <cellStyle name="60% - Accent6 5 5" xfId="1200" xr:uid="{00000000-0005-0000-0000-0000C1030000}"/>
    <cellStyle name="60% - Accent6 5 6" xfId="1201" xr:uid="{00000000-0005-0000-0000-0000C2030000}"/>
    <cellStyle name="60% - Accent6 6 2" xfId="1202" xr:uid="{00000000-0005-0000-0000-0000C3030000}"/>
    <cellStyle name="60% - Accent6 6 3" xfId="1203" xr:uid="{00000000-0005-0000-0000-0000C4030000}"/>
    <cellStyle name="60% - Accent6 6 4" xfId="1204" xr:uid="{00000000-0005-0000-0000-0000C5030000}"/>
    <cellStyle name="60% - Accent6 6 5" xfId="1205" xr:uid="{00000000-0005-0000-0000-0000C6030000}"/>
    <cellStyle name="60% - Accent6 6 6" xfId="1206" xr:uid="{00000000-0005-0000-0000-0000C7030000}"/>
    <cellStyle name="60% - Accent6 7 2" xfId="1207" xr:uid="{00000000-0005-0000-0000-0000C8030000}"/>
    <cellStyle name="60% - Accent6 7 3" xfId="1208" xr:uid="{00000000-0005-0000-0000-0000C9030000}"/>
    <cellStyle name="60% - Accent6 7 4" xfId="1209" xr:uid="{00000000-0005-0000-0000-0000CA030000}"/>
    <cellStyle name="60% - Accent6 7 5" xfId="1210" xr:uid="{00000000-0005-0000-0000-0000CB030000}"/>
    <cellStyle name="60% - Accent6 7 6" xfId="1211" xr:uid="{00000000-0005-0000-0000-0000CC030000}"/>
    <cellStyle name="60% - Accent6 8 2" xfId="1212" xr:uid="{00000000-0005-0000-0000-0000CD030000}"/>
    <cellStyle name="60% - Accent6 8 3" xfId="1213" xr:uid="{00000000-0005-0000-0000-0000CE030000}"/>
    <cellStyle name="60% - Accent6 8 4" xfId="1214" xr:uid="{00000000-0005-0000-0000-0000CF030000}"/>
    <cellStyle name="60% - Accent6 8 5" xfId="1215" xr:uid="{00000000-0005-0000-0000-0000D0030000}"/>
    <cellStyle name="60% - Accent6 8 6" xfId="1216" xr:uid="{00000000-0005-0000-0000-0000D1030000}"/>
    <cellStyle name="60% - Accent6 9 2" xfId="1217" xr:uid="{00000000-0005-0000-0000-0000D2030000}"/>
    <cellStyle name="60% - Accent6 9 3" xfId="1218" xr:uid="{00000000-0005-0000-0000-0000D3030000}"/>
    <cellStyle name="60% - Accent6 9 4" xfId="1219" xr:uid="{00000000-0005-0000-0000-0000D4030000}"/>
    <cellStyle name="60% - Accent6 9 5" xfId="1220" xr:uid="{00000000-0005-0000-0000-0000D5030000}"/>
    <cellStyle name="60% - Accent6 9 6" xfId="1221" xr:uid="{00000000-0005-0000-0000-0000D6030000}"/>
    <cellStyle name="7" xfId="48" xr:uid="{00000000-0005-0000-0000-0000D7030000}"/>
    <cellStyle name="7 2" xfId="6362" xr:uid="{9366BAAB-784C-43EF-8315-364A0AF696EC}"/>
    <cellStyle name="7 3" xfId="6799" xr:uid="{63C7D0F8-E96D-4B65-860E-75F6553381F4}"/>
    <cellStyle name="8" xfId="49" xr:uid="{00000000-0005-0000-0000-0000D8030000}"/>
    <cellStyle name="8 2" xfId="6363" xr:uid="{F381DA20-E3F3-4BFE-9E78-C9767AEC41DC}"/>
    <cellStyle name="8 3" xfId="6800" xr:uid="{25E4185D-FC34-40DD-BFAE-67C14D0D0A2B}"/>
    <cellStyle name="9" xfId="50" xr:uid="{00000000-0005-0000-0000-0000D9030000}"/>
    <cellStyle name="9 2" xfId="6364" xr:uid="{5B86476E-1DBA-475C-BB83-17DA0BC6015E}"/>
    <cellStyle name="9 3" xfId="6801" xr:uid="{2E96508E-67A0-48F3-8BFF-0D5F4CB7CD68}"/>
    <cellStyle name="Accent1 - 20%" xfId="51" xr:uid="{00000000-0005-0000-0000-0000DA030000}"/>
    <cellStyle name="Accent1 - 40%" xfId="52" xr:uid="{00000000-0005-0000-0000-0000DB030000}"/>
    <cellStyle name="Accent1 - 60%" xfId="53" xr:uid="{00000000-0005-0000-0000-0000DC030000}"/>
    <cellStyle name="Accent1 10 2" xfId="1222" xr:uid="{00000000-0005-0000-0000-0000DD030000}"/>
    <cellStyle name="Accent1 10 3" xfId="1223" xr:uid="{00000000-0005-0000-0000-0000DE030000}"/>
    <cellStyle name="Accent1 10 4" xfId="1224" xr:uid="{00000000-0005-0000-0000-0000DF030000}"/>
    <cellStyle name="Accent1 10 5" xfId="1225" xr:uid="{00000000-0005-0000-0000-0000E0030000}"/>
    <cellStyle name="Accent1 10 6" xfId="1226" xr:uid="{00000000-0005-0000-0000-0000E1030000}"/>
    <cellStyle name="Accent1 11 2" xfId="1227" xr:uid="{00000000-0005-0000-0000-0000E2030000}"/>
    <cellStyle name="Accent1 11 3" xfId="1228" xr:uid="{00000000-0005-0000-0000-0000E3030000}"/>
    <cellStyle name="Accent1 11 4" xfId="1229" xr:uid="{00000000-0005-0000-0000-0000E4030000}"/>
    <cellStyle name="Accent1 11 5" xfId="1230" xr:uid="{00000000-0005-0000-0000-0000E5030000}"/>
    <cellStyle name="Accent1 11 6" xfId="1231" xr:uid="{00000000-0005-0000-0000-0000E6030000}"/>
    <cellStyle name="Accent1 2" xfId="54" xr:uid="{00000000-0005-0000-0000-0000E7030000}"/>
    <cellStyle name="Accent1 2 2" xfId="1232" xr:uid="{00000000-0005-0000-0000-0000E8030000}"/>
    <cellStyle name="Accent1 2 3" xfId="1233" xr:uid="{00000000-0005-0000-0000-0000E9030000}"/>
    <cellStyle name="Accent1 2 3 2" xfId="5258" xr:uid="{4125F83E-B8AB-47DF-B7DE-99CD43DC66F4}"/>
    <cellStyle name="Accent1 2 3 3" xfId="5437" xr:uid="{B95C2C00-7A7C-4D68-B128-7DB151F420CC}"/>
    <cellStyle name="Accent1 2 4" xfId="1234" xr:uid="{00000000-0005-0000-0000-0000EA030000}"/>
    <cellStyle name="Accent1 2 4 2" xfId="5257" xr:uid="{BB591955-3446-4B34-9C31-9DE777E03C95}"/>
    <cellStyle name="Accent1 2 4 3" xfId="5436" xr:uid="{DC479451-9E1A-4412-9F2D-EFC237DD7AA6}"/>
    <cellStyle name="Accent1 2 5" xfId="1235" xr:uid="{00000000-0005-0000-0000-0000EB030000}"/>
    <cellStyle name="Accent1 2 5 2" xfId="5256" xr:uid="{279B5386-015B-4D88-B76A-175B472EF0B2}"/>
    <cellStyle name="Accent1 2 5 3" xfId="5371" xr:uid="{F5F0615F-2673-4F30-851C-F781507D4302}"/>
    <cellStyle name="Accent1 2 6" xfId="1236" xr:uid="{00000000-0005-0000-0000-0000EC030000}"/>
    <cellStyle name="Accent1 2 6 2" xfId="5641" xr:uid="{09F6503E-9732-494C-807C-9D79931CAF8E}"/>
    <cellStyle name="Accent1 2 6 3" xfId="5370" xr:uid="{F8D97FE1-8882-459C-A210-7D7AB02B5F45}"/>
    <cellStyle name="Accent1 2 7" xfId="5170" xr:uid="{64048A06-FD07-481C-B15E-1A82D7F14874}"/>
    <cellStyle name="Accent1 2 8" xfId="5367" xr:uid="{F6446481-9D56-45DA-AE6D-8E0AD38179C8}"/>
    <cellStyle name="Accent1 3" xfId="55" xr:uid="{00000000-0005-0000-0000-0000ED030000}"/>
    <cellStyle name="Accent1 3 2" xfId="1238" xr:uid="{00000000-0005-0000-0000-0000EE030000}"/>
    <cellStyle name="Accent1 3 2 2" xfId="4751" xr:uid="{572E926B-20A4-4653-AE06-24FD47A69208}"/>
    <cellStyle name="Accent1 3 2 3" xfId="6847" xr:uid="{415E527E-CC9A-4013-9D64-1DDCF7CDCA66}"/>
    <cellStyle name="Accent1 3 2 4" xfId="4727" xr:uid="{F0FB3F35-12BD-42DF-A0BA-8E12E4EDBC31}"/>
    <cellStyle name="Accent1 3 3" xfId="1239" xr:uid="{00000000-0005-0000-0000-0000EF030000}"/>
    <cellStyle name="Accent1 3 4" xfId="1240" xr:uid="{00000000-0005-0000-0000-0000F0030000}"/>
    <cellStyle name="Accent1 3 5" xfId="1241" xr:uid="{00000000-0005-0000-0000-0000F1030000}"/>
    <cellStyle name="Accent1 3 6" xfId="1242" xr:uid="{00000000-0005-0000-0000-0000F2030000}"/>
    <cellStyle name="Accent1 3 7" xfId="1243" xr:uid="{00000000-0005-0000-0000-0000F3030000}"/>
    <cellStyle name="Accent1 3 7 2" xfId="5255" xr:uid="{E1F3942A-2B13-4FDF-BDC6-4F6EDE0C4EEF}"/>
    <cellStyle name="Accent1 3 7 3" xfId="5369" xr:uid="{071AAF55-4FAF-49C8-8F52-E3973E22916A}"/>
    <cellStyle name="Accent1 3 8" xfId="1237" xr:uid="{00000000-0005-0000-0000-0000F4030000}"/>
    <cellStyle name="Accent1 3 9" xfId="5591" xr:uid="{4970D928-6123-48D4-A064-D079C631A33F}"/>
    <cellStyle name="Accent1 4" xfId="56" xr:uid="{00000000-0005-0000-0000-0000F5030000}"/>
    <cellStyle name="Accent1 4 2" xfId="1245" xr:uid="{00000000-0005-0000-0000-0000F6030000}"/>
    <cellStyle name="Accent1 4 2 2" xfId="5254" xr:uid="{CFE14523-7671-400A-96E0-45B46EFEEBFC}"/>
    <cellStyle name="Accent1 4 2 3" xfId="5368" xr:uid="{311AE748-A4F0-4FF6-B93E-3370B8C0A1C5}"/>
    <cellStyle name="Accent1 4 3" xfId="1246" xr:uid="{00000000-0005-0000-0000-0000F7030000}"/>
    <cellStyle name="Accent1 4 4" xfId="1247" xr:uid="{00000000-0005-0000-0000-0000F8030000}"/>
    <cellStyle name="Accent1 4 5" xfId="1248" xr:uid="{00000000-0005-0000-0000-0000F9030000}"/>
    <cellStyle name="Accent1 4 6" xfId="1249" xr:uid="{00000000-0005-0000-0000-0000FA030000}"/>
    <cellStyle name="Accent1 4 7" xfId="1250" xr:uid="{00000000-0005-0000-0000-0000FB030000}"/>
    <cellStyle name="Accent1 4 8" xfId="1244" xr:uid="{00000000-0005-0000-0000-0000FC030000}"/>
    <cellStyle name="Accent1 5" xfId="57" xr:uid="{00000000-0005-0000-0000-0000FD030000}"/>
    <cellStyle name="Accent1 5 2" xfId="1251" xr:uid="{00000000-0005-0000-0000-0000FE030000}"/>
    <cellStyle name="Accent1 5 2 2" xfId="5253" xr:uid="{1610C5F4-66DC-4C66-8CEB-B21341428ACC}"/>
    <cellStyle name="Accent1 5 2 3" xfId="5169" xr:uid="{3DEE5741-2A5E-493F-88D4-1C5564C6ABDA}"/>
    <cellStyle name="Accent1 5 3" xfId="1252" xr:uid="{00000000-0005-0000-0000-0000FF030000}"/>
    <cellStyle name="Accent1 5 4" xfId="1253" xr:uid="{00000000-0005-0000-0000-000000040000}"/>
    <cellStyle name="Accent1 5 5" xfId="1254" xr:uid="{00000000-0005-0000-0000-000001040000}"/>
    <cellStyle name="Accent1 5 6" xfId="1255" xr:uid="{00000000-0005-0000-0000-000002040000}"/>
    <cellStyle name="Accent1 6" xfId="58" xr:uid="{00000000-0005-0000-0000-000003040000}"/>
    <cellStyle name="Accent1 6 2" xfId="1256" xr:uid="{00000000-0005-0000-0000-000004040000}"/>
    <cellStyle name="Accent1 6 2 2" xfId="5252" xr:uid="{3A7A83B5-08C2-46A9-94CD-99321FC2C25C}"/>
    <cellStyle name="Accent1 6 2 3" xfId="5366" xr:uid="{84F990BE-BAAD-4C3F-AB96-E51A103D5CC9}"/>
    <cellStyle name="Accent1 6 3" xfId="1257" xr:uid="{00000000-0005-0000-0000-000005040000}"/>
    <cellStyle name="Accent1 6 4" xfId="1258" xr:uid="{00000000-0005-0000-0000-000006040000}"/>
    <cellStyle name="Accent1 6 5" xfId="1259" xr:uid="{00000000-0005-0000-0000-000007040000}"/>
    <cellStyle name="Accent1 6 6" xfId="1260" xr:uid="{00000000-0005-0000-0000-000008040000}"/>
    <cellStyle name="Accent1 7" xfId="59" xr:uid="{00000000-0005-0000-0000-000009040000}"/>
    <cellStyle name="Accent1 7 2" xfId="1261" xr:uid="{00000000-0005-0000-0000-00000A040000}"/>
    <cellStyle name="Accent1 7 2 2" xfId="5251" xr:uid="{66590CC1-294E-4F9E-BFD6-E7DDF71069A4}"/>
    <cellStyle name="Accent1 7 2 3" xfId="5365" xr:uid="{45F29877-9DD7-47E4-8EF6-5167B5E3493C}"/>
    <cellStyle name="Accent1 7 3" xfId="1262" xr:uid="{00000000-0005-0000-0000-00000B040000}"/>
    <cellStyle name="Accent1 7 4" xfId="1263" xr:uid="{00000000-0005-0000-0000-00000C040000}"/>
    <cellStyle name="Accent1 7 5" xfId="1264" xr:uid="{00000000-0005-0000-0000-00000D040000}"/>
    <cellStyle name="Accent1 7 6" xfId="1265" xr:uid="{00000000-0005-0000-0000-00000E040000}"/>
    <cellStyle name="Accent1 8 2" xfId="1266" xr:uid="{00000000-0005-0000-0000-00000F040000}"/>
    <cellStyle name="Accent1 8 3" xfId="1267" xr:uid="{00000000-0005-0000-0000-000010040000}"/>
    <cellStyle name="Accent1 8 4" xfId="1268" xr:uid="{00000000-0005-0000-0000-000011040000}"/>
    <cellStyle name="Accent1 8 5" xfId="1269" xr:uid="{00000000-0005-0000-0000-000012040000}"/>
    <cellStyle name="Accent1 8 6" xfId="1270" xr:uid="{00000000-0005-0000-0000-000013040000}"/>
    <cellStyle name="Accent1 9 2" xfId="1271" xr:uid="{00000000-0005-0000-0000-000014040000}"/>
    <cellStyle name="Accent1 9 3" xfId="1272" xr:uid="{00000000-0005-0000-0000-000015040000}"/>
    <cellStyle name="Accent1 9 4" xfId="1273" xr:uid="{00000000-0005-0000-0000-000016040000}"/>
    <cellStyle name="Accent1 9 5" xfId="1274" xr:uid="{00000000-0005-0000-0000-000017040000}"/>
    <cellStyle name="Accent1 9 6" xfId="1275" xr:uid="{00000000-0005-0000-0000-000018040000}"/>
    <cellStyle name="Accent2 - 20%" xfId="60" xr:uid="{00000000-0005-0000-0000-000019040000}"/>
    <cellStyle name="Accent2 - 40%" xfId="61" xr:uid="{00000000-0005-0000-0000-00001A040000}"/>
    <cellStyle name="Accent2 - 60%" xfId="62" xr:uid="{00000000-0005-0000-0000-00001B040000}"/>
    <cellStyle name="Accent2 10 2" xfId="1276" xr:uid="{00000000-0005-0000-0000-00001C040000}"/>
    <cellStyle name="Accent2 10 3" xfId="1277" xr:uid="{00000000-0005-0000-0000-00001D040000}"/>
    <cellStyle name="Accent2 10 4" xfId="1278" xr:uid="{00000000-0005-0000-0000-00001E040000}"/>
    <cellStyle name="Accent2 10 5" xfId="1279" xr:uid="{00000000-0005-0000-0000-00001F040000}"/>
    <cellStyle name="Accent2 10 6" xfId="1280" xr:uid="{00000000-0005-0000-0000-000020040000}"/>
    <cellStyle name="Accent2 11 2" xfId="1281" xr:uid="{00000000-0005-0000-0000-000021040000}"/>
    <cellStyle name="Accent2 11 3" xfId="1282" xr:uid="{00000000-0005-0000-0000-000022040000}"/>
    <cellStyle name="Accent2 11 4" xfId="1283" xr:uid="{00000000-0005-0000-0000-000023040000}"/>
    <cellStyle name="Accent2 11 5" xfId="1284" xr:uid="{00000000-0005-0000-0000-000024040000}"/>
    <cellStyle name="Accent2 11 6" xfId="1285" xr:uid="{00000000-0005-0000-0000-000025040000}"/>
    <cellStyle name="Accent2 2" xfId="63" xr:uid="{00000000-0005-0000-0000-000026040000}"/>
    <cellStyle name="Accent2 2 2" xfId="1286" xr:uid="{00000000-0005-0000-0000-000027040000}"/>
    <cellStyle name="Accent2 2 3" xfId="1287" xr:uid="{00000000-0005-0000-0000-000028040000}"/>
    <cellStyle name="Accent2 2 3 2" xfId="5250" xr:uid="{37F36BC6-49B7-4BE1-B942-C2AD6C158EA9}"/>
    <cellStyle name="Accent2 2 3 3" xfId="5098" xr:uid="{F04FEC09-B322-410C-859A-5288B7338017}"/>
    <cellStyle name="Accent2 2 4" xfId="1288" xr:uid="{00000000-0005-0000-0000-000029040000}"/>
    <cellStyle name="Accent2 2 4 2" xfId="5249" xr:uid="{A99D1451-CAAB-4152-9780-692B2903FC61}"/>
    <cellStyle name="Accent2 2 4 3" xfId="5435" xr:uid="{2FB40E39-73F0-4C9F-A9A4-20BC3E20AC01}"/>
    <cellStyle name="Accent2 2 5" xfId="1289" xr:uid="{00000000-0005-0000-0000-00002A040000}"/>
    <cellStyle name="Accent2 2 5 2" xfId="5248" xr:uid="{EBEC6119-D80A-45B0-9691-561FAD3F0E5F}"/>
    <cellStyle name="Accent2 2 5 3" xfId="5364" xr:uid="{B34254E2-F36A-45F7-9F59-B8A3DC1C34E4}"/>
    <cellStyle name="Accent2 2 6" xfId="1290" xr:uid="{00000000-0005-0000-0000-00002B040000}"/>
    <cellStyle name="Accent2 2 6 2" xfId="5247" xr:uid="{973EFF32-3277-44F6-B473-04B0373883BC}"/>
    <cellStyle name="Accent2 2 6 3" xfId="5363" xr:uid="{F4725E5B-87C8-4289-99E9-FF909A77D53D}"/>
    <cellStyle name="Accent2 2 7" xfId="5362" xr:uid="{4AB0AE7E-D5E0-478D-93D0-F9C9CA779C19}"/>
    <cellStyle name="Accent2 2 8" xfId="5538" xr:uid="{88F0A541-A3D0-42DB-B225-2587086FFC2B}"/>
    <cellStyle name="Accent2 3" xfId="64" xr:uid="{00000000-0005-0000-0000-00002C040000}"/>
    <cellStyle name="Accent2 3 2" xfId="1292" xr:uid="{00000000-0005-0000-0000-00002D040000}"/>
    <cellStyle name="Accent2 3 2 2" xfId="4752" xr:uid="{E077CC6C-AA42-4F70-B003-83C49DA8C9C9}"/>
    <cellStyle name="Accent2 3 2 3" xfId="6848" xr:uid="{112C7E89-EF40-4E46-895B-DFF453F5AFE3}"/>
    <cellStyle name="Accent2 3 2 4" xfId="4728" xr:uid="{3B67C342-53C9-448B-922E-A48E89CD196F}"/>
    <cellStyle name="Accent2 3 3" xfId="1293" xr:uid="{00000000-0005-0000-0000-00002E040000}"/>
    <cellStyle name="Accent2 3 4" xfId="1294" xr:uid="{00000000-0005-0000-0000-00002F040000}"/>
    <cellStyle name="Accent2 3 5" xfId="1295" xr:uid="{00000000-0005-0000-0000-000030040000}"/>
    <cellStyle name="Accent2 3 6" xfId="1296" xr:uid="{00000000-0005-0000-0000-000031040000}"/>
    <cellStyle name="Accent2 3 7" xfId="1297" xr:uid="{00000000-0005-0000-0000-000032040000}"/>
    <cellStyle name="Accent2 3 7 2" xfId="5246" xr:uid="{F2505675-EAE0-4BF9-8BB6-C0BAE8B7780A}"/>
    <cellStyle name="Accent2 3 7 3" xfId="5361" xr:uid="{8B5E09A8-3B10-48F6-98E4-19950D4DC248}"/>
    <cellStyle name="Accent2 3 8" xfId="1291" xr:uid="{00000000-0005-0000-0000-000033040000}"/>
    <cellStyle name="Accent2 3 9" xfId="5265" xr:uid="{98BC9458-BAE8-4451-A2E9-F4DD1D7D26C7}"/>
    <cellStyle name="Accent2 4" xfId="65" xr:uid="{00000000-0005-0000-0000-000034040000}"/>
    <cellStyle name="Accent2 4 2" xfId="1299" xr:uid="{00000000-0005-0000-0000-000035040000}"/>
    <cellStyle name="Accent2 4 2 2" xfId="5640" xr:uid="{3CA3BAF1-19F3-4453-AE50-B773BA51D898}"/>
    <cellStyle name="Accent2 4 2 3" xfId="5360" xr:uid="{829779D8-DA12-4D63-8F8F-2CA9B75B63E2}"/>
    <cellStyle name="Accent2 4 3" xfId="1300" xr:uid="{00000000-0005-0000-0000-000036040000}"/>
    <cellStyle name="Accent2 4 4" xfId="1301" xr:uid="{00000000-0005-0000-0000-000037040000}"/>
    <cellStyle name="Accent2 4 5" xfId="1302" xr:uid="{00000000-0005-0000-0000-000038040000}"/>
    <cellStyle name="Accent2 4 6" xfId="1303" xr:uid="{00000000-0005-0000-0000-000039040000}"/>
    <cellStyle name="Accent2 4 7" xfId="1304" xr:uid="{00000000-0005-0000-0000-00003A040000}"/>
    <cellStyle name="Accent2 4 8" xfId="1298" xr:uid="{00000000-0005-0000-0000-00003B040000}"/>
    <cellStyle name="Accent2 5" xfId="66" xr:uid="{00000000-0005-0000-0000-00003C040000}"/>
    <cellStyle name="Accent2 5 2" xfId="1305" xr:uid="{00000000-0005-0000-0000-00003D040000}"/>
    <cellStyle name="Accent2 5 2 2" xfId="5245" xr:uid="{9507092F-D4D0-42F8-A9A6-7176CA14F57C}"/>
    <cellStyle name="Accent2 5 2 3" xfId="5359" xr:uid="{78A075CD-DDBB-4A9F-B023-F551109CAE32}"/>
    <cellStyle name="Accent2 5 3" xfId="1306" xr:uid="{00000000-0005-0000-0000-00003E040000}"/>
    <cellStyle name="Accent2 5 4" xfId="1307" xr:uid="{00000000-0005-0000-0000-00003F040000}"/>
    <cellStyle name="Accent2 5 5" xfId="1308" xr:uid="{00000000-0005-0000-0000-000040040000}"/>
    <cellStyle name="Accent2 5 6" xfId="1309" xr:uid="{00000000-0005-0000-0000-000041040000}"/>
    <cellStyle name="Accent2 6" xfId="67" xr:uid="{00000000-0005-0000-0000-000042040000}"/>
    <cellStyle name="Accent2 6 2" xfId="1310" xr:uid="{00000000-0005-0000-0000-000043040000}"/>
    <cellStyle name="Accent2 6 2 2" xfId="5244" xr:uid="{DB48650D-CB98-478E-B400-62F0F1D96D52}"/>
    <cellStyle name="Accent2 6 2 3" xfId="5358" xr:uid="{45CF8237-405E-4515-9143-12CB8031F73E}"/>
    <cellStyle name="Accent2 6 3" xfId="1311" xr:uid="{00000000-0005-0000-0000-000044040000}"/>
    <cellStyle name="Accent2 6 4" xfId="1312" xr:uid="{00000000-0005-0000-0000-000045040000}"/>
    <cellStyle name="Accent2 6 5" xfId="1313" xr:uid="{00000000-0005-0000-0000-000046040000}"/>
    <cellStyle name="Accent2 6 6" xfId="1314" xr:uid="{00000000-0005-0000-0000-000047040000}"/>
    <cellStyle name="Accent2 7" xfId="68" xr:uid="{00000000-0005-0000-0000-000048040000}"/>
    <cellStyle name="Accent2 7 2" xfId="1315" xr:uid="{00000000-0005-0000-0000-000049040000}"/>
    <cellStyle name="Accent2 7 2 2" xfId="5243" xr:uid="{8B455E09-7DE8-4397-8927-5DBC5CF6B125}"/>
    <cellStyle name="Accent2 7 2 3" xfId="5357" xr:uid="{58694A99-FEA1-446B-9ECC-C6BD7E8E44C1}"/>
    <cellStyle name="Accent2 7 3" xfId="1316" xr:uid="{00000000-0005-0000-0000-00004A040000}"/>
    <cellStyle name="Accent2 7 4" xfId="1317" xr:uid="{00000000-0005-0000-0000-00004B040000}"/>
    <cellStyle name="Accent2 7 5" xfId="1318" xr:uid="{00000000-0005-0000-0000-00004C040000}"/>
    <cellStyle name="Accent2 7 6" xfId="1319" xr:uid="{00000000-0005-0000-0000-00004D040000}"/>
    <cellStyle name="Accent2 8 2" xfId="1320" xr:uid="{00000000-0005-0000-0000-00004E040000}"/>
    <cellStyle name="Accent2 8 3" xfId="1321" xr:uid="{00000000-0005-0000-0000-00004F040000}"/>
    <cellStyle name="Accent2 8 4" xfId="1322" xr:uid="{00000000-0005-0000-0000-000050040000}"/>
    <cellStyle name="Accent2 8 5" xfId="1323" xr:uid="{00000000-0005-0000-0000-000051040000}"/>
    <cellStyle name="Accent2 8 6" xfId="1324" xr:uid="{00000000-0005-0000-0000-000052040000}"/>
    <cellStyle name="Accent2 9 2" xfId="1325" xr:uid="{00000000-0005-0000-0000-000053040000}"/>
    <cellStyle name="Accent2 9 3" xfId="1326" xr:uid="{00000000-0005-0000-0000-000054040000}"/>
    <cellStyle name="Accent2 9 4" xfId="1327" xr:uid="{00000000-0005-0000-0000-000055040000}"/>
    <cellStyle name="Accent2 9 5" xfId="1328" xr:uid="{00000000-0005-0000-0000-000056040000}"/>
    <cellStyle name="Accent2 9 6" xfId="1329" xr:uid="{00000000-0005-0000-0000-000057040000}"/>
    <cellStyle name="Accent3 - 20%" xfId="69" xr:uid="{00000000-0005-0000-0000-000058040000}"/>
    <cellStyle name="Accent3 - 40%" xfId="70" xr:uid="{00000000-0005-0000-0000-000059040000}"/>
    <cellStyle name="Accent3 - 60%" xfId="71" xr:uid="{00000000-0005-0000-0000-00005A040000}"/>
    <cellStyle name="Accent3 10 2" xfId="1330" xr:uid="{00000000-0005-0000-0000-00005B040000}"/>
    <cellStyle name="Accent3 10 3" xfId="1331" xr:uid="{00000000-0005-0000-0000-00005C040000}"/>
    <cellStyle name="Accent3 10 4" xfId="1332" xr:uid="{00000000-0005-0000-0000-00005D040000}"/>
    <cellStyle name="Accent3 10 5" xfId="1333" xr:uid="{00000000-0005-0000-0000-00005E040000}"/>
    <cellStyle name="Accent3 10 6" xfId="1334" xr:uid="{00000000-0005-0000-0000-00005F040000}"/>
    <cellStyle name="Accent3 11 2" xfId="1335" xr:uid="{00000000-0005-0000-0000-000060040000}"/>
    <cellStyle name="Accent3 11 3" xfId="1336" xr:uid="{00000000-0005-0000-0000-000061040000}"/>
    <cellStyle name="Accent3 11 4" xfId="1337" xr:uid="{00000000-0005-0000-0000-000062040000}"/>
    <cellStyle name="Accent3 11 5" xfId="1338" xr:uid="{00000000-0005-0000-0000-000063040000}"/>
    <cellStyle name="Accent3 11 6" xfId="1339" xr:uid="{00000000-0005-0000-0000-000064040000}"/>
    <cellStyle name="Accent3 2" xfId="72" xr:uid="{00000000-0005-0000-0000-000065040000}"/>
    <cellStyle name="Accent3 2 2" xfId="1340" xr:uid="{00000000-0005-0000-0000-000066040000}"/>
    <cellStyle name="Accent3 2 3" xfId="1341" xr:uid="{00000000-0005-0000-0000-000067040000}"/>
    <cellStyle name="Accent3 2 3 2" xfId="5242" xr:uid="{8A9B1DC2-7ACA-495D-9B5C-A0C19B913F63}"/>
    <cellStyle name="Accent3 2 3 3" xfId="5097" xr:uid="{E53897CF-FE15-43A4-980C-4AB8AB545607}"/>
    <cellStyle name="Accent3 2 4" xfId="1342" xr:uid="{00000000-0005-0000-0000-000068040000}"/>
    <cellStyle name="Accent3 2 4 2" xfId="5547" xr:uid="{B8BA2617-5A45-475D-8E80-19F6C64A45D9}"/>
    <cellStyle name="Accent3 2 4 3" xfId="5434" xr:uid="{9941124E-AC59-4F27-88D7-02AF40CCCE72}"/>
    <cellStyle name="Accent3 2 5" xfId="1343" xr:uid="{00000000-0005-0000-0000-000069040000}"/>
    <cellStyle name="Accent3 2 5 2" xfId="5241" xr:uid="{CB427E04-CFF6-4E70-9ABD-1A42C14CCE8D}"/>
    <cellStyle name="Accent3 2 5 3" xfId="5356" xr:uid="{29CFAA39-14E3-413D-89D9-A8995A730905}"/>
    <cellStyle name="Accent3 2 6" xfId="1344" xr:uid="{00000000-0005-0000-0000-00006A040000}"/>
    <cellStyle name="Accent3 2 6 2" xfId="5240" xr:uid="{4B0B8AD9-2F82-434B-AE1B-0357E65F6DD6}"/>
    <cellStyle name="Accent3 2 6 3" xfId="5355" xr:uid="{ECD3B315-D0A6-4293-B343-4E2E1504A50A}"/>
    <cellStyle name="Accent3 2 7" xfId="5354" xr:uid="{C06E40D0-98B3-4DCA-9BF0-26BD48A9A512}"/>
    <cellStyle name="Accent3 2 8" xfId="5353" xr:uid="{C8955813-ED0A-4995-9E2C-49C7A5D9A1B5}"/>
    <cellStyle name="Accent3 3" xfId="73" xr:uid="{00000000-0005-0000-0000-00006B040000}"/>
    <cellStyle name="Accent3 3 2" xfId="1346" xr:uid="{00000000-0005-0000-0000-00006C040000}"/>
    <cellStyle name="Accent3 3 2 2" xfId="4753" xr:uid="{0618526D-3795-4FB6-AC70-79361D423F13}"/>
    <cellStyle name="Accent3 3 2 3" xfId="6849" xr:uid="{8D2DBEFB-A94A-4605-92BA-0DE39BC5D61D}"/>
    <cellStyle name="Accent3 3 2 4" xfId="4729" xr:uid="{BFD5319E-B41E-4D5B-8531-280D1534E76A}"/>
    <cellStyle name="Accent3 3 3" xfId="1347" xr:uid="{00000000-0005-0000-0000-00006D040000}"/>
    <cellStyle name="Accent3 3 4" xfId="1348" xr:uid="{00000000-0005-0000-0000-00006E040000}"/>
    <cellStyle name="Accent3 3 5" xfId="1349" xr:uid="{00000000-0005-0000-0000-00006F040000}"/>
    <cellStyle name="Accent3 3 6" xfId="1350" xr:uid="{00000000-0005-0000-0000-000070040000}"/>
    <cellStyle name="Accent3 3 7" xfId="1351" xr:uid="{00000000-0005-0000-0000-000071040000}"/>
    <cellStyle name="Accent3 3 7 2" xfId="5157" xr:uid="{690C9543-285D-4E8A-A901-8B817BC17EB4}"/>
    <cellStyle name="Accent3 3 7 3" xfId="5088" xr:uid="{05BEFC0A-370F-470D-A58C-E6B1327038FF}"/>
    <cellStyle name="Accent3 3 8" xfId="1345" xr:uid="{00000000-0005-0000-0000-000072040000}"/>
    <cellStyle name="Accent3 3 9" xfId="5590" xr:uid="{69255972-995A-4F3F-BAA8-32BEDBEA9005}"/>
    <cellStyle name="Accent3 4" xfId="74" xr:uid="{00000000-0005-0000-0000-000073040000}"/>
    <cellStyle name="Accent3 4 2" xfId="1353" xr:uid="{00000000-0005-0000-0000-000074040000}"/>
    <cellStyle name="Accent3 4 2 2" xfId="5239" xr:uid="{FC0F2947-ACDB-4A92-BEE6-0D6D11D8C094}"/>
    <cellStyle name="Accent3 4 2 3" xfId="5087" xr:uid="{BD69ECA2-E763-4AC6-9313-E6A7EE7E918B}"/>
    <cellStyle name="Accent3 4 3" xfId="1354" xr:uid="{00000000-0005-0000-0000-000075040000}"/>
    <cellStyle name="Accent3 4 4" xfId="1355" xr:uid="{00000000-0005-0000-0000-000076040000}"/>
    <cellStyle name="Accent3 4 5" xfId="1356" xr:uid="{00000000-0005-0000-0000-000077040000}"/>
    <cellStyle name="Accent3 4 6" xfId="1357" xr:uid="{00000000-0005-0000-0000-000078040000}"/>
    <cellStyle name="Accent3 4 7" xfId="1358" xr:uid="{00000000-0005-0000-0000-000079040000}"/>
    <cellStyle name="Accent3 4 8" xfId="1352" xr:uid="{00000000-0005-0000-0000-00007A040000}"/>
    <cellStyle name="Accent3 5" xfId="75" xr:uid="{00000000-0005-0000-0000-00007B040000}"/>
    <cellStyle name="Accent3 5 2" xfId="1359" xr:uid="{00000000-0005-0000-0000-00007C040000}"/>
    <cellStyle name="Accent3 5 2 2" xfId="5237" xr:uid="{60E608B5-1D81-4182-A7C4-71C6ACB6380B}"/>
    <cellStyle name="Accent3 5 2 3" xfId="5086" xr:uid="{0F949470-E298-4E88-A4A9-A2B5D9AFDEA7}"/>
    <cellStyle name="Accent3 5 3" xfId="1360" xr:uid="{00000000-0005-0000-0000-00007D040000}"/>
    <cellStyle name="Accent3 5 4" xfId="1361" xr:uid="{00000000-0005-0000-0000-00007E040000}"/>
    <cellStyle name="Accent3 5 5" xfId="1362" xr:uid="{00000000-0005-0000-0000-00007F040000}"/>
    <cellStyle name="Accent3 5 6" xfId="1363" xr:uid="{00000000-0005-0000-0000-000080040000}"/>
    <cellStyle name="Accent3 6" xfId="76" xr:uid="{00000000-0005-0000-0000-000081040000}"/>
    <cellStyle name="Accent3 6 2" xfId="1364" xr:uid="{00000000-0005-0000-0000-000082040000}"/>
    <cellStyle name="Accent3 6 2 2" xfId="5238" xr:uid="{A06E1C30-08B3-4F5B-A15D-917F3D19B79F}"/>
    <cellStyle name="Accent3 6 2 3" xfId="5085" xr:uid="{4ABF4FDA-5C60-4A8E-845B-4142B9FE5193}"/>
    <cellStyle name="Accent3 6 3" xfId="1365" xr:uid="{00000000-0005-0000-0000-000083040000}"/>
    <cellStyle name="Accent3 6 4" xfId="1366" xr:uid="{00000000-0005-0000-0000-000084040000}"/>
    <cellStyle name="Accent3 6 5" xfId="1367" xr:uid="{00000000-0005-0000-0000-000085040000}"/>
    <cellStyle name="Accent3 6 6" xfId="1368" xr:uid="{00000000-0005-0000-0000-000086040000}"/>
    <cellStyle name="Accent3 7" xfId="77" xr:uid="{00000000-0005-0000-0000-000087040000}"/>
    <cellStyle name="Accent3 7 2" xfId="1369" xr:uid="{00000000-0005-0000-0000-000088040000}"/>
    <cellStyle name="Accent3 7 2 2" xfId="5236" xr:uid="{ADD5071E-DAA9-426A-8487-E62DDD47233D}"/>
    <cellStyle name="Accent3 7 2 3" xfId="5352" xr:uid="{6D488CCF-280B-43E0-9AFA-A407A54BF91C}"/>
    <cellStyle name="Accent3 7 3" xfId="1370" xr:uid="{00000000-0005-0000-0000-000089040000}"/>
    <cellStyle name="Accent3 7 4" xfId="1371" xr:uid="{00000000-0005-0000-0000-00008A040000}"/>
    <cellStyle name="Accent3 7 5" xfId="1372" xr:uid="{00000000-0005-0000-0000-00008B040000}"/>
    <cellStyle name="Accent3 7 6" xfId="1373" xr:uid="{00000000-0005-0000-0000-00008C040000}"/>
    <cellStyle name="Accent3 8 2" xfId="1374" xr:uid="{00000000-0005-0000-0000-00008D040000}"/>
    <cellStyle name="Accent3 8 3" xfId="1375" xr:uid="{00000000-0005-0000-0000-00008E040000}"/>
    <cellStyle name="Accent3 8 4" xfId="1376" xr:uid="{00000000-0005-0000-0000-00008F040000}"/>
    <cellStyle name="Accent3 8 5" xfId="1377" xr:uid="{00000000-0005-0000-0000-000090040000}"/>
    <cellStyle name="Accent3 8 6" xfId="1378" xr:uid="{00000000-0005-0000-0000-000091040000}"/>
    <cellStyle name="Accent3 9 2" xfId="1379" xr:uid="{00000000-0005-0000-0000-000092040000}"/>
    <cellStyle name="Accent3 9 3" xfId="1380" xr:uid="{00000000-0005-0000-0000-000093040000}"/>
    <cellStyle name="Accent3 9 4" xfId="1381" xr:uid="{00000000-0005-0000-0000-000094040000}"/>
    <cellStyle name="Accent3 9 5" xfId="1382" xr:uid="{00000000-0005-0000-0000-000095040000}"/>
    <cellStyle name="Accent3 9 6" xfId="1383" xr:uid="{00000000-0005-0000-0000-000096040000}"/>
    <cellStyle name="Accent4 - 20%" xfId="78" xr:uid="{00000000-0005-0000-0000-000097040000}"/>
    <cellStyle name="Accent4 - 40%" xfId="79" xr:uid="{00000000-0005-0000-0000-000098040000}"/>
    <cellStyle name="Accent4 - 60%" xfId="80" xr:uid="{00000000-0005-0000-0000-000099040000}"/>
    <cellStyle name="Accent4 10 2" xfId="1384" xr:uid="{00000000-0005-0000-0000-00009A040000}"/>
    <cellStyle name="Accent4 10 3" xfId="1385" xr:uid="{00000000-0005-0000-0000-00009B040000}"/>
    <cellStyle name="Accent4 10 4" xfId="1386" xr:uid="{00000000-0005-0000-0000-00009C040000}"/>
    <cellStyle name="Accent4 10 5" xfId="1387" xr:uid="{00000000-0005-0000-0000-00009D040000}"/>
    <cellStyle name="Accent4 10 6" xfId="1388" xr:uid="{00000000-0005-0000-0000-00009E040000}"/>
    <cellStyle name="Accent4 11 2" xfId="1389" xr:uid="{00000000-0005-0000-0000-00009F040000}"/>
    <cellStyle name="Accent4 11 3" xfId="1390" xr:uid="{00000000-0005-0000-0000-0000A0040000}"/>
    <cellStyle name="Accent4 11 4" xfId="1391" xr:uid="{00000000-0005-0000-0000-0000A1040000}"/>
    <cellStyle name="Accent4 11 5" xfId="1392" xr:uid="{00000000-0005-0000-0000-0000A2040000}"/>
    <cellStyle name="Accent4 11 6" xfId="1393" xr:uid="{00000000-0005-0000-0000-0000A3040000}"/>
    <cellStyle name="Accent4 2" xfId="81" xr:uid="{00000000-0005-0000-0000-0000A4040000}"/>
    <cellStyle name="Accent4 2 2" xfId="1394" xr:uid="{00000000-0005-0000-0000-0000A5040000}"/>
    <cellStyle name="Accent4 2 3" xfId="1395" xr:uid="{00000000-0005-0000-0000-0000A6040000}"/>
    <cellStyle name="Accent4 2 3 2" xfId="5235" xr:uid="{97083F33-CCE8-4F26-B4D7-135835A62509}"/>
    <cellStyle name="Accent4 2 3 3" xfId="5096" xr:uid="{78DAEBB1-EA3F-4727-9DB7-3BCF512BF065}"/>
    <cellStyle name="Accent4 2 4" xfId="1396" xr:uid="{00000000-0005-0000-0000-0000A7040000}"/>
    <cellStyle name="Accent4 2 4 2" xfId="5234" xr:uid="{8BCF513A-6C62-4BE3-9AB0-20DD2C3720E0}"/>
    <cellStyle name="Accent4 2 4 3" xfId="5120" xr:uid="{1FB1ACB7-A050-4189-A5BD-CFBF20899568}"/>
    <cellStyle name="Accent4 2 5" xfId="1397" xr:uid="{00000000-0005-0000-0000-0000A8040000}"/>
    <cellStyle name="Accent4 2 5 2" xfId="5233" xr:uid="{472F8464-A5F6-459D-822C-93C5B3A3BCE8}"/>
    <cellStyle name="Accent4 2 5 3" xfId="5351" xr:uid="{AA723371-FE2E-4C92-9295-F28DF4211F17}"/>
    <cellStyle name="Accent4 2 6" xfId="1398" xr:uid="{00000000-0005-0000-0000-0000A9040000}"/>
    <cellStyle name="Accent4 2 6 2" xfId="5232" xr:uid="{6368F9B8-FB0B-4528-95B5-A29EBDA2E5A2}"/>
    <cellStyle name="Accent4 2 6 3" xfId="5350" xr:uid="{C318224E-BDE0-44CC-8536-21C8C160C50A}"/>
    <cellStyle name="Accent4 2 7" xfId="5349" xr:uid="{BF8A466C-9ED1-4A65-BE68-13A065216B6B}"/>
    <cellStyle name="Accent4 2 8" xfId="5084" xr:uid="{1B68E763-3BF0-4CB1-B472-D069A3D656B7}"/>
    <cellStyle name="Accent4 3" xfId="82" xr:uid="{00000000-0005-0000-0000-0000AA040000}"/>
    <cellStyle name="Accent4 3 2" xfId="1400" xr:uid="{00000000-0005-0000-0000-0000AB040000}"/>
    <cellStyle name="Accent4 3 2 2" xfId="4754" xr:uid="{A50A2616-5753-4DF3-9409-DFB3F70BEBD0}"/>
    <cellStyle name="Accent4 3 2 3" xfId="6850" xr:uid="{92E9E818-7658-4B10-A30D-3433ED653B33}"/>
    <cellStyle name="Accent4 3 2 4" xfId="4730" xr:uid="{EFBE223D-CAF9-4B31-9F11-A65BC4C24E0E}"/>
    <cellStyle name="Accent4 3 3" xfId="1401" xr:uid="{00000000-0005-0000-0000-0000AC040000}"/>
    <cellStyle name="Accent4 3 4" xfId="1402" xr:uid="{00000000-0005-0000-0000-0000AD040000}"/>
    <cellStyle name="Accent4 3 5" xfId="1403" xr:uid="{00000000-0005-0000-0000-0000AE040000}"/>
    <cellStyle name="Accent4 3 6" xfId="1404" xr:uid="{00000000-0005-0000-0000-0000AF040000}"/>
    <cellStyle name="Accent4 3 7" xfId="1405" xr:uid="{00000000-0005-0000-0000-0000B0040000}"/>
    <cellStyle name="Accent4 3 7 2" xfId="5231" xr:uid="{239095F4-CCC4-4B51-AAB5-59786C5B3F87}"/>
    <cellStyle name="Accent4 3 7 3" xfId="5348" xr:uid="{65B0F305-F9B2-4AEF-9D8C-5E4F623F8DD3}"/>
    <cellStyle name="Accent4 3 8" xfId="1399" xr:uid="{00000000-0005-0000-0000-0000B1040000}"/>
    <cellStyle name="Accent4 3 9" xfId="5264" xr:uid="{766766F9-334B-4CD4-A572-EE8AAAF56DD0}"/>
    <cellStyle name="Accent4 4" xfId="83" xr:uid="{00000000-0005-0000-0000-0000B2040000}"/>
    <cellStyle name="Accent4 4 2" xfId="1407" xr:uid="{00000000-0005-0000-0000-0000B3040000}"/>
    <cellStyle name="Accent4 4 2 2" xfId="5230" xr:uid="{31D9D4B8-9E4C-4841-ACE7-AB8C02D65DE7}"/>
    <cellStyle name="Accent4 4 2 3" xfId="5347" xr:uid="{AEA0A679-DF39-4161-A8E0-6CC067670355}"/>
    <cellStyle name="Accent4 4 3" xfId="1408" xr:uid="{00000000-0005-0000-0000-0000B4040000}"/>
    <cellStyle name="Accent4 4 4" xfId="1409" xr:uid="{00000000-0005-0000-0000-0000B5040000}"/>
    <cellStyle name="Accent4 4 5" xfId="1410" xr:uid="{00000000-0005-0000-0000-0000B6040000}"/>
    <cellStyle name="Accent4 4 6" xfId="1411" xr:uid="{00000000-0005-0000-0000-0000B7040000}"/>
    <cellStyle name="Accent4 4 7" xfId="1412" xr:uid="{00000000-0005-0000-0000-0000B8040000}"/>
    <cellStyle name="Accent4 4 8" xfId="1406" xr:uid="{00000000-0005-0000-0000-0000B9040000}"/>
    <cellStyle name="Accent4 5" xfId="84" xr:uid="{00000000-0005-0000-0000-0000BA040000}"/>
    <cellStyle name="Accent4 5 2" xfId="1413" xr:uid="{00000000-0005-0000-0000-0000BB040000}"/>
    <cellStyle name="Accent4 5 2 2" xfId="5229" xr:uid="{C0E0E72E-3322-4627-B06C-8517D8B0CE32}"/>
    <cellStyle name="Accent4 5 2 3" xfId="5346" xr:uid="{3E08C019-97A4-400D-8EFD-F7AE8ED8F1F4}"/>
    <cellStyle name="Accent4 5 3" xfId="1414" xr:uid="{00000000-0005-0000-0000-0000BC040000}"/>
    <cellStyle name="Accent4 5 4" xfId="1415" xr:uid="{00000000-0005-0000-0000-0000BD040000}"/>
    <cellStyle name="Accent4 5 5" xfId="1416" xr:uid="{00000000-0005-0000-0000-0000BE040000}"/>
    <cellStyle name="Accent4 5 6" xfId="1417" xr:uid="{00000000-0005-0000-0000-0000BF040000}"/>
    <cellStyle name="Accent4 6" xfId="85" xr:uid="{00000000-0005-0000-0000-0000C0040000}"/>
    <cellStyle name="Accent4 6 2" xfId="1418" xr:uid="{00000000-0005-0000-0000-0000C1040000}"/>
    <cellStyle name="Accent4 6 2 2" xfId="5228" xr:uid="{3E16001C-EEA5-4C47-9F2F-B121DABB7803}"/>
    <cellStyle name="Accent4 6 2 3" xfId="5345" xr:uid="{1B2429D7-927D-4F4C-AB80-F2A46EB07891}"/>
    <cellStyle name="Accent4 6 3" xfId="1419" xr:uid="{00000000-0005-0000-0000-0000C2040000}"/>
    <cellStyle name="Accent4 6 4" xfId="1420" xr:uid="{00000000-0005-0000-0000-0000C3040000}"/>
    <cellStyle name="Accent4 6 5" xfId="1421" xr:uid="{00000000-0005-0000-0000-0000C4040000}"/>
    <cellStyle name="Accent4 6 6" xfId="1422" xr:uid="{00000000-0005-0000-0000-0000C5040000}"/>
    <cellStyle name="Accent4 7" xfId="86" xr:uid="{00000000-0005-0000-0000-0000C6040000}"/>
    <cellStyle name="Accent4 7 2" xfId="1423" xr:uid="{00000000-0005-0000-0000-0000C7040000}"/>
    <cellStyle name="Accent4 7 2 2" xfId="5227" xr:uid="{46883330-48EC-42AF-98FA-5B2B37F8FBF0}"/>
    <cellStyle name="Accent4 7 2 3" xfId="5344" xr:uid="{D229C46C-52FC-4310-8CFF-DA4E7DC40CA7}"/>
    <cellStyle name="Accent4 7 3" xfId="1424" xr:uid="{00000000-0005-0000-0000-0000C8040000}"/>
    <cellStyle name="Accent4 7 4" xfId="1425" xr:uid="{00000000-0005-0000-0000-0000C9040000}"/>
    <cellStyle name="Accent4 7 5" xfId="1426" xr:uid="{00000000-0005-0000-0000-0000CA040000}"/>
    <cellStyle name="Accent4 7 6" xfId="1427" xr:uid="{00000000-0005-0000-0000-0000CB040000}"/>
    <cellStyle name="Accent4 8 2" xfId="1428" xr:uid="{00000000-0005-0000-0000-0000CC040000}"/>
    <cellStyle name="Accent4 8 3" xfId="1429" xr:uid="{00000000-0005-0000-0000-0000CD040000}"/>
    <cellStyle name="Accent4 8 4" xfId="1430" xr:uid="{00000000-0005-0000-0000-0000CE040000}"/>
    <cellStyle name="Accent4 8 5" xfId="1431" xr:uid="{00000000-0005-0000-0000-0000CF040000}"/>
    <cellStyle name="Accent4 8 6" xfId="1432" xr:uid="{00000000-0005-0000-0000-0000D0040000}"/>
    <cellStyle name="Accent4 9 2" xfId="1433" xr:uid="{00000000-0005-0000-0000-0000D1040000}"/>
    <cellStyle name="Accent4 9 3" xfId="1434" xr:uid="{00000000-0005-0000-0000-0000D2040000}"/>
    <cellStyle name="Accent4 9 4" xfId="1435" xr:uid="{00000000-0005-0000-0000-0000D3040000}"/>
    <cellStyle name="Accent4 9 5" xfId="1436" xr:uid="{00000000-0005-0000-0000-0000D4040000}"/>
    <cellStyle name="Accent4 9 6" xfId="1437" xr:uid="{00000000-0005-0000-0000-0000D5040000}"/>
    <cellStyle name="Accent5 - 20%" xfId="87" xr:uid="{00000000-0005-0000-0000-0000D6040000}"/>
    <cellStyle name="Accent5 - 40%" xfId="88" xr:uid="{00000000-0005-0000-0000-0000D7040000}"/>
    <cellStyle name="Accent5 - 60%" xfId="89" xr:uid="{00000000-0005-0000-0000-0000D8040000}"/>
    <cellStyle name="Accent5 10 2" xfId="1438" xr:uid="{00000000-0005-0000-0000-0000D9040000}"/>
    <cellStyle name="Accent5 10 3" xfId="1439" xr:uid="{00000000-0005-0000-0000-0000DA040000}"/>
    <cellStyle name="Accent5 10 4" xfId="1440" xr:uid="{00000000-0005-0000-0000-0000DB040000}"/>
    <cellStyle name="Accent5 10 5" xfId="1441" xr:uid="{00000000-0005-0000-0000-0000DC040000}"/>
    <cellStyle name="Accent5 10 6" xfId="1442" xr:uid="{00000000-0005-0000-0000-0000DD040000}"/>
    <cellStyle name="Accent5 11 2" xfId="1443" xr:uid="{00000000-0005-0000-0000-0000DE040000}"/>
    <cellStyle name="Accent5 11 3" xfId="1444" xr:uid="{00000000-0005-0000-0000-0000DF040000}"/>
    <cellStyle name="Accent5 11 4" xfId="1445" xr:uid="{00000000-0005-0000-0000-0000E0040000}"/>
    <cellStyle name="Accent5 11 5" xfId="1446" xr:uid="{00000000-0005-0000-0000-0000E1040000}"/>
    <cellStyle name="Accent5 11 6" xfId="1447" xr:uid="{00000000-0005-0000-0000-0000E2040000}"/>
    <cellStyle name="Accent5 2" xfId="90" xr:uid="{00000000-0005-0000-0000-0000E3040000}"/>
    <cellStyle name="Accent5 2 2" xfId="1448" xr:uid="{00000000-0005-0000-0000-0000E4040000}"/>
    <cellStyle name="Accent5 2 3" xfId="1449" xr:uid="{00000000-0005-0000-0000-0000E5040000}"/>
    <cellStyle name="Accent5 2 3 2" xfId="5226" xr:uid="{B01764A4-A73D-4551-9310-C65756B4CF0C}"/>
    <cellStyle name="Accent5 2 3 3" xfId="5433" xr:uid="{3C22301B-D758-40C7-8785-D764EC95F049}"/>
    <cellStyle name="Accent5 2 4" xfId="1450" xr:uid="{00000000-0005-0000-0000-0000E6040000}"/>
    <cellStyle name="Accent5 2 4 2" xfId="5225" xr:uid="{431B56EF-953D-4DAB-8EDD-64F5CAFE4990}"/>
    <cellStyle name="Accent5 2 4 3" xfId="5432" xr:uid="{A120575B-EEFB-41C6-8CB3-0911C01E3A81}"/>
    <cellStyle name="Accent5 2 5" xfId="1451" xr:uid="{00000000-0005-0000-0000-0000E7040000}"/>
    <cellStyle name="Accent5 2 5 2" xfId="5224" xr:uid="{B808200D-A5A7-4E9F-867E-C6FE71828F93}"/>
    <cellStyle name="Accent5 2 5 3" xfId="5343" xr:uid="{EFA560D2-CAB2-4971-A45B-807FD41D46DD}"/>
    <cellStyle name="Accent5 2 6" xfId="1452" xr:uid="{00000000-0005-0000-0000-0000E8040000}"/>
    <cellStyle name="Accent5 2 6 2" xfId="5546" xr:uid="{551272FC-DDE6-4E69-9E8E-8663C4F8D76A}"/>
    <cellStyle name="Accent5 2 6 3" xfId="5342" xr:uid="{AD4CD466-5F4E-4ECF-A698-6E8F5D13169D}"/>
    <cellStyle name="Accent5 2 7" xfId="5168" xr:uid="{6AAF2D35-ED89-44EA-9B25-BCEF3F49C5CC}"/>
    <cellStyle name="Accent5 2 8" xfId="5083" xr:uid="{F78D3012-5A3B-4C75-8DA3-3E4BBA9BAA3C}"/>
    <cellStyle name="Accent5 3" xfId="91" xr:uid="{00000000-0005-0000-0000-0000E9040000}"/>
    <cellStyle name="Accent5 3 2" xfId="1454" xr:uid="{00000000-0005-0000-0000-0000EA040000}"/>
    <cellStyle name="Accent5 3 2 2" xfId="4755" xr:uid="{DE34BB28-5C4E-48A5-ADB6-045FC56DC213}"/>
    <cellStyle name="Accent5 3 2 3" xfId="6851" xr:uid="{AAAF8397-6288-4EC6-90E0-E7D776A24FDD}"/>
    <cellStyle name="Accent5 3 2 4" xfId="4731" xr:uid="{191B4BE5-ED11-453C-BBB4-D5970285141A}"/>
    <cellStyle name="Accent5 3 3" xfId="1455" xr:uid="{00000000-0005-0000-0000-0000EB040000}"/>
    <cellStyle name="Accent5 3 4" xfId="1456" xr:uid="{00000000-0005-0000-0000-0000EC040000}"/>
    <cellStyle name="Accent5 3 5" xfId="1457" xr:uid="{00000000-0005-0000-0000-0000ED040000}"/>
    <cellStyle name="Accent5 3 6" xfId="1458" xr:uid="{00000000-0005-0000-0000-0000EE040000}"/>
    <cellStyle name="Accent5 3 7" xfId="1459" xr:uid="{00000000-0005-0000-0000-0000EF040000}"/>
    <cellStyle name="Accent5 3 7 2" xfId="5223" xr:uid="{707DE206-F9E6-4E94-85AC-79E0FECC3D40}"/>
    <cellStyle name="Accent5 3 7 3" xfId="5341" xr:uid="{C354C592-8614-40EC-98B0-563A68F898B9}"/>
    <cellStyle name="Accent5 3 8" xfId="1453" xr:uid="{00000000-0005-0000-0000-0000F0040000}"/>
    <cellStyle name="Accent5 3 9" xfId="5589" xr:uid="{9E5521FC-DEC1-4B34-BE88-A81C1D7BFE2D}"/>
    <cellStyle name="Accent5 4" xfId="92" xr:uid="{00000000-0005-0000-0000-0000F1040000}"/>
    <cellStyle name="Accent5 4 2" xfId="1461" xr:uid="{00000000-0005-0000-0000-0000F2040000}"/>
    <cellStyle name="Accent5 4 2 2" xfId="5222" xr:uid="{26A6A502-B2F4-44A0-A021-D0EE4E758867}"/>
    <cellStyle name="Accent5 4 2 3" xfId="5340" xr:uid="{2AB31979-0EF6-4FC5-AB8B-62F661CB34E8}"/>
    <cellStyle name="Accent5 4 3" xfId="1462" xr:uid="{00000000-0005-0000-0000-0000F3040000}"/>
    <cellStyle name="Accent5 4 4" xfId="1463" xr:uid="{00000000-0005-0000-0000-0000F4040000}"/>
    <cellStyle name="Accent5 4 5" xfId="1464" xr:uid="{00000000-0005-0000-0000-0000F5040000}"/>
    <cellStyle name="Accent5 4 6" xfId="1465" xr:uid="{00000000-0005-0000-0000-0000F6040000}"/>
    <cellStyle name="Accent5 4 7" xfId="1466" xr:uid="{00000000-0005-0000-0000-0000F7040000}"/>
    <cellStyle name="Accent5 4 8" xfId="1460" xr:uid="{00000000-0005-0000-0000-0000F8040000}"/>
    <cellStyle name="Accent5 5" xfId="93" xr:uid="{00000000-0005-0000-0000-0000F9040000}"/>
    <cellStyle name="Accent5 5 2" xfId="1467" xr:uid="{00000000-0005-0000-0000-0000FA040000}"/>
    <cellStyle name="Accent5 5 2 2" xfId="5221" xr:uid="{84B55A3B-F3BB-46C9-A9FE-B3C5CDD85418}"/>
    <cellStyle name="Accent5 5 2 3" xfId="5130" xr:uid="{DF4BE5EB-8A7E-4450-84BC-9F9A3750D744}"/>
    <cellStyle name="Accent5 5 3" xfId="1468" xr:uid="{00000000-0005-0000-0000-0000FB040000}"/>
    <cellStyle name="Accent5 5 4" xfId="1469" xr:uid="{00000000-0005-0000-0000-0000FC040000}"/>
    <cellStyle name="Accent5 5 5" xfId="1470" xr:uid="{00000000-0005-0000-0000-0000FD040000}"/>
    <cellStyle name="Accent5 5 6" xfId="1471" xr:uid="{00000000-0005-0000-0000-0000FE040000}"/>
    <cellStyle name="Accent5 6" xfId="94" xr:uid="{00000000-0005-0000-0000-0000FF040000}"/>
    <cellStyle name="Accent5 6 2" xfId="1472" xr:uid="{00000000-0005-0000-0000-000000050000}"/>
    <cellStyle name="Accent5 6 2 2" xfId="5220" xr:uid="{CC6E54CE-59E3-4434-80DE-A6FA31428370}"/>
    <cellStyle name="Accent5 6 2 3" xfId="5082" xr:uid="{94C33D0F-722B-406D-90C5-1C704CD5FCAB}"/>
    <cellStyle name="Accent5 6 3" xfId="1473" xr:uid="{00000000-0005-0000-0000-000001050000}"/>
    <cellStyle name="Accent5 6 4" xfId="1474" xr:uid="{00000000-0005-0000-0000-000002050000}"/>
    <cellStyle name="Accent5 6 5" xfId="1475" xr:uid="{00000000-0005-0000-0000-000003050000}"/>
    <cellStyle name="Accent5 6 6" xfId="1476" xr:uid="{00000000-0005-0000-0000-000004050000}"/>
    <cellStyle name="Accent5 7" xfId="95" xr:uid="{00000000-0005-0000-0000-000005050000}"/>
    <cellStyle name="Accent5 7 2" xfId="1477" xr:uid="{00000000-0005-0000-0000-000006050000}"/>
    <cellStyle name="Accent5 7 2 2" xfId="5219" xr:uid="{B1B5195F-E99C-4908-9976-55FC984BB736}"/>
    <cellStyle name="Accent5 7 2 3" xfId="5339" xr:uid="{321F3297-52D5-4D0F-85E9-62F69B4146D1}"/>
    <cellStyle name="Accent5 7 3" xfId="1478" xr:uid="{00000000-0005-0000-0000-000007050000}"/>
    <cellStyle name="Accent5 7 4" xfId="1479" xr:uid="{00000000-0005-0000-0000-000008050000}"/>
    <cellStyle name="Accent5 7 5" xfId="1480" xr:uid="{00000000-0005-0000-0000-000009050000}"/>
    <cellStyle name="Accent5 7 6" xfId="1481" xr:uid="{00000000-0005-0000-0000-00000A050000}"/>
    <cellStyle name="Accent5 8 2" xfId="1482" xr:uid="{00000000-0005-0000-0000-00000B050000}"/>
    <cellStyle name="Accent5 8 3" xfId="1483" xr:uid="{00000000-0005-0000-0000-00000C050000}"/>
    <cellStyle name="Accent5 8 4" xfId="1484" xr:uid="{00000000-0005-0000-0000-00000D050000}"/>
    <cellStyle name="Accent5 8 5" xfId="1485" xr:uid="{00000000-0005-0000-0000-00000E050000}"/>
    <cellStyle name="Accent5 8 6" xfId="1486" xr:uid="{00000000-0005-0000-0000-00000F050000}"/>
    <cellStyle name="Accent5 9 2" xfId="1487" xr:uid="{00000000-0005-0000-0000-000010050000}"/>
    <cellStyle name="Accent5 9 3" xfId="1488" xr:uid="{00000000-0005-0000-0000-000011050000}"/>
    <cellStyle name="Accent5 9 4" xfId="1489" xr:uid="{00000000-0005-0000-0000-000012050000}"/>
    <cellStyle name="Accent5 9 5" xfId="1490" xr:uid="{00000000-0005-0000-0000-000013050000}"/>
    <cellStyle name="Accent5 9 6" xfId="1491" xr:uid="{00000000-0005-0000-0000-000014050000}"/>
    <cellStyle name="Accent6 - 20%" xfId="96" xr:uid="{00000000-0005-0000-0000-000015050000}"/>
    <cellStyle name="Accent6 - 40%" xfId="97" xr:uid="{00000000-0005-0000-0000-000016050000}"/>
    <cellStyle name="Accent6 - 60%" xfId="98" xr:uid="{00000000-0005-0000-0000-000017050000}"/>
    <cellStyle name="Accent6 10 2" xfId="1492" xr:uid="{00000000-0005-0000-0000-000018050000}"/>
    <cellStyle name="Accent6 10 3" xfId="1493" xr:uid="{00000000-0005-0000-0000-000019050000}"/>
    <cellStyle name="Accent6 10 4" xfId="1494" xr:uid="{00000000-0005-0000-0000-00001A050000}"/>
    <cellStyle name="Accent6 10 5" xfId="1495" xr:uid="{00000000-0005-0000-0000-00001B050000}"/>
    <cellStyle name="Accent6 10 6" xfId="1496" xr:uid="{00000000-0005-0000-0000-00001C050000}"/>
    <cellStyle name="Accent6 11 2" xfId="1497" xr:uid="{00000000-0005-0000-0000-00001D050000}"/>
    <cellStyle name="Accent6 11 3" xfId="1498" xr:uid="{00000000-0005-0000-0000-00001E050000}"/>
    <cellStyle name="Accent6 11 4" xfId="1499" xr:uid="{00000000-0005-0000-0000-00001F050000}"/>
    <cellStyle name="Accent6 11 5" xfId="1500" xr:uid="{00000000-0005-0000-0000-000020050000}"/>
    <cellStyle name="Accent6 11 6" xfId="1501" xr:uid="{00000000-0005-0000-0000-000021050000}"/>
    <cellStyle name="Accent6 2" xfId="99" xr:uid="{00000000-0005-0000-0000-000022050000}"/>
    <cellStyle name="Accent6 2 2" xfId="1502" xr:uid="{00000000-0005-0000-0000-000023050000}"/>
    <cellStyle name="Accent6 2 3" xfId="1503" xr:uid="{00000000-0005-0000-0000-000024050000}"/>
    <cellStyle name="Accent6 2 3 2" xfId="5150" xr:uid="{DF325C0D-A3B2-46B7-BEE6-7A9CB0418C08}"/>
    <cellStyle name="Accent6 2 3 3" xfId="5428" xr:uid="{FB762A53-4D10-433F-9422-81E789E4D081}"/>
    <cellStyle name="Accent6 2 4" xfId="1504" xr:uid="{00000000-0005-0000-0000-000025050000}"/>
    <cellStyle name="Accent6 2 4 2" xfId="5218" xr:uid="{4C8691FE-B22F-41B3-B7BB-A971CE638E1F}"/>
    <cellStyle name="Accent6 2 4 3" xfId="5431" xr:uid="{822359F9-74E3-43C5-B52E-DEE35F90796C}"/>
    <cellStyle name="Accent6 2 5" xfId="1505" xr:uid="{00000000-0005-0000-0000-000026050000}"/>
    <cellStyle name="Accent6 2 5 2" xfId="5149" xr:uid="{AC4A919B-15D1-4DF9-9B54-37D0A3485B57}"/>
    <cellStyle name="Accent6 2 5 3" xfId="5338" xr:uid="{D7EE72D9-051C-4757-9F91-846B1955C26E}"/>
    <cellStyle name="Accent6 2 6" xfId="1506" xr:uid="{00000000-0005-0000-0000-000027050000}"/>
    <cellStyle name="Accent6 2 6 2" xfId="5217" xr:uid="{C29347D2-C009-41EE-860B-43ABD1638F71}"/>
    <cellStyle name="Accent6 2 6 3" xfId="5337" xr:uid="{4951980B-CB9C-463C-A85F-A69D7222B7B9}"/>
    <cellStyle name="Accent6 2 7" xfId="5336" xr:uid="{2BFBD215-B1CE-4584-9286-3BA22CFDCB6A}"/>
    <cellStyle name="Accent6 2 8" xfId="5167" xr:uid="{B2A9C416-A79A-48E1-8B63-DE97A016F169}"/>
    <cellStyle name="Accent6 3" xfId="100" xr:uid="{00000000-0005-0000-0000-000028050000}"/>
    <cellStyle name="Accent6 3 2" xfId="1508" xr:uid="{00000000-0005-0000-0000-000029050000}"/>
    <cellStyle name="Accent6 3 2 2" xfId="4756" xr:uid="{6E59BAE9-3C5F-4D02-BC27-A1A9AF77B8B8}"/>
    <cellStyle name="Accent6 3 2 3" xfId="6852" xr:uid="{7C1EC6E9-6ED2-4EE4-A9BF-118AD3BEC356}"/>
    <cellStyle name="Accent6 3 2 4" xfId="4732" xr:uid="{9C27A343-5DCB-42FD-B5CF-F0F801BAD414}"/>
    <cellStyle name="Accent6 3 3" xfId="1509" xr:uid="{00000000-0005-0000-0000-00002A050000}"/>
    <cellStyle name="Accent6 3 4" xfId="1510" xr:uid="{00000000-0005-0000-0000-00002B050000}"/>
    <cellStyle name="Accent6 3 5" xfId="1511" xr:uid="{00000000-0005-0000-0000-00002C050000}"/>
    <cellStyle name="Accent6 3 6" xfId="1512" xr:uid="{00000000-0005-0000-0000-00002D050000}"/>
    <cellStyle name="Accent6 3 7" xfId="1513" xr:uid="{00000000-0005-0000-0000-00002E050000}"/>
    <cellStyle name="Accent6 3 7 2" xfId="5216" xr:uid="{89C4CE0F-8403-48A7-A187-4BD00D4CAF1B}"/>
    <cellStyle name="Accent6 3 7 3" xfId="5335" xr:uid="{E2971EE6-6689-4356-969D-EE2F3ECB6B44}"/>
    <cellStyle name="Accent6 3 8" xfId="1507" xr:uid="{00000000-0005-0000-0000-00002F050000}"/>
    <cellStyle name="Accent6 3 9" xfId="5263" xr:uid="{AAF2CCBF-D7E3-4F23-A147-F169CBE559F3}"/>
    <cellStyle name="Accent6 4" xfId="101" xr:uid="{00000000-0005-0000-0000-000030050000}"/>
    <cellStyle name="Accent6 4 2" xfId="1515" xr:uid="{00000000-0005-0000-0000-000031050000}"/>
    <cellStyle name="Accent6 4 2 2" xfId="5215" xr:uid="{DA0A93D8-A055-4B40-AFBB-A2E1690D050B}"/>
    <cellStyle name="Accent6 4 2 3" xfId="5081" xr:uid="{926285CD-E376-45E4-B224-7CD0D5949509}"/>
    <cellStyle name="Accent6 4 3" xfId="1516" xr:uid="{00000000-0005-0000-0000-000032050000}"/>
    <cellStyle name="Accent6 4 4" xfId="1517" xr:uid="{00000000-0005-0000-0000-000033050000}"/>
    <cellStyle name="Accent6 4 5" xfId="1518" xr:uid="{00000000-0005-0000-0000-000034050000}"/>
    <cellStyle name="Accent6 4 6" xfId="1519" xr:uid="{00000000-0005-0000-0000-000035050000}"/>
    <cellStyle name="Accent6 4 7" xfId="1520" xr:uid="{00000000-0005-0000-0000-000036050000}"/>
    <cellStyle name="Accent6 4 8" xfId="1514" xr:uid="{00000000-0005-0000-0000-000037050000}"/>
    <cellStyle name="Accent6 5" xfId="102" xr:uid="{00000000-0005-0000-0000-000038050000}"/>
    <cellStyle name="Accent6 5 2" xfId="1521" xr:uid="{00000000-0005-0000-0000-000039050000}"/>
    <cellStyle name="Accent6 5 2 2" xfId="5148" xr:uid="{88702AB9-5F5B-4803-9C3F-6BE948DBEAB9}"/>
    <cellStyle name="Accent6 5 2 3" xfId="5334" xr:uid="{42934904-9F3E-43E5-A98C-190BFF0309F3}"/>
    <cellStyle name="Accent6 5 3" xfId="1522" xr:uid="{00000000-0005-0000-0000-00003A050000}"/>
    <cellStyle name="Accent6 5 4" xfId="1523" xr:uid="{00000000-0005-0000-0000-00003B050000}"/>
    <cellStyle name="Accent6 5 5" xfId="1524" xr:uid="{00000000-0005-0000-0000-00003C050000}"/>
    <cellStyle name="Accent6 5 6" xfId="1525" xr:uid="{00000000-0005-0000-0000-00003D050000}"/>
    <cellStyle name="Accent6 6" xfId="103" xr:uid="{00000000-0005-0000-0000-00003E050000}"/>
    <cellStyle name="Accent6 6 2" xfId="1526" xr:uid="{00000000-0005-0000-0000-00003F050000}"/>
    <cellStyle name="Accent6 6 2 2" xfId="5147" xr:uid="{C594B64E-11F7-47F5-AA8E-60C95387B27A}"/>
    <cellStyle name="Accent6 6 2 3" xfId="5333" xr:uid="{EC71F14A-92F8-4CEC-83F2-3B758D4DB70A}"/>
    <cellStyle name="Accent6 6 3" xfId="1527" xr:uid="{00000000-0005-0000-0000-000040050000}"/>
    <cellStyle name="Accent6 6 4" xfId="1528" xr:uid="{00000000-0005-0000-0000-000041050000}"/>
    <cellStyle name="Accent6 6 5" xfId="1529" xr:uid="{00000000-0005-0000-0000-000042050000}"/>
    <cellStyle name="Accent6 6 6" xfId="1530" xr:uid="{00000000-0005-0000-0000-000043050000}"/>
    <cellStyle name="Accent6 7" xfId="104" xr:uid="{00000000-0005-0000-0000-000044050000}"/>
    <cellStyle name="Accent6 7 2" xfId="1531" xr:uid="{00000000-0005-0000-0000-000045050000}"/>
    <cellStyle name="Accent6 7 2 2" xfId="5214" xr:uid="{78A7CDB0-45CD-45ED-8AF5-2A9435F9A69C}"/>
    <cellStyle name="Accent6 7 2 3" xfId="5332" xr:uid="{ED6F92D5-D13C-45C8-BBB5-13355A38BBF5}"/>
    <cellStyle name="Accent6 7 3" xfId="1532" xr:uid="{00000000-0005-0000-0000-000046050000}"/>
    <cellStyle name="Accent6 7 4" xfId="1533" xr:uid="{00000000-0005-0000-0000-000047050000}"/>
    <cellStyle name="Accent6 7 5" xfId="1534" xr:uid="{00000000-0005-0000-0000-000048050000}"/>
    <cellStyle name="Accent6 7 6" xfId="1535" xr:uid="{00000000-0005-0000-0000-000049050000}"/>
    <cellStyle name="Accent6 8 2" xfId="1536" xr:uid="{00000000-0005-0000-0000-00004A050000}"/>
    <cellStyle name="Accent6 8 3" xfId="1537" xr:uid="{00000000-0005-0000-0000-00004B050000}"/>
    <cellStyle name="Accent6 8 4" xfId="1538" xr:uid="{00000000-0005-0000-0000-00004C050000}"/>
    <cellStyle name="Accent6 8 5" xfId="1539" xr:uid="{00000000-0005-0000-0000-00004D050000}"/>
    <cellStyle name="Accent6 8 6" xfId="1540" xr:uid="{00000000-0005-0000-0000-00004E050000}"/>
    <cellStyle name="Accent6 9 2" xfId="1541" xr:uid="{00000000-0005-0000-0000-00004F050000}"/>
    <cellStyle name="Accent6 9 3" xfId="1542" xr:uid="{00000000-0005-0000-0000-000050050000}"/>
    <cellStyle name="Accent6 9 4" xfId="1543" xr:uid="{00000000-0005-0000-0000-000051050000}"/>
    <cellStyle name="Accent6 9 5" xfId="1544" xr:uid="{00000000-0005-0000-0000-000052050000}"/>
    <cellStyle name="Accent6 9 6" xfId="1545" xr:uid="{00000000-0005-0000-0000-000053050000}"/>
    <cellStyle name="Bad 10 2" xfId="1546" xr:uid="{00000000-0005-0000-0000-000054050000}"/>
    <cellStyle name="Bad 10 3" xfId="1547" xr:uid="{00000000-0005-0000-0000-000055050000}"/>
    <cellStyle name="Bad 10 4" xfId="1548" xr:uid="{00000000-0005-0000-0000-000056050000}"/>
    <cellStyle name="Bad 10 5" xfId="1549" xr:uid="{00000000-0005-0000-0000-000057050000}"/>
    <cellStyle name="Bad 10 6" xfId="1550" xr:uid="{00000000-0005-0000-0000-000058050000}"/>
    <cellStyle name="Bad 11 2" xfId="1551" xr:uid="{00000000-0005-0000-0000-000059050000}"/>
    <cellStyle name="Bad 11 3" xfId="1552" xr:uid="{00000000-0005-0000-0000-00005A050000}"/>
    <cellStyle name="Bad 11 4" xfId="1553" xr:uid="{00000000-0005-0000-0000-00005B050000}"/>
    <cellStyle name="Bad 11 5" xfId="1554" xr:uid="{00000000-0005-0000-0000-00005C050000}"/>
    <cellStyle name="Bad 11 6" xfId="1555" xr:uid="{00000000-0005-0000-0000-00005D050000}"/>
    <cellStyle name="Bad 2" xfId="105" xr:uid="{00000000-0005-0000-0000-00005E050000}"/>
    <cellStyle name="Bad 2 2" xfId="1556" xr:uid="{00000000-0005-0000-0000-00005F050000}"/>
    <cellStyle name="Bad 2 3" xfId="1557" xr:uid="{00000000-0005-0000-0000-000060050000}"/>
    <cellStyle name="Bad 2 3 2" xfId="5155" xr:uid="{936C5586-0173-432B-877C-AA152111CABD}"/>
    <cellStyle name="Bad 2 3 3" xfId="5430" xr:uid="{7F4AD84C-2F24-462A-AAB8-73B4177644A0}"/>
    <cellStyle name="Bad 2 4" xfId="1558" xr:uid="{00000000-0005-0000-0000-000061050000}"/>
    <cellStyle name="Bad 2 4 2" xfId="5545" xr:uid="{D67F0439-238A-4194-ACE9-07896FD55CC5}"/>
    <cellStyle name="Bad 2 4 3" xfId="5429" xr:uid="{CE94B390-61B2-4D46-9C43-A74281409E84}"/>
    <cellStyle name="Bad 2 5" xfId="1559" xr:uid="{00000000-0005-0000-0000-000062050000}"/>
    <cellStyle name="Bad 2 5 2" xfId="5213" xr:uid="{63612713-B6D2-4D84-887A-CDE8C9503EE0}"/>
    <cellStyle name="Bad 2 5 3" xfId="5561" xr:uid="{8E8FD1DE-9794-41B9-A950-6252325614CF}"/>
    <cellStyle name="Bad 2 6" xfId="1560" xr:uid="{00000000-0005-0000-0000-000063050000}"/>
    <cellStyle name="Bad 2 6 2" xfId="5146" xr:uid="{E28B2BFE-51A5-4883-A139-295E57656F6B}"/>
    <cellStyle name="Bad 2 6 3" xfId="5080" xr:uid="{59139123-6FBA-4602-A98E-056DAA62F90A}"/>
    <cellStyle name="Bad 2 7" xfId="5079" xr:uid="{B4D48F93-32C5-47AD-A8D4-75A8A55C4BED}"/>
    <cellStyle name="Bad 2 8" xfId="5330" xr:uid="{A9FF17D7-1F29-4A01-80F6-30BFDDD0A61A}"/>
    <cellStyle name="Bad 3" xfId="106" xr:uid="{00000000-0005-0000-0000-000064050000}"/>
    <cellStyle name="Bad 3 2" xfId="1562" xr:uid="{00000000-0005-0000-0000-000065050000}"/>
    <cellStyle name="Bad 3 3" xfId="1563" xr:uid="{00000000-0005-0000-0000-000066050000}"/>
    <cellStyle name="Bad 3 4" xfId="1564" xr:uid="{00000000-0005-0000-0000-000067050000}"/>
    <cellStyle name="Bad 3 5" xfId="1565" xr:uid="{00000000-0005-0000-0000-000068050000}"/>
    <cellStyle name="Bad 3 6" xfId="1566" xr:uid="{00000000-0005-0000-0000-000069050000}"/>
    <cellStyle name="Bad 3 7" xfId="1567" xr:uid="{00000000-0005-0000-0000-00006A050000}"/>
    <cellStyle name="Bad 3 7 2" xfId="5145" xr:uid="{DBA20306-2398-4D4B-AB73-B4729BA046B2}"/>
    <cellStyle name="Bad 3 7 3" xfId="5329" xr:uid="{6BF19E7B-BD1D-4859-8CC9-228B549BBF36}"/>
    <cellStyle name="Bad 3 8" xfId="1561" xr:uid="{00000000-0005-0000-0000-00006B050000}"/>
    <cellStyle name="Bad 3 9" xfId="4740" xr:uid="{CE2EC1CC-CC15-4E55-B1FA-3E2AFBE1F80B}"/>
    <cellStyle name="Bad 4" xfId="107" xr:uid="{00000000-0005-0000-0000-00006C050000}"/>
    <cellStyle name="Bad 4 2" xfId="1569" xr:uid="{00000000-0005-0000-0000-00006D050000}"/>
    <cellStyle name="Bad 4 2 2" xfId="5144" xr:uid="{DE641508-14D5-49E5-AA6E-C9AC6B6B60F5}"/>
    <cellStyle name="Bad 4 2 3" xfId="5328" xr:uid="{A3D3C104-88FF-4555-88F0-19C7654329CE}"/>
    <cellStyle name="Bad 4 3" xfId="1570" xr:uid="{00000000-0005-0000-0000-00006E050000}"/>
    <cellStyle name="Bad 4 4" xfId="1571" xr:uid="{00000000-0005-0000-0000-00006F050000}"/>
    <cellStyle name="Bad 4 5" xfId="1572" xr:uid="{00000000-0005-0000-0000-000070050000}"/>
    <cellStyle name="Bad 4 6" xfId="1573" xr:uid="{00000000-0005-0000-0000-000071050000}"/>
    <cellStyle name="Bad 4 7" xfId="1574" xr:uid="{00000000-0005-0000-0000-000072050000}"/>
    <cellStyle name="Bad 4 8" xfId="1568" xr:uid="{00000000-0005-0000-0000-000073050000}"/>
    <cellStyle name="Bad 5" xfId="108" xr:uid="{00000000-0005-0000-0000-000074050000}"/>
    <cellStyle name="Bad 5 2" xfId="1575" xr:uid="{00000000-0005-0000-0000-000075050000}"/>
    <cellStyle name="Bad 5 3" xfId="1576" xr:uid="{00000000-0005-0000-0000-000076050000}"/>
    <cellStyle name="Bad 5 4" xfId="1577" xr:uid="{00000000-0005-0000-0000-000077050000}"/>
    <cellStyle name="Bad 5 5" xfId="1578" xr:uid="{00000000-0005-0000-0000-000078050000}"/>
    <cellStyle name="Bad 5 6" xfId="1579" xr:uid="{00000000-0005-0000-0000-000079050000}"/>
    <cellStyle name="Bad 6" xfId="109" xr:uid="{00000000-0005-0000-0000-00007A050000}"/>
    <cellStyle name="Bad 6 2" xfId="1580" xr:uid="{00000000-0005-0000-0000-00007B050000}"/>
    <cellStyle name="Bad 6 3" xfId="1581" xr:uid="{00000000-0005-0000-0000-00007C050000}"/>
    <cellStyle name="Bad 6 4" xfId="1582" xr:uid="{00000000-0005-0000-0000-00007D050000}"/>
    <cellStyle name="Bad 6 5" xfId="1583" xr:uid="{00000000-0005-0000-0000-00007E050000}"/>
    <cellStyle name="Bad 6 6" xfId="1584" xr:uid="{00000000-0005-0000-0000-00007F050000}"/>
    <cellStyle name="Bad 7" xfId="110" xr:uid="{00000000-0005-0000-0000-000080050000}"/>
    <cellStyle name="Bad 7 2" xfId="1585" xr:uid="{00000000-0005-0000-0000-000081050000}"/>
    <cellStyle name="Bad 7 3" xfId="1586" xr:uid="{00000000-0005-0000-0000-000082050000}"/>
    <cellStyle name="Bad 7 4" xfId="1587" xr:uid="{00000000-0005-0000-0000-000083050000}"/>
    <cellStyle name="Bad 7 5" xfId="1588" xr:uid="{00000000-0005-0000-0000-000084050000}"/>
    <cellStyle name="Bad 7 6" xfId="1589" xr:uid="{00000000-0005-0000-0000-000085050000}"/>
    <cellStyle name="Bad 8 2" xfId="1590" xr:uid="{00000000-0005-0000-0000-000086050000}"/>
    <cellStyle name="Bad 8 3" xfId="1591" xr:uid="{00000000-0005-0000-0000-000087050000}"/>
    <cellStyle name="Bad 8 4" xfId="1592" xr:uid="{00000000-0005-0000-0000-000088050000}"/>
    <cellStyle name="Bad 8 5" xfId="1593" xr:uid="{00000000-0005-0000-0000-000089050000}"/>
    <cellStyle name="Bad 8 6" xfId="1594" xr:uid="{00000000-0005-0000-0000-00008A050000}"/>
    <cellStyle name="Bad 9 2" xfId="1595" xr:uid="{00000000-0005-0000-0000-00008B050000}"/>
    <cellStyle name="Bad 9 3" xfId="1596" xr:uid="{00000000-0005-0000-0000-00008C050000}"/>
    <cellStyle name="Bad 9 4" xfId="1597" xr:uid="{00000000-0005-0000-0000-00008D050000}"/>
    <cellStyle name="Bad 9 5" xfId="1598" xr:uid="{00000000-0005-0000-0000-00008E050000}"/>
    <cellStyle name="Bad 9 6" xfId="1599" xr:uid="{00000000-0005-0000-0000-00008F050000}"/>
    <cellStyle name="Bold Border" xfId="111" xr:uid="{00000000-0005-0000-0000-000090050000}"/>
    <cellStyle name="Bold Border 2" xfId="6365" xr:uid="{BD6B8BE1-2318-4B19-A57E-58DCC31546F3}"/>
    <cellStyle name="Bold Border 3" xfId="6802" xr:uid="{19AAAF88-E1B6-4E83-B2E2-029F08175028}"/>
    <cellStyle name="Bottom bold border" xfId="112" xr:uid="{00000000-0005-0000-0000-000091050000}"/>
    <cellStyle name="Bottom single border" xfId="113" xr:uid="{00000000-0005-0000-0000-000092050000}"/>
    <cellStyle name="Calculation 10 2" xfId="1600" xr:uid="{00000000-0005-0000-0000-000093050000}"/>
    <cellStyle name="Calculation 10 2 2" xfId="2603" xr:uid="{00000000-0005-0000-0000-000094050000}"/>
    <cellStyle name="Calculation 10 2 2 2" xfId="3250" xr:uid="{00000000-0005-0000-0000-000098050000}"/>
    <cellStyle name="Calculation 10 2 3" xfId="6022" xr:uid="{F2BA24FE-FED0-4C76-937F-C7BFBEFAAD21}"/>
    <cellStyle name="Calculation 10 2 4" xfId="6195" xr:uid="{2FC9E02B-83CB-4835-BF77-BC5E24487704}"/>
    <cellStyle name="Calculation 10 3" xfId="1601" xr:uid="{00000000-0005-0000-0000-000095050000}"/>
    <cellStyle name="Calculation 10 3 2" xfId="2604" xr:uid="{00000000-0005-0000-0000-000096050000}"/>
    <cellStyle name="Calculation 10 3 2 2" xfId="3249" xr:uid="{00000000-0005-0000-0000-00009B050000}"/>
    <cellStyle name="Calculation 10 3 3" xfId="6228" xr:uid="{EB319D74-4D65-4F49-A04F-4A79296FCE83}"/>
    <cellStyle name="Calculation 10 3 4" xfId="6279" xr:uid="{49C57072-5C09-4C42-A1F8-12587D748299}"/>
    <cellStyle name="Calculation 10 4" xfId="1602" xr:uid="{00000000-0005-0000-0000-000097050000}"/>
    <cellStyle name="Calculation 10 4 2" xfId="2605" xr:uid="{00000000-0005-0000-0000-000098050000}"/>
    <cellStyle name="Calculation 10 4 2 2" xfId="3248" xr:uid="{00000000-0005-0000-0000-00009E050000}"/>
    <cellStyle name="Calculation 10 4 3" xfId="6021" xr:uid="{E8EA60E1-6DA9-4B7D-A3B1-D1DE144A2067}"/>
    <cellStyle name="Calculation 10 4 4" xfId="5769" xr:uid="{BBB92F7B-28BD-4BEF-8422-15773D51DEEC}"/>
    <cellStyle name="Calculation 10 5" xfId="1603" xr:uid="{00000000-0005-0000-0000-000099050000}"/>
    <cellStyle name="Calculation 10 5 2" xfId="2606" xr:uid="{00000000-0005-0000-0000-00009A050000}"/>
    <cellStyle name="Calculation 10 5 2 2" xfId="3247" xr:uid="{00000000-0005-0000-0000-0000A1050000}"/>
    <cellStyle name="Calculation 10 5 3" xfId="6020" xr:uid="{11F95756-A9BE-49B5-84EF-8875A0A6410B}"/>
    <cellStyle name="Calculation 10 5 4" xfId="6243" xr:uid="{B6FA8D0C-7CD8-48BC-9203-7596051486B5}"/>
    <cellStyle name="Calculation 10 6" xfId="1604" xr:uid="{00000000-0005-0000-0000-00009B050000}"/>
    <cellStyle name="Calculation 10 6 2" xfId="2607" xr:uid="{00000000-0005-0000-0000-00009C050000}"/>
    <cellStyle name="Calculation 10 6 2 2" xfId="3246" xr:uid="{00000000-0005-0000-0000-0000A4050000}"/>
    <cellStyle name="Calculation 10 6 3" xfId="6278" xr:uid="{D15C6715-9194-4486-B4FD-C9271D560AB9}"/>
    <cellStyle name="Calculation 10 6 4" xfId="5772" xr:uid="{1B732CAE-49B1-484B-A9CD-0351F221A395}"/>
    <cellStyle name="Calculation 11 2" xfId="1605" xr:uid="{00000000-0005-0000-0000-00009D050000}"/>
    <cellStyle name="Calculation 11 2 2" xfId="2608" xr:uid="{00000000-0005-0000-0000-00009E050000}"/>
    <cellStyle name="Calculation 11 2 2 2" xfId="3245" xr:uid="{00000000-0005-0000-0000-0000A7050000}"/>
    <cellStyle name="Calculation 11 2 3" xfId="6019" xr:uid="{5DCFDE96-591C-4B7E-AD15-1C8D11B46C64}"/>
    <cellStyle name="Calculation 11 2 4" xfId="6232" xr:uid="{7A9982D1-7186-46F8-BFFD-DAA4B5D85F48}"/>
    <cellStyle name="Calculation 11 3" xfId="1606" xr:uid="{00000000-0005-0000-0000-00009F050000}"/>
    <cellStyle name="Calculation 11 3 2" xfId="2609" xr:uid="{00000000-0005-0000-0000-0000A0050000}"/>
    <cellStyle name="Calculation 11 3 2 2" xfId="3244" xr:uid="{00000000-0005-0000-0000-0000AA050000}"/>
    <cellStyle name="Calculation 11 3 3" xfId="6018" xr:uid="{9B11AC03-0AC2-4351-8759-DA238F2F5F4F}"/>
    <cellStyle name="Calculation 11 3 4" xfId="6023" xr:uid="{06C0FE5C-7C2F-44DD-B0B2-3A719DBCB19F}"/>
    <cellStyle name="Calculation 11 4" xfId="1607" xr:uid="{00000000-0005-0000-0000-0000A1050000}"/>
    <cellStyle name="Calculation 11 4 2" xfId="2610" xr:uid="{00000000-0005-0000-0000-0000A2050000}"/>
    <cellStyle name="Calculation 11 4 2 2" xfId="3243" xr:uid="{00000000-0005-0000-0000-0000AD050000}"/>
    <cellStyle name="Calculation 11 4 3" xfId="6017" xr:uid="{1AB04D82-6573-459A-A66E-8B5DE8B7001F}"/>
    <cellStyle name="Calculation 11 4 4" xfId="6024" xr:uid="{D4FE3337-BBE9-415F-8EC1-FA8338C1DDF6}"/>
    <cellStyle name="Calculation 11 5" xfId="1608" xr:uid="{00000000-0005-0000-0000-0000A3050000}"/>
    <cellStyle name="Calculation 11 5 2" xfId="2611" xr:uid="{00000000-0005-0000-0000-0000A4050000}"/>
    <cellStyle name="Calculation 11 5 2 2" xfId="3242" xr:uid="{00000000-0005-0000-0000-0000B0050000}"/>
    <cellStyle name="Calculation 11 5 3" xfId="6016" xr:uid="{12F9D5A6-3500-4033-8809-DFE2C1863D72}"/>
    <cellStyle name="Calculation 11 5 4" xfId="5728" xr:uid="{3F448D28-527D-4488-9F49-901B584BA94E}"/>
    <cellStyle name="Calculation 11 6" xfId="1609" xr:uid="{00000000-0005-0000-0000-0000A5050000}"/>
    <cellStyle name="Calculation 11 6 2" xfId="2612" xr:uid="{00000000-0005-0000-0000-0000A6050000}"/>
    <cellStyle name="Calculation 11 6 2 2" xfId="3241" xr:uid="{00000000-0005-0000-0000-0000B3050000}"/>
    <cellStyle name="Calculation 11 6 3" xfId="6015" xr:uid="{4F23D20D-9E7E-4A93-A121-12B2151881B9}"/>
    <cellStyle name="Calculation 11 6 4" xfId="6025" xr:uid="{313CD4D8-A67F-4435-A6B6-6CC1E9D01DF1}"/>
    <cellStyle name="Calculation 2" xfId="114" xr:uid="{00000000-0005-0000-0000-0000A7050000}"/>
    <cellStyle name="Calculation 2 2" xfId="1610" xr:uid="{00000000-0005-0000-0000-0000A8050000}"/>
    <cellStyle name="Calculation 2 2 2" xfId="2613" xr:uid="{00000000-0005-0000-0000-0000A9050000}"/>
    <cellStyle name="Calculation 2 2 2 2" xfId="3240" xr:uid="{00000000-0005-0000-0000-0000B7050000}"/>
    <cellStyle name="Calculation 2 2 3" xfId="5727" xr:uid="{2B921ECA-E190-4BD4-9D9D-E0D1CC856508}"/>
    <cellStyle name="Calculation 2 2 4" xfId="6026" xr:uid="{710902E0-D70B-4160-B1A0-7CF9841D99F7}"/>
    <cellStyle name="Calculation 2 3" xfId="1611" xr:uid="{00000000-0005-0000-0000-0000AA050000}"/>
    <cellStyle name="Calculation 2 3 2" xfId="2614" xr:uid="{00000000-0005-0000-0000-0000AB050000}"/>
    <cellStyle name="Calculation 2 3 2 2" xfId="3239" xr:uid="{00000000-0005-0000-0000-0000BA050000}"/>
    <cellStyle name="Calculation 2 3 3" xfId="5726" xr:uid="{2C9E4C65-CE37-49AE-BF9C-0F360ECF94C2}"/>
    <cellStyle name="Calculation 2 3 4" xfId="6233" xr:uid="{1C2FF9C6-4D92-4CE2-A566-A1D354D8AC56}"/>
    <cellStyle name="Calculation 2 3 5" xfId="5143" xr:uid="{5F39FC10-EF29-412B-97E4-632A171A931E}"/>
    <cellStyle name="Calculation 2 3 6" xfId="5427" xr:uid="{F1EAA151-6820-4AAE-9328-4AED2C342B2B}"/>
    <cellStyle name="Calculation 2 4" xfId="1612" xr:uid="{00000000-0005-0000-0000-0000AC050000}"/>
    <cellStyle name="Calculation 2 4 2" xfId="2615" xr:uid="{00000000-0005-0000-0000-0000AD050000}"/>
    <cellStyle name="Calculation 2 4 2 2" xfId="3238" xr:uid="{00000000-0005-0000-0000-0000BD050000}"/>
    <cellStyle name="Calculation 2 4 3" xfId="5725" xr:uid="{BB4E6306-A7CC-433F-9231-912F13CE49E9}"/>
    <cellStyle name="Calculation 2 4 4" xfId="6027" xr:uid="{5FBF9607-FF66-4795-B2FF-26DE4246DB1C}"/>
    <cellStyle name="Calculation 2 4 5" xfId="5212" xr:uid="{2422B4CB-C3CC-43B9-BF59-574D651EA817}"/>
    <cellStyle name="Calculation 2 4 6" xfId="5426" xr:uid="{FD3C6F35-E2B5-4155-A0C9-00085E7102DE}"/>
    <cellStyle name="Calculation 2 5" xfId="1613" xr:uid="{00000000-0005-0000-0000-0000AE050000}"/>
    <cellStyle name="Calculation 2 5 2" xfId="2616" xr:uid="{00000000-0005-0000-0000-0000AF050000}"/>
    <cellStyle name="Calculation 2 5 2 2" xfId="3237" xr:uid="{00000000-0005-0000-0000-0000C0050000}"/>
    <cellStyle name="Calculation 2 5 3" xfId="5724" xr:uid="{AD619774-74DF-4203-84FE-16D65F558A4E}"/>
    <cellStyle name="Calculation 2 5 4" xfId="6028" xr:uid="{9852A5A5-D98C-4473-8B7B-35B502B62D3D}"/>
    <cellStyle name="Calculation 2 5 5" xfId="5142" xr:uid="{9847DA32-45B6-4FC1-9FA3-5A8EE4599B4D}"/>
    <cellStyle name="Calculation 2 5 6" xfId="5327" xr:uid="{008B2B47-6781-422B-B932-B8275D2F69F5}"/>
    <cellStyle name="Calculation 2 6" xfId="1614" xr:uid="{00000000-0005-0000-0000-0000B0050000}"/>
    <cellStyle name="Calculation 2 6 2" xfId="2617" xr:uid="{00000000-0005-0000-0000-0000B1050000}"/>
    <cellStyle name="Calculation 2 6 2 2" xfId="3236" xr:uid="{00000000-0005-0000-0000-0000C3050000}"/>
    <cellStyle name="Calculation 2 6 3" xfId="5723" xr:uid="{41115A6D-06D1-49C8-BB0D-5D19B330768B}"/>
    <cellStyle name="Calculation 2 6 4" xfId="6029" xr:uid="{D7C4A032-407A-48F5-A4B6-CF3268AC338B}"/>
    <cellStyle name="Calculation 2 6 5" xfId="5211" xr:uid="{09CFB882-B1A5-456E-A72C-BEB62B85AAD2}"/>
    <cellStyle name="Calculation 2 6 6" xfId="5326" xr:uid="{8CD8B8A8-820A-4383-B043-AE625B4AA5C3}"/>
    <cellStyle name="Calculation 2 7" xfId="2554" xr:uid="{00000000-0005-0000-0000-0000B2050000}"/>
    <cellStyle name="Calculation 2 7 2" xfId="3299" xr:uid="{00000000-0005-0000-0000-0000C5050000}"/>
    <cellStyle name="Calculation 2 8" xfId="5325" xr:uid="{DDABD6B3-D742-4303-9083-6EB22D39D7B7}"/>
    <cellStyle name="Calculation 2 8 2" xfId="6139" xr:uid="{F4F569E2-15D6-4DB9-9536-0111CF211225}"/>
    <cellStyle name="Calculation 2 9" xfId="6185" xr:uid="{9D90BB34-EDE5-40B5-B45E-92E3995BC4E1}"/>
    <cellStyle name="Calculation 3" xfId="115" xr:uid="{00000000-0005-0000-0000-0000B3050000}"/>
    <cellStyle name="Calculation 3 10" xfId="5826" xr:uid="{0564C180-BEA5-4EDE-B3D4-69CA041902DC}"/>
    <cellStyle name="Calculation 3 11" xfId="6095" xr:uid="{86E24B80-A21E-4301-96CC-E937BE2BBD7C}"/>
    <cellStyle name="Calculation 3 12" xfId="5262" xr:uid="{19197EE8-89AA-447A-8372-C7851F8C8274}"/>
    <cellStyle name="Calculation 3 2" xfId="1616" xr:uid="{00000000-0005-0000-0000-0000B4050000}"/>
    <cellStyle name="Calculation 3 2 2" xfId="2619" xr:uid="{00000000-0005-0000-0000-0000B5050000}"/>
    <cellStyle name="Calculation 3 2 2 2" xfId="3234" xr:uid="{00000000-0005-0000-0000-0000C9050000}"/>
    <cellStyle name="Calculation 3 2 3" xfId="6014" xr:uid="{8D6EA584-3A28-462A-AD20-3CDF9B28CFA2}"/>
    <cellStyle name="Calculation 3 2 4" xfId="6302" xr:uid="{3504AF07-1C0F-46B1-A9EC-2D7EE3BC1973}"/>
    <cellStyle name="Calculation 3 3" xfId="1617" xr:uid="{00000000-0005-0000-0000-0000B6050000}"/>
    <cellStyle name="Calculation 3 3 2" xfId="2620" xr:uid="{00000000-0005-0000-0000-0000B7050000}"/>
    <cellStyle name="Calculation 3 3 2 2" xfId="3233" xr:uid="{00000000-0005-0000-0000-0000CC050000}"/>
    <cellStyle name="Calculation 3 3 3" xfId="6227" xr:uid="{2CA1693C-F272-4C0E-BF19-53E6732F2FB1}"/>
    <cellStyle name="Calculation 3 3 4" xfId="6301" xr:uid="{F49B9900-043B-46A0-82C0-009BD4D788CE}"/>
    <cellStyle name="Calculation 3 4" xfId="1618" xr:uid="{00000000-0005-0000-0000-0000B8050000}"/>
    <cellStyle name="Calculation 3 4 2" xfId="2621" xr:uid="{00000000-0005-0000-0000-0000B9050000}"/>
    <cellStyle name="Calculation 3 4 2 2" xfId="3232" xr:uid="{00000000-0005-0000-0000-0000CF050000}"/>
    <cellStyle name="Calculation 3 4 3" xfId="5755" xr:uid="{7484C1ED-D2D1-4389-8BCB-2811F7B1F86A}"/>
    <cellStyle name="Calculation 3 4 4" xfId="6300" xr:uid="{38EDF903-E206-48B3-9D5B-BA787B323D38}"/>
    <cellStyle name="Calculation 3 5" xfId="1619" xr:uid="{00000000-0005-0000-0000-0000BA050000}"/>
    <cellStyle name="Calculation 3 5 2" xfId="2622" xr:uid="{00000000-0005-0000-0000-0000BB050000}"/>
    <cellStyle name="Calculation 3 5 2 2" xfId="3231" xr:uid="{00000000-0005-0000-0000-0000D2050000}"/>
    <cellStyle name="Calculation 3 5 3" xfId="5718" xr:uid="{4CB5314B-3D2C-4285-B6B4-E5B3D1720B07}"/>
    <cellStyle name="Calculation 3 5 4" xfId="6240" xr:uid="{0B7EA1F7-5619-487F-AC4F-FB1FAE4B9BED}"/>
    <cellStyle name="Calculation 3 6" xfId="1620" xr:uid="{00000000-0005-0000-0000-0000BC050000}"/>
    <cellStyle name="Calculation 3 6 2" xfId="2623" xr:uid="{00000000-0005-0000-0000-0000BD050000}"/>
    <cellStyle name="Calculation 3 6 2 2" xfId="3230" xr:uid="{00000000-0005-0000-0000-0000D5050000}"/>
    <cellStyle name="Calculation 3 6 3" xfId="5799" xr:uid="{D465FE1F-E2C3-42E2-9449-5FBA9A38C58E}"/>
    <cellStyle name="Calculation 3 6 4" xfId="5845" xr:uid="{B4E2A221-C3B5-4A9D-AE72-8BC042C795D3}"/>
    <cellStyle name="Calculation 3 7" xfId="1621" xr:uid="{00000000-0005-0000-0000-0000BE050000}"/>
    <cellStyle name="Calculation 3 7 2" xfId="2624" xr:uid="{00000000-0005-0000-0000-0000BF050000}"/>
    <cellStyle name="Calculation 3 7 2 2" xfId="3229" xr:uid="{00000000-0005-0000-0000-0000D8050000}"/>
    <cellStyle name="Calculation 3 7 3" xfId="6013" xr:uid="{4D9F3AC0-F739-4081-9301-A3628C0DD4BF}"/>
    <cellStyle name="Calculation 3 7 4" xfId="5907" xr:uid="{49C2C30D-CE89-4CE0-AA1F-51D233092C6A}"/>
    <cellStyle name="Calculation 3 7 5" xfId="5154" xr:uid="{F9AF44FE-A172-405C-87DF-A1189A7189EC}"/>
    <cellStyle name="Calculation 3 7 6" xfId="5324" xr:uid="{5A3AA53A-5445-446D-B1CB-04B9299FDE5B}"/>
    <cellStyle name="Calculation 3 8" xfId="1615" xr:uid="{00000000-0005-0000-0000-0000C0050000}"/>
    <cellStyle name="Calculation 3 8 2" xfId="2618" xr:uid="{00000000-0005-0000-0000-0000C1050000}"/>
    <cellStyle name="Calculation 3 8 2 2" xfId="3235" xr:uid="{00000000-0005-0000-0000-0000DB050000}"/>
    <cellStyle name="Calculation 3 8 3" xfId="5722" xr:uid="{54FFEEAA-E9CC-406F-BCA3-0E06A3107F78}"/>
    <cellStyle name="Calculation 3 8 4" xfId="6176" xr:uid="{AFB4476B-170E-43FA-B738-0837F4E06411}"/>
    <cellStyle name="Calculation 3 9" xfId="2555" xr:uid="{00000000-0005-0000-0000-0000C2050000}"/>
    <cellStyle name="Calculation 3 9 2" xfId="3298" xr:uid="{00000000-0005-0000-0000-0000DD050000}"/>
    <cellStyle name="Calculation 4" xfId="116" xr:uid="{00000000-0005-0000-0000-0000C3050000}"/>
    <cellStyle name="Calculation 4 10" xfId="6138" xr:uid="{AB101965-3C78-4AC8-BAC7-5F97EC55192E}"/>
    <cellStyle name="Calculation 4 11" xfId="5812" xr:uid="{9CDA1764-5F95-4AD9-BE7D-9B23CFE4E8FF}"/>
    <cellStyle name="Calculation 4 2" xfId="1623" xr:uid="{00000000-0005-0000-0000-0000C4050000}"/>
    <cellStyle name="Calculation 4 2 2" xfId="2626" xr:uid="{00000000-0005-0000-0000-0000C5050000}"/>
    <cellStyle name="Calculation 4 2 2 2" xfId="3227" xr:uid="{00000000-0005-0000-0000-0000E1050000}"/>
    <cellStyle name="Calculation 4 2 3" xfId="6011" xr:uid="{76F20FF1-BEC3-4664-AC8B-A5129FF41FEE}"/>
    <cellStyle name="Calculation 4 2 4" xfId="5770" xr:uid="{17A8CA18-E38B-48BA-8BEF-65CCCF0F73C4}"/>
    <cellStyle name="Calculation 4 2 5" xfId="5141" xr:uid="{6DC63B20-AFCA-4AC8-A98C-7E5F27CC76CE}"/>
    <cellStyle name="Calculation 4 2 6" xfId="5562" xr:uid="{5A8A2A23-4B9F-4879-A810-935CD57932C7}"/>
    <cellStyle name="Calculation 4 3" xfId="1624" xr:uid="{00000000-0005-0000-0000-0000C6050000}"/>
    <cellStyle name="Calculation 4 3 2" xfId="2627" xr:uid="{00000000-0005-0000-0000-0000C7050000}"/>
    <cellStyle name="Calculation 4 3 2 2" xfId="3226" xr:uid="{00000000-0005-0000-0000-0000E4050000}"/>
    <cellStyle name="Calculation 4 3 3" xfId="6188" xr:uid="{66E99BAA-D8CF-49DA-B285-6B947E65298D}"/>
    <cellStyle name="Calculation 4 3 4" xfId="6031" xr:uid="{9A385922-17AF-47FF-882F-3FD7BC8A79BC}"/>
    <cellStyle name="Calculation 4 4" xfId="1625" xr:uid="{00000000-0005-0000-0000-0000C8050000}"/>
    <cellStyle name="Calculation 4 4 2" xfId="2628" xr:uid="{00000000-0005-0000-0000-0000C9050000}"/>
    <cellStyle name="Calculation 4 4 2 2" xfId="3225" xr:uid="{00000000-0005-0000-0000-0000E7050000}"/>
    <cellStyle name="Calculation 4 4 3" xfId="6009" xr:uid="{B84BFB4E-22E5-42B8-B7C3-D5F97E8CF5D9}"/>
    <cellStyle name="Calculation 4 4 4" xfId="6032" xr:uid="{2A83E28A-7BC1-4FFF-ADD6-92A347C30B9F}"/>
    <cellStyle name="Calculation 4 5" xfId="1626" xr:uid="{00000000-0005-0000-0000-0000CA050000}"/>
    <cellStyle name="Calculation 4 5 2" xfId="2629" xr:uid="{00000000-0005-0000-0000-0000CB050000}"/>
    <cellStyle name="Calculation 4 5 2 2" xfId="3224" xr:uid="{00000000-0005-0000-0000-0000EA050000}"/>
    <cellStyle name="Calculation 4 5 3" xfId="6008" xr:uid="{25963E9F-401C-41F4-87D2-1F93F2F8391D}"/>
    <cellStyle name="Calculation 4 5 4" xfId="6033" xr:uid="{432576DC-6F14-4E3B-BA14-45F0A6FD11CF}"/>
    <cellStyle name="Calculation 4 6" xfId="1627" xr:uid="{00000000-0005-0000-0000-0000CC050000}"/>
    <cellStyle name="Calculation 4 6 2" xfId="2630" xr:uid="{00000000-0005-0000-0000-0000CD050000}"/>
    <cellStyle name="Calculation 4 6 2 2" xfId="3223" xr:uid="{00000000-0005-0000-0000-0000ED050000}"/>
    <cellStyle name="Calculation 4 6 3" xfId="6007" xr:uid="{6F20C574-D422-4B36-BF88-7137944A53C5}"/>
    <cellStyle name="Calculation 4 6 4" xfId="6034" xr:uid="{84C1709E-B458-462C-BF22-567F6E17D434}"/>
    <cellStyle name="Calculation 4 7" xfId="1628" xr:uid="{00000000-0005-0000-0000-0000CE050000}"/>
    <cellStyle name="Calculation 4 7 2" xfId="2631" xr:uid="{00000000-0005-0000-0000-0000CF050000}"/>
    <cellStyle name="Calculation 4 7 2 2" xfId="3222" xr:uid="{00000000-0005-0000-0000-0000F0050000}"/>
    <cellStyle name="Calculation 4 7 3" xfId="6006" xr:uid="{AC0966DC-12EF-4477-A256-A249D29C5527}"/>
    <cellStyle name="Calculation 4 7 4" xfId="5846" xr:uid="{4E29A45A-31D7-43ED-A143-6C93F200E99D}"/>
    <cellStyle name="Calculation 4 8" xfId="1622" xr:uid="{00000000-0005-0000-0000-0000D0050000}"/>
    <cellStyle name="Calculation 4 8 2" xfId="2625" xr:uid="{00000000-0005-0000-0000-0000D1050000}"/>
    <cellStyle name="Calculation 4 8 2 2" xfId="3228" xr:uid="{00000000-0005-0000-0000-0000F3050000}"/>
    <cellStyle name="Calculation 4 8 3" xfId="6012" xr:uid="{5BA8DFEA-7EE8-4E23-8430-023B04B12BD7}"/>
    <cellStyle name="Calculation 4 8 4" xfId="5729" xr:uid="{E534AD77-0C23-4636-B4A0-23EEA91BA8C2}"/>
    <cellStyle name="Calculation 4 9" xfId="2556" xr:uid="{00000000-0005-0000-0000-0000D2050000}"/>
    <cellStyle name="Calculation 4 9 2" xfId="3297" xr:uid="{00000000-0005-0000-0000-0000F5050000}"/>
    <cellStyle name="Calculation 5" xfId="117" xr:uid="{00000000-0005-0000-0000-0000D3050000}"/>
    <cellStyle name="Calculation 5 2" xfId="1629" xr:uid="{00000000-0005-0000-0000-0000D4050000}"/>
    <cellStyle name="Calculation 5 2 2" xfId="2632" xr:uid="{00000000-0005-0000-0000-0000D5050000}"/>
    <cellStyle name="Calculation 5 2 2 2" xfId="3221" xr:uid="{00000000-0005-0000-0000-0000F9050000}"/>
    <cellStyle name="Calculation 5 2 3" xfId="6005" xr:uid="{227DFEE6-4FE7-4684-9951-861B53501F0E}"/>
    <cellStyle name="Calculation 5 2 4" xfId="6209" xr:uid="{5034040C-B15E-4992-A6D5-188AED739897}"/>
    <cellStyle name="Calculation 5 3" xfId="1630" xr:uid="{00000000-0005-0000-0000-0000D6050000}"/>
    <cellStyle name="Calculation 5 3 2" xfId="2633" xr:uid="{00000000-0005-0000-0000-0000D7050000}"/>
    <cellStyle name="Calculation 5 3 2 2" xfId="3220" xr:uid="{00000000-0005-0000-0000-0000FC050000}"/>
    <cellStyle name="Calculation 5 3 3" xfId="6004" xr:uid="{5EE16F35-9D20-431D-B39B-8E6BA17267B1}"/>
    <cellStyle name="Calculation 5 3 4" xfId="6299" xr:uid="{74041D0E-6B46-4322-A084-DBB7F64541AF}"/>
    <cellStyle name="Calculation 5 4" xfId="1631" xr:uid="{00000000-0005-0000-0000-0000D8050000}"/>
    <cellStyle name="Calculation 5 4 2" xfId="2634" xr:uid="{00000000-0005-0000-0000-0000D9050000}"/>
    <cellStyle name="Calculation 5 4 2 2" xfId="3219" xr:uid="{00000000-0005-0000-0000-0000FF050000}"/>
    <cellStyle name="Calculation 5 4 3" xfId="6010" xr:uid="{CF1DF18D-A640-4C11-8248-1B5C1290FCC3}"/>
    <cellStyle name="Calculation 5 4 4" xfId="5800" xr:uid="{0FE29103-1B09-4D0C-9376-C3465122498D}"/>
    <cellStyle name="Calculation 5 5" xfId="1632" xr:uid="{00000000-0005-0000-0000-0000DA050000}"/>
    <cellStyle name="Calculation 5 5 2" xfId="2635" xr:uid="{00000000-0005-0000-0000-0000DB050000}"/>
    <cellStyle name="Calculation 5 5 2 2" xfId="3218" xr:uid="{00000000-0005-0000-0000-000002060000}"/>
    <cellStyle name="Calculation 5 5 3" xfId="5794" xr:uid="{6C69144A-9F89-4BA3-8BFE-D1E3FEB5310D}"/>
    <cellStyle name="Calculation 5 5 4" xfId="6234" xr:uid="{4C654FD9-9F49-4770-B6B8-8BCD31B37733}"/>
    <cellStyle name="Calculation 5 6" xfId="1633" xr:uid="{00000000-0005-0000-0000-0000DC050000}"/>
    <cellStyle name="Calculation 5 6 2" xfId="2636" xr:uid="{00000000-0005-0000-0000-0000DD050000}"/>
    <cellStyle name="Calculation 5 6 2 2" xfId="3217" xr:uid="{00000000-0005-0000-0000-000005060000}"/>
    <cellStyle name="Calculation 5 6 3" xfId="6003" xr:uid="{2586D630-873F-463A-9AF4-4080B176A0AD}"/>
    <cellStyle name="Calculation 5 6 4" xfId="6235" xr:uid="{C31CB6B6-69E4-4076-9C33-CF4547DED99E}"/>
    <cellStyle name="Calculation 5 7" xfId="2557" xr:uid="{00000000-0005-0000-0000-0000DE050000}"/>
    <cellStyle name="Calculation 5 7 2" xfId="3296" xr:uid="{00000000-0005-0000-0000-000007060000}"/>
    <cellStyle name="Calculation 5 8" xfId="6137" xr:uid="{DE3AA9F7-54B8-4F36-AAE6-D2208F878E3A}"/>
    <cellStyle name="Calculation 5 9" xfId="6219" xr:uid="{F8D82D0F-2B0E-4AB3-B959-E8659D134746}"/>
    <cellStyle name="Calculation 6" xfId="118" xr:uid="{00000000-0005-0000-0000-0000DF050000}"/>
    <cellStyle name="Calculation 6 2" xfId="1634" xr:uid="{00000000-0005-0000-0000-0000E0050000}"/>
    <cellStyle name="Calculation 6 2 2" xfId="2637" xr:uid="{00000000-0005-0000-0000-0000E1050000}"/>
    <cellStyle name="Calculation 6 2 2 2" xfId="3216" xr:uid="{00000000-0005-0000-0000-00000B060000}"/>
    <cellStyle name="Calculation 6 2 3" xfId="6002" xr:uid="{1915E39A-D591-4689-9489-E273CE156756}"/>
    <cellStyle name="Calculation 6 2 4" xfId="5847" xr:uid="{58128D7F-C3A9-4177-AC24-8A4D6D3E3356}"/>
    <cellStyle name="Calculation 6 3" xfId="1635" xr:uid="{00000000-0005-0000-0000-0000E2050000}"/>
    <cellStyle name="Calculation 6 3 2" xfId="2638" xr:uid="{00000000-0005-0000-0000-0000E3050000}"/>
    <cellStyle name="Calculation 6 3 2 2" xfId="3215" xr:uid="{00000000-0005-0000-0000-00000E060000}"/>
    <cellStyle name="Calculation 6 3 3" xfId="6001" xr:uid="{0DC4E147-10AD-4974-A01F-00B47CD35500}"/>
    <cellStyle name="Calculation 6 3 4" xfId="6231" xr:uid="{31B71742-E2F1-44A6-B34E-2382D08B9089}"/>
    <cellStyle name="Calculation 6 4" xfId="1636" xr:uid="{00000000-0005-0000-0000-0000E4050000}"/>
    <cellStyle name="Calculation 6 4 2" xfId="2639" xr:uid="{00000000-0005-0000-0000-0000E5050000}"/>
    <cellStyle name="Calculation 6 4 2 2" xfId="3214" xr:uid="{00000000-0005-0000-0000-000011060000}"/>
    <cellStyle name="Calculation 6 4 3" xfId="5764" xr:uid="{12FA6D4E-61F8-4C92-9877-EAF5DAB2927C}"/>
    <cellStyle name="Calculation 6 4 4" xfId="6035" xr:uid="{085E6B0D-656E-4AEB-943B-97C6EDC922EA}"/>
    <cellStyle name="Calculation 6 5" xfId="1637" xr:uid="{00000000-0005-0000-0000-0000E6050000}"/>
    <cellStyle name="Calculation 6 5 2" xfId="2640" xr:uid="{00000000-0005-0000-0000-0000E7050000}"/>
    <cellStyle name="Calculation 6 5 2 2" xfId="3213" xr:uid="{00000000-0005-0000-0000-000014060000}"/>
    <cellStyle name="Calculation 6 5 3" xfId="6000" xr:uid="{E77E8A2A-FB0E-4ABF-8B16-B35140FE5C93}"/>
    <cellStyle name="Calculation 6 5 4" xfId="6259" xr:uid="{50841EDF-79BF-4BDB-9D11-C21A469D2AB1}"/>
    <cellStyle name="Calculation 6 6" xfId="1638" xr:uid="{00000000-0005-0000-0000-0000E8050000}"/>
    <cellStyle name="Calculation 6 6 2" xfId="2641" xr:uid="{00000000-0005-0000-0000-0000E9050000}"/>
    <cellStyle name="Calculation 6 6 2 2" xfId="3212" xr:uid="{00000000-0005-0000-0000-000017060000}"/>
    <cellStyle name="Calculation 6 6 3" xfId="6225" xr:uid="{AD9BE480-3CCA-4CA8-9138-8FAF175B2398}"/>
    <cellStyle name="Calculation 6 6 4" xfId="6091" xr:uid="{EA708876-1B4D-4E66-ACD5-F2A167AE32BC}"/>
    <cellStyle name="Calculation 6 7" xfId="2558" xr:uid="{00000000-0005-0000-0000-0000EA050000}"/>
    <cellStyle name="Calculation 6 7 2" xfId="3295" xr:uid="{00000000-0005-0000-0000-000019060000}"/>
    <cellStyle name="Calculation 6 8" xfId="6136" xr:uid="{E92E54A8-0D4E-420C-8A02-FAC52239C3DC}"/>
    <cellStyle name="Calculation 6 9" xfId="6295" xr:uid="{5D713A42-D817-4492-9EB9-7B3A9F905E81}"/>
    <cellStyle name="Calculation 7" xfId="119" xr:uid="{00000000-0005-0000-0000-0000EB050000}"/>
    <cellStyle name="Calculation 7 2" xfId="1639" xr:uid="{00000000-0005-0000-0000-0000EC050000}"/>
    <cellStyle name="Calculation 7 2 2" xfId="2642" xr:uid="{00000000-0005-0000-0000-0000ED050000}"/>
    <cellStyle name="Calculation 7 2 2 2" xfId="3211" xr:uid="{00000000-0005-0000-0000-00001D060000}"/>
    <cellStyle name="Calculation 7 2 3" xfId="6226" xr:uid="{D59C5E42-3AF3-488F-B139-9706DF6BCAF2}"/>
    <cellStyle name="Calculation 7 2 4" xfId="5759" xr:uid="{5DDE55A8-782A-4626-9B55-E57888AF90C9}"/>
    <cellStyle name="Calculation 7 3" xfId="1640" xr:uid="{00000000-0005-0000-0000-0000EE050000}"/>
    <cellStyle name="Calculation 7 3 2" xfId="2643" xr:uid="{00000000-0005-0000-0000-0000EF050000}"/>
    <cellStyle name="Calculation 7 3 2 2" xfId="3210" xr:uid="{00000000-0005-0000-0000-000020060000}"/>
    <cellStyle name="Calculation 7 3 3" xfId="6292" xr:uid="{C18C12DA-4B80-4233-B83E-B57E685EFD91}"/>
    <cellStyle name="Calculation 7 3 4" xfId="6236" xr:uid="{4E534793-A91C-40A0-A050-4A5D4DFD4DB3}"/>
    <cellStyle name="Calculation 7 4" xfId="1641" xr:uid="{00000000-0005-0000-0000-0000F0050000}"/>
    <cellStyle name="Calculation 7 4 2" xfId="2644" xr:uid="{00000000-0005-0000-0000-0000F1050000}"/>
    <cellStyle name="Calculation 7 4 2 2" xfId="3209" xr:uid="{00000000-0005-0000-0000-000023060000}"/>
    <cellStyle name="Calculation 7 4 3" xfId="5998" xr:uid="{65A30902-ED0D-4D82-936A-89169BBE317C}"/>
    <cellStyle name="Calculation 7 4 4" xfId="5771" xr:uid="{5F0F1A82-25E2-48AF-A076-4AF13F42EDD8}"/>
    <cellStyle name="Calculation 7 5" xfId="1642" xr:uid="{00000000-0005-0000-0000-0000F2050000}"/>
    <cellStyle name="Calculation 7 5 2" xfId="2645" xr:uid="{00000000-0005-0000-0000-0000F3050000}"/>
    <cellStyle name="Calculation 7 5 2 2" xfId="3208" xr:uid="{00000000-0005-0000-0000-000026060000}"/>
    <cellStyle name="Calculation 7 5 3" xfId="5997" xr:uid="{04AE1ED3-D4DE-43D2-8A97-92FA6157C740}"/>
    <cellStyle name="Calculation 7 5 4" xfId="5848" xr:uid="{1C4CCBAE-195F-4227-A19D-9C922DE1F59B}"/>
    <cellStyle name="Calculation 7 6" xfId="1643" xr:uid="{00000000-0005-0000-0000-0000F4050000}"/>
    <cellStyle name="Calculation 7 6 2" xfId="2646" xr:uid="{00000000-0005-0000-0000-0000F5050000}"/>
    <cellStyle name="Calculation 7 6 2 2" xfId="3207" xr:uid="{00000000-0005-0000-0000-000029060000}"/>
    <cellStyle name="Calculation 7 6 3" xfId="5996" xr:uid="{45FD5433-1CC6-4270-874E-F1A66138BBFC}"/>
    <cellStyle name="Calculation 7 6 4" xfId="5908" xr:uid="{927D768E-759C-4335-92F4-60A1E2D02DE6}"/>
    <cellStyle name="Calculation 7 7" xfId="2559" xr:uid="{00000000-0005-0000-0000-0000F6050000}"/>
    <cellStyle name="Calculation 7 7 2" xfId="3294" xr:uid="{00000000-0005-0000-0000-00002B060000}"/>
    <cellStyle name="Calculation 7 8" xfId="6135" xr:uid="{1FC6EEA5-755C-4518-B467-7D006C61C298}"/>
    <cellStyle name="Calculation 7 9" xfId="6271" xr:uid="{0FB33D80-6D9E-46E0-B27A-60C03C898963}"/>
    <cellStyle name="Calculation 8 2" xfId="1644" xr:uid="{00000000-0005-0000-0000-0000F7050000}"/>
    <cellStyle name="Calculation 8 2 2" xfId="2647" xr:uid="{00000000-0005-0000-0000-0000F8050000}"/>
    <cellStyle name="Calculation 8 2 2 2" xfId="3206" xr:uid="{00000000-0005-0000-0000-00002E060000}"/>
    <cellStyle name="Calculation 8 2 3" xfId="6277" xr:uid="{F6DD104B-84B6-4CFC-A1FC-290AC466EB72}"/>
    <cellStyle name="Calculation 8 2 4" xfId="6030" xr:uid="{7B68B137-BC30-46DA-BDB1-D45BF4B1539B}"/>
    <cellStyle name="Calculation 8 3" xfId="1645" xr:uid="{00000000-0005-0000-0000-0000F9050000}"/>
    <cellStyle name="Calculation 8 3 2" xfId="2648" xr:uid="{00000000-0005-0000-0000-0000FA050000}"/>
    <cellStyle name="Calculation 8 3 2 2" xfId="3205" xr:uid="{00000000-0005-0000-0000-000031060000}"/>
    <cellStyle name="Calculation 8 3 3" xfId="5995" xr:uid="{CFE101E1-342F-4312-AAFF-299C2EDB4560}"/>
    <cellStyle name="Calculation 8 3 4" xfId="6294" xr:uid="{3C5C795E-6B05-44D4-A4D4-DCA103E0538E}"/>
    <cellStyle name="Calculation 8 4" xfId="1646" xr:uid="{00000000-0005-0000-0000-0000FB050000}"/>
    <cellStyle name="Calculation 8 4 2" xfId="2649" xr:uid="{00000000-0005-0000-0000-0000FC050000}"/>
    <cellStyle name="Calculation 8 4 2 2" xfId="3204" xr:uid="{00000000-0005-0000-0000-000034060000}"/>
    <cellStyle name="Calculation 8 4 3" xfId="5754" xr:uid="{D8B043A6-C88E-4B5A-A3FC-7FEBA1B0493F}"/>
    <cellStyle name="Calculation 8 4 4" xfId="6282" xr:uid="{A29C360C-87C6-4422-9241-440FCE0D109E}"/>
    <cellStyle name="Calculation 8 5" xfId="1647" xr:uid="{00000000-0005-0000-0000-0000FD050000}"/>
    <cellStyle name="Calculation 8 5 2" xfId="2650" xr:uid="{00000000-0005-0000-0000-0000FE050000}"/>
    <cellStyle name="Calculation 8 5 2 2" xfId="3203" xr:uid="{00000000-0005-0000-0000-000037060000}"/>
    <cellStyle name="Calculation 8 5 3" xfId="5994" xr:uid="{B0C8AF8D-8BC6-40F4-87DB-A9FC5C2EEC4C}"/>
    <cellStyle name="Calculation 8 5 4" xfId="6298" xr:uid="{D1A43D20-9570-4408-9A97-9DD8EB4B8379}"/>
    <cellStyle name="Calculation 8 6" xfId="1648" xr:uid="{00000000-0005-0000-0000-0000FF050000}"/>
    <cellStyle name="Calculation 8 6 2" xfId="2651" xr:uid="{00000000-0005-0000-0000-000000060000}"/>
    <cellStyle name="Calculation 8 6 2 2" xfId="3202" xr:uid="{00000000-0005-0000-0000-00003A060000}"/>
    <cellStyle name="Calculation 8 6 3" xfId="5999" xr:uid="{9DC12099-3EA1-4F65-A81B-D34AA4145783}"/>
    <cellStyle name="Calculation 8 6 4" xfId="6037" xr:uid="{41F6F319-651F-4B42-A2C4-FB3C2E5BB4DD}"/>
    <cellStyle name="Calculation 9 2" xfId="1649" xr:uid="{00000000-0005-0000-0000-000001060000}"/>
    <cellStyle name="Calculation 9 2 2" xfId="2652" xr:uid="{00000000-0005-0000-0000-000002060000}"/>
    <cellStyle name="Calculation 9 2 2 2" xfId="3201" xr:uid="{00000000-0005-0000-0000-00003D060000}"/>
    <cellStyle name="Calculation 9 2 3" xfId="6224" xr:uid="{0CF65931-E151-47BC-A21C-7333D23305D9}"/>
    <cellStyle name="Calculation 9 2 4" xfId="5909" xr:uid="{738079ED-42D0-4737-89B0-3FA7F7AE70F3}"/>
    <cellStyle name="Calculation 9 3" xfId="1650" xr:uid="{00000000-0005-0000-0000-000003060000}"/>
    <cellStyle name="Calculation 9 3 2" xfId="2653" xr:uid="{00000000-0005-0000-0000-000004060000}"/>
    <cellStyle name="Calculation 9 3 2 2" xfId="3200" xr:uid="{00000000-0005-0000-0000-000040060000}"/>
    <cellStyle name="Calculation 9 3 3" xfId="5993" xr:uid="{B4E683E7-B5F0-4ABB-9925-FDDC42C56DB5}"/>
    <cellStyle name="Calculation 9 3 4" xfId="6038" xr:uid="{8204D111-9386-456B-8E1F-97E2F718ED3C}"/>
    <cellStyle name="Calculation 9 4" xfId="1651" xr:uid="{00000000-0005-0000-0000-000005060000}"/>
    <cellStyle name="Calculation 9 4 2" xfId="2654" xr:uid="{00000000-0005-0000-0000-000006060000}"/>
    <cellStyle name="Calculation 9 4 2 2" xfId="3199" xr:uid="{00000000-0005-0000-0000-000043060000}"/>
    <cellStyle name="Calculation 9 4 3" xfId="5992" xr:uid="{25A0D801-FC6B-4541-A7E5-2E2D8D9FBE68}"/>
    <cellStyle name="Calculation 9 4 4" xfId="6036" xr:uid="{15BEC324-FE53-421D-970A-96A91BFB3EA6}"/>
    <cellStyle name="Calculation 9 5" xfId="1652" xr:uid="{00000000-0005-0000-0000-000007060000}"/>
    <cellStyle name="Calculation 9 5 2" xfId="2655" xr:uid="{00000000-0005-0000-0000-000008060000}"/>
    <cellStyle name="Calculation 9 5 2 2" xfId="3198" xr:uid="{00000000-0005-0000-0000-000046060000}"/>
    <cellStyle name="Calculation 9 5 3" xfId="5753" xr:uid="{0D246B00-902E-440C-8901-EECD9EFFEF26}"/>
    <cellStyle name="Calculation 9 5 4" xfId="5765" xr:uid="{93F69B83-48C0-43F6-BC9F-DB33105754D1}"/>
    <cellStyle name="Calculation 9 6" xfId="1653" xr:uid="{00000000-0005-0000-0000-000009060000}"/>
    <cellStyle name="Calculation 9 6 2" xfId="2656" xr:uid="{00000000-0005-0000-0000-00000A060000}"/>
    <cellStyle name="Calculation 9 6 2 2" xfId="3197" xr:uid="{00000000-0005-0000-0000-000049060000}"/>
    <cellStyle name="Calculation 9 6 3" xfId="5991" xr:uid="{75CDDC82-77BD-4B2D-AC45-E26DDD9E73D1}"/>
    <cellStyle name="Calculation 9 6 4" xfId="6164" xr:uid="{1A33E5E1-4764-4B7D-9291-410525F9195C}"/>
    <cellStyle name="Check Cell 10 2" xfId="1654" xr:uid="{00000000-0005-0000-0000-00000B060000}"/>
    <cellStyle name="Check Cell 10 3" xfId="1655" xr:uid="{00000000-0005-0000-0000-00000C060000}"/>
    <cellStyle name="Check Cell 10 4" xfId="1656" xr:uid="{00000000-0005-0000-0000-00000D060000}"/>
    <cellStyle name="Check Cell 10 5" xfId="1657" xr:uid="{00000000-0005-0000-0000-00000E060000}"/>
    <cellStyle name="Check Cell 10 6" xfId="1658" xr:uid="{00000000-0005-0000-0000-00000F060000}"/>
    <cellStyle name="Check Cell 11 2" xfId="1659" xr:uid="{00000000-0005-0000-0000-000010060000}"/>
    <cellStyle name="Check Cell 11 3" xfId="1660" xr:uid="{00000000-0005-0000-0000-000011060000}"/>
    <cellStyle name="Check Cell 11 4" xfId="1661" xr:uid="{00000000-0005-0000-0000-000012060000}"/>
    <cellStyle name="Check Cell 11 5" xfId="1662" xr:uid="{00000000-0005-0000-0000-000013060000}"/>
    <cellStyle name="Check Cell 11 6" xfId="1663" xr:uid="{00000000-0005-0000-0000-000014060000}"/>
    <cellStyle name="Check Cell 2" xfId="120" xr:uid="{00000000-0005-0000-0000-000015060000}"/>
    <cellStyle name="Check Cell 2 2" xfId="1664" xr:uid="{00000000-0005-0000-0000-000016060000}"/>
    <cellStyle name="Check Cell 2 3" xfId="1665" xr:uid="{00000000-0005-0000-0000-000017060000}"/>
    <cellStyle name="Check Cell 2 3 2" xfId="5209" xr:uid="{4B0E26BA-7A2D-4D78-8366-1AC32C90BED6}"/>
    <cellStyle name="Check Cell 2 3 3" xfId="5182" xr:uid="{F6B391E5-E18C-44F7-82D1-C4B9B3A59AAE}"/>
    <cellStyle name="Check Cell 2 4" xfId="1666" xr:uid="{00000000-0005-0000-0000-000018060000}"/>
    <cellStyle name="Check Cell 2 4 2" xfId="5208" xr:uid="{A2188E3B-A126-481B-B33E-DAB094DF9824}"/>
    <cellStyle name="Check Cell 2 4 3" xfId="5424" xr:uid="{D7CAEE9C-6C6D-4B3F-BF1B-417A5D8DCFA3}"/>
    <cellStyle name="Check Cell 2 5" xfId="1667" xr:uid="{00000000-0005-0000-0000-000019060000}"/>
    <cellStyle name="Check Cell 2 5 2" xfId="5210" xr:uid="{75F6DD03-A64D-4AE9-B417-114E5A8349EB}"/>
    <cellStyle name="Check Cell 2 5 3" xfId="5077" xr:uid="{9145DE35-FA7D-4BBA-8652-C388CC0AFD20}"/>
    <cellStyle name="Check Cell 2 6" xfId="1668" xr:uid="{00000000-0005-0000-0000-00001A060000}"/>
    <cellStyle name="Check Cell 2 6 2" xfId="5544" xr:uid="{EEA7156F-3139-4A3A-BE05-E9290B0568AF}"/>
    <cellStyle name="Check Cell 2 6 3" xfId="5323" xr:uid="{F1BFB40B-1475-4A8D-BA30-1C6C4A1B4696}"/>
    <cellStyle name="Check Cell 2 7" xfId="5166" xr:uid="{141C9EB3-BB02-49FF-B184-7E0FCB61DA1E}"/>
    <cellStyle name="Check Cell 2 8" xfId="5076" xr:uid="{23B0B9FB-17B0-46AF-B79A-20F74FCD081B}"/>
    <cellStyle name="Check Cell 3" xfId="121" xr:uid="{00000000-0005-0000-0000-00001B060000}"/>
    <cellStyle name="Check Cell 3 2" xfId="1670" xr:uid="{00000000-0005-0000-0000-00001C060000}"/>
    <cellStyle name="Check Cell 3 3" xfId="1671" xr:uid="{00000000-0005-0000-0000-00001D060000}"/>
    <cellStyle name="Check Cell 3 4" xfId="1672" xr:uid="{00000000-0005-0000-0000-00001E060000}"/>
    <cellStyle name="Check Cell 3 5" xfId="1673" xr:uid="{00000000-0005-0000-0000-00001F060000}"/>
    <cellStyle name="Check Cell 3 6" xfId="1674" xr:uid="{00000000-0005-0000-0000-000020060000}"/>
    <cellStyle name="Check Cell 3 7" xfId="1675" xr:uid="{00000000-0005-0000-0000-000021060000}"/>
    <cellStyle name="Check Cell 3 7 2" xfId="5207" xr:uid="{56A90179-7E85-45F9-919D-49218D5567E5}"/>
    <cellStyle name="Check Cell 3 7 3" xfId="5322" xr:uid="{E9CA5698-4BBA-4C63-85EB-78F1AFD1AF3A}"/>
    <cellStyle name="Check Cell 3 8" xfId="1669" xr:uid="{00000000-0005-0000-0000-000022060000}"/>
    <cellStyle name="Check Cell 3 9" xfId="4741" xr:uid="{114C7101-D651-40F3-BC0B-AF5B6C1AE8E2}"/>
    <cellStyle name="Check Cell 4" xfId="122" xr:uid="{00000000-0005-0000-0000-000023060000}"/>
    <cellStyle name="Check Cell 4 2" xfId="1677" xr:uid="{00000000-0005-0000-0000-000024060000}"/>
    <cellStyle name="Check Cell 4 2 2" xfId="5206" xr:uid="{26475E3C-56C3-4E3E-8195-92F06D94029B}"/>
    <cellStyle name="Check Cell 4 2 3" xfId="5129" xr:uid="{952D3CD1-789D-4634-8517-33E1E5D47654}"/>
    <cellStyle name="Check Cell 4 3" xfId="1678" xr:uid="{00000000-0005-0000-0000-000025060000}"/>
    <cellStyle name="Check Cell 4 4" xfId="1679" xr:uid="{00000000-0005-0000-0000-000026060000}"/>
    <cellStyle name="Check Cell 4 5" xfId="1680" xr:uid="{00000000-0005-0000-0000-000027060000}"/>
    <cellStyle name="Check Cell 4 6" xfId="1681" xr:uid="{00000000-0005-0000-0000-000028060000}"/>
    <cellStyle name="Check Cell 4 7" xfId="1682" xr:uid="{00000000-0005-0000-0000-000029060000}"/>
    <cellStyle name="Check Cell 4 8" xfId="1676" xr:uid="{00000000-0005-0000-0000-00002A060000}"/>
    <cellStyle name="Check Cell 5" xfId="123" xr:uid="{00000000-0005-0000-0000-00002B060000}"/>
    <cellStyle name="Check Cell 5 2" xfId="1683" xr:uid="{00000000-0005-0000-0000-00002C060000}"/>
    <cellStyle name="Check Cell 5 3" xfId="1684" xr:uid="{00000000-0005-0000-0000-00002D060000}"/>
    <cellStyle name="Check Cell 5 4" xfId="1685" xr:uid="{00000000-0005-0000-0000-00002E060000}"/>
    <cellStyle name="Check Cell 5 5" xfId="1686" xr:uid="{00000000-0005-0000-0000-00002F060000}"/>
    <cellStyle name="Check Cell 5 6" xfId="1687" xr:uid="{00000000-0005-0000-0000-000030060000}"/>
    <cellStyle name="Check Cell 6" xfId="124" xr:uid="{00000000-0005-0000-0000-000031060000}"/>
    <cellStyle name="Check Cell 6 2" xfId="1688" xr:uid="{00000000-0005-0000-0000-000032060000}"/>
    <cellStyle name="Check Cell 6 3" xfId="1689" xr:uid="{00000000-0005-0000-0000-000033060000}"/>
    <cellStyle name="Check Cell 6 4" xfId="1690" xr:uid="{00000000-0005-0000-0000-000034060000}"/>
    <cellStyle name="Check Cell 6 5" xfId="1691" xr:uid="{00000000-0005-0000-0000-000035060000}"/>
    <cellStyle name="Check Cell 6 6" xfId="1692" xr:uid="{00000000-0005-0000-0000-000036060000}"/>
    <cellStyle name="Check Cell 7" xfId="125" xr:uid="{00000000-0005-0000-0000-000037060000}"/>
    <cellStyle name="Check Cell 7 2" xfId="1693" xr:uid="{00000000-0005-0000-0000-000038060000}"/>
    <cellStyle name="Check Cell 7 3" xfId="1694" xr:uid="{00000000-0005-0000-0000-000039060000}"/>
    <cellStyle name="Check Cell 7 4" xfId="1695" xr:uid="{00000000-0005-0000-0000-00003A060000}"/>
    <cellStyle name="Check Cell 7 5" xfId="1696" xr:uid="{00000000-0005-0000-0000-00003B060000}"/>
    <cellStyle name="Check Cell 7 6" xfId="1697" xr:uid="{00000000-0005-0000-0000-00003C060000}"/>
    <cellStyle name="Check Cell 8 2" xfId="1698" xr:uid="{00000000-0005-0000-0000-00003D060000}"/>
    <cellStyle name="Check Cell 8 3" xfId="1699" xr:uid="{00000000-0005-0000-0000-00003E060000}"/>
    <cellStyle name="Check Cell 8 4" xfId="1700" xr:uid="{00000000-0005-0000-0000-00003F060000}"/>
    <cellStyle name="Check Cell 8 5" xfId="1701" xr:uid="{00000000-0005-0000-0000-000040060000}"/>
    <cellStyle name="Check Cell 8 6" xfId="1702" xr:uid="{00000000-0005-0000-0000-000041060000}"/>
    <cellStyle name="Check Cell 9 2" xfId="1703" xr:uid="{00000000-0005-0000-0000-000042060000}"/>
    <cellStyle name="Check Cell 9 3" xfId="1704" xr:uid="{00000000-0005-0000-0000-000043060000}"/>
    <cellStyle name="Check Cell 9 4" xfId="1705" xr:uid="{00000000-0005-0000-0000-000044060000}"/>
    <cellStyle name="Check Cell 9 5" xfId="1706" xr:uid="{00000000-0005-0000-0000-000045060000}"/>
    <cellStyle name="Check Cell 9 6" xfId="1707" xr:uid="{00000000-0005-0000-0000-000046060000}"/>
    <cellStyle name="Client Name" xfId="126" xr:uid="{00000000-0005-0000-0000-000047060000}"/>
    <cellStyle name="Column Headings" xfId="127" xr:uid="{00000000-0005-0000-0000-000048060000}"/>
    <cellStyle name="Comma" xfId="1" builtinId="3"/>
    <cellStyle name="Comma 16 2" xfId="5321" xr:uid="{FD07902A-72C4-46D2-A629-6E4555178873}"/>
    <cellStyle name="Comma 18" xfId="1708" xr:uid="{00000000-0005-0000-0000-00004A060000}"/>
    <cellStyle name="Comma 18 2" xfId="3896" xr:uid="{A7D7DF6D-87A9-4314-9E34-060C52E34AC1}"/>
    <cellStyle name="Comma 18 2 2" xfId="4824" xr:uid="{A5C9C5C7-4C1E-4588-AC1F-DAC032E5747A}"/>
    <cellStyle name="Comma 18 3" xfId="4778" xr:uid="{4ABCC39E-0BE4-4007-A42D-FE54A0CD2DFB}"/>
    <cellStyle name="Comma 18 4" xfId="5320" xr:uid="{42EF93A9-2900-4E95-8953-5917B09F7B2F}"/>
    <cellStyle name="Comma 18 5" xfId="5165" xr:uid="{AC48C8AA-E463-4B9B-BF13-FDDE47386CEE}"/>
    <cellStyle name="Comma 18 6" xfId="5314" xr:uid="{71202AA9-FEA9-4796-B1F2-FD4B593EC9BD}"/>
    <cellStyle name="Comma 18 7" xfId="5319" xr:uid="{D9C69E8B-3914-4F97-8EA8-B7AD9753E7CC}"/>
    <cellStyle name="Comma 18 8" xfId="5318" xr:uid="{77C52507-C19A-4187-BF2B-DDD1573CC85C}"/>
    <cellStyle name="Comma 19" xfId="1709" xr:uid="{00000000-0005-0000-0000-00004B060000}"/>
    <cellStyle name="Comma 19 2" xfId="1710" xr:uid="{00000000-0005-0000-0000-00004C060000}"/>
    <cellStyle name="Comma 19 2 2" xfId="4780" xr:uid="{6EFD6D3C-F72E-48C9-B140-EEA1CB64EEDB}"/>
    <cellStyle name="Comma 19 3" xfId="4779" xr:uid="{D1D83897-1793-4B5C-84D6-9025BB6C783A}"/>
    <cellStyle name="Comma 19 3 2" xfId="5504" xr:uid="{47771B70-8283-43CF-8661-B04C3C28EEB8}"/>
    <cellStyle name="Comma 19 4" xfId="5478" xr:uid="{4AFBFFF6-EABF-47FD-BC94-06D89F2AC4BF}"/>
    <cellStyle name="Comma 19 4 2" xfId="5462" xr:uid="{43B46280-61A4-4401-B452-75DCDF8516A3}"/>
    <cellStyle name="Comma 19 5" xfId="5132" xr:uid="{B2485507-3678-40EE-A215-AB49CF007CCC}"/>
    <cellStyle name="Comma 19 5 2" xfId="5452" xr:uid="{90BE25C6-C30B-4E29-A426-D60372D50198}"/>
    <cellStyle name="Comma 19 6" xfId="5582" xr:uid="{220952F8-0B95-4300-82C5-2C2885B6B9DA}"/>
    <cellStyle name="Comma 19 6 2" xfId="5527" xr:uid="{94BDBEBB-9A43-48DF-A34C-1CB513D325B4}"/>
    <cellStyle name="Comma 19 7" xfId="5114" xr:uid="{0727B974-69C6-4575-986F-E3306AA74BA8}"/>
    <cellStyle name="Comma 2" xfId="128" xr:uid="{00000000-0005-0000-0000-00004D060000}"/>
    <cellStyle name="Comma 2 2" xfId="129" xr:uid="{00000000-0005-0000-0000-00004E060000}"/>
    <cellStyle name="Comma 2 2 2" xfId="3920" xr:uid="{BB4F2DE8-33CB-4EF9-901F-C7851F06E0FF}"/>
    <cellStyle name="Comma 2 3" xfId="130" xr:uid="{00000000-0005-0000-0000-00004F060000}"/>
    <cellStyle name="Comma 2 3 2" xfId="1711" xr:uid="{00000000-0005-0000-0000-000050060000}"/>
    <cellStyle name="Comma 2 3 2 2" xfId="4863" xr:uid="{BEDF608E-3FB0-46ED-81DF-9C6563B5CC85}"/>
    <cellStyle name="Comma 2 3 3" xfId="3921" xr:uid="{D4B0FBFC-27E0-496B-B7E7-127B257D24CF}"/>
    <cellStyle name="Comma 2 4" xfId="131" xr:uid="{00000000-0005-0000-0000-000051060000}"/>
    <cellStyle name="Comma 2 4 2" xfId="2535" xr:uid="{00000000-0005-0000-0000-000052060000}"/>
    <cellStyle name="Comma 2 4 2 2" xfId="3960" xr:uid="{D3DC8C57-7AC5-4BCF-B9E3-47B7F94CF5E8}"/>
    <cellStyle name="Comma 2 4 3" xfId="2964" xr:uid="{00000000-0005-0000-0000-000092060000}"/>
    <cellStyle name="Comma 2 4 3 2" xfId="3680" xr:uid="{8F6D30B9-7AEE-49DF-8DD9-0755920726F9}"/>
    <cellStyle name="Comma 2 4 3 3" xfId="3922" xr:uid="{747323C5-7B66-4567-92B8-1D5CF37BC605}"/>
    <cellStyle name="Comma 2 5" xfId="4815" xr:uid="{57747EBD-FB86-461F-B907-9FC79EDA711C}"/>
    <cellStyle name="Comma 2 5 2" xfId="5317" xr:uid="{E68FE661-D33D-420D-A7B2-A28306751887}"/>
    <cellStyle name="Comma 2 6" xfId="5425" xr:uid="{0EEC103D-B98E-47D5-86EE-910587A729BB}"/>
    <cellStyle name="Comma 2 7" xfId="5181" xr:uid="{43AD090C-AC7E-4F45-AA2E-89FCA95153F2}"/>
    <cellStyle name="Comma 2 8" xfId="5423" xr:uid="{E23EA29A-A208-4C33-8408-22A298B81DFB}"/>
    <cellStyle name="Comma 2 9" xfId="5422" xr:uid="{15A873B2-446E-492A-90F3-DB36EA01BC2D}"/>
    <cellStyle name="Comma 20" xfId="1712" xr:uid="{00000000-0005-0000-0000-000053060000}"/>
    <cellStyle name="Comma 20 2" xfId="1713" xr:uid="{00000000-0005-0000-0000-000054060000}"/>
    <cellStyle name="Comma 20 2 2" xfId="4782" xr:uid="{27C6BD3B-A76C-412F-B292-262AE9A48809}"/>
    <cellStyle name="Comma 20 3" xfId="4781" xr:uid="{ECD4AC08-18E0-43FF-B682-9F950CF2FD57}"/>
    <cellStyle name="Comma 20 3 2" xfId="5463" xr:uid="{1BDF5084-A0FE-45A2-9FEC-25E5C4A255E7}"/>
    <cellStyle name="Comma 20 4" xfId="5621" xr:uid="{47644C92-E190-4606-A09F-4C0861064FAD}"/>
    <cellStyle name="Comma 20 4 2" xfId="5186" xr:uid="{422C3574-7190-49FD-A854-28FB64A31C37}"/>
    <cellStyle name="Comma 20 5" xfId="5187" xr:uid="{E5EAC389-C0AB-4443-8730-3D0AC043AA91}"/>
    <cellStyle name="Comma 20 5 2" xfId="5568" xr:uid="{DD122498-D7CD-43C3-BF66-DAE2580A917B}"/>
    <cellStyle name="Comma 20 6" xfId="5470" xr:uid="{54482B23-F90D-4118-AD6C-FAD0D37A1D39}"/>
    <cellStyle name="Comma 20 6 2" xfId="5438" xr:uid="{45F0174F-CEBA-4253-A9F6-DC70963B6C50}"/>
    <cellStyle name="Comma 20 7" xfId="5109" xr:uid="{BA89A8FA-4D57-44A4-91E1-4B1C01FF2C28}"/>
    <cellStyle name="Comma 21" xfId="1714" xr:uid="{00000000-0005-0000-0000-000055060000}"/>
    <cellStyle name="Comma 21 2" xfId="1715" xr:uid="{00000000-0005-0000-0000-000056060000}"/>
    <cellStyle name="Comma 21 2 2" xfId="4865" xr:uid="{AC1590D7-EAEF-4912-A429-1385B619A9E6}"/>
    <cellStyle name="Comma 21 3" xfId="4757" xr:uid="{1CCADF4A-7882-41C3-9DE4-45B785915670}"/>
    <cellStyle name="Comma 21 3 2" xfId="4864" xr:uid="{66EE4EC6-CB34-497C-A894-E13F6170FD34}"/>
    <cellStyle name="Comma 21 4" xfId="4783" xr:uid="{177206EF-24AD-46B9-BD70-CE9A09A059E5}"/>
    <cellStyle name="Comma 21 4 2" xfId="5535" xr:uid="{B2187D4A-2458-46C5-8DC0-A2ED1F8CE179}"/>
    <cellStyle name="Comma 21 5" xfId="5131" xr:uid="{9BFAADB9-1562-407B-8B7C-22D41C5CCCFC}"/>
    <cellStyle name="Comma 21 5 2" xfId="5451" xr:uid="{8E27DEB6-3C08-49D6-B4BA-424FB864DF39}"/>
    <cellStyle name="Comma 21 6" xfId="5481" xr:uid="{38D6A3B2-76C1-4409-A60D-F45A5AF30157}"/>
    <cellStyle name="Comma 21 6 2" xfId="5586" xr:uid="{2C8303CA-228B-45F8-ABA5-A013482B8D0F}"/>
    <cellStyle name="Comma 21 7" xfId="5466" xr:uid="{1CD62E76-7A79-4EA0-A1E8-211A7F424EF8}"/>
    <cellStyle name="Comma 22" xfId="1716" xr:uid="{00000000-0005-0000-0000-000057060000}"/>
    <cellStyle name="Comma 22 2" xfId="1717" xr:uid="{00000000-0005-0000-0000-000058060000}"/>
    <cellStyle name="Comma 22 2 2" xfId="4867" xr:uid="{73CB09D1-970B-4F51-A782-E5AAFAC0C254}"/>
    <cellStyle name="Comma 22 3" xfId="4758" xr:uid="{65CD2956-7E03-450B-879E-81279C72532C}"/>
    <cellStyle name="Comma 22 3 2" xfId="4866" xr:uid="{B3CA8F44-398E-4188-B067-F16AFB4D201A}"/>
    <cellStyle name="Comma 22 4" xfId="4784" xr:uid="{B80F1358-8DBA-43DD-9C0A-35E0E9DE96E8}"/>
    <cellStyle name="Comma 22 4 2" xfId="5058" xr:uid="{BFEE358A-4E39-4C21-99C9-4AA6EC27333A}"/>
    <cellStyle name="Comma 22 5" xfId="5118" xr:uid="{58CF2D6F-98B5-45DC-AD10-7099179D883E}"/>
    <cellStyle name="Comma 22 5 2" xfId="5531" xr:uid="{44E0E7B6-DB00-4719-B89A-F6F347968FFA}"/>
    <cellStyle name="Comma 22 6" xfId="5611" xr:uid="{A5821F5E-C51B-4986-9098-7CF801B29132}"/>
    <cellStyle name="Comma 22 6 2" xfId="5444" xr:uid="{2CAD77E0-77D3-4E09-83CE-E005D5716337}"/>
    <cellStyle name="Comma 22 7" xfId="5494" xr:uid="{CC55BCDC-B4B1-44C3-AF89-8AEE246E689D}"/>
    <cellStyle name="Comma 23" xfId="1718" xr:uid="{00000000-0005-0000-0000-000059060000}"/>
    <cellStyle name="Comma 23 2" xfId="1719" xr:uid="{00000000-0005-0000-0000-00005A060000}"/>
    <cellStyle name="Comma 23 2 2" xfId="4869" xr:uid="{5D938B64-BEBB-4FA4-96E6-46CCC09AB015}"/>
    <cellStyle name="Comma 23 3" xfId="4759" xr:uid="{6FD45A1C-9126-432C-BA33-29F4B62D3B11}"/>
    <cellStyle name="Comma 23 3 2" xfId="4868" xr:uid="{7D6A3C39-31C4-4A72-886C-F8856B20E189}"/>
    <cellStyle name="Comma 23 4" xfId="4785" xr:uid="{617113A9-5CA3-41B5-830B-A3F4121F98E1}"/>
    <cellStyle name="Comma 23 4 2" xfId="5460" xr:uid="{F406CD6A-9CB0-4811-85F1-82B44D9A146D}"/>
    <cellStyle name="Comma 23 5" xfId="5117" xr:uid="{60E57091-8007-4F24-88FE-D375D7B88F55}"/>
    <cellStyle name="Comma 23 5 2" xfId="5450" xr:uid="{054BE38C-A2E0-4124-8002-9749133C26C5}"/>
    <cellStyle name="Comma 23 6" xfId="5107" xr:uid="{962043E8-AEF6-4543-B1C0-CDA52988DA0A}"/>
    <cellStyle name="Comma 23 6 2" xfId="5184" xr:uid="{CFA0AE8A-D245-4B3C-9816-2BEFA0D99B3D}"/>
    <cellStyle name="Comma 23 7" xfId="5105" xr:uid="{0050CE90-0E4B-4F43-8DA0-E17E8677C6E5}"/>
    <cellStyle name="Comma 24" xfId="1720" xr:uid="{00000000-0005-0000-0000-00005B060000}"/>
    <cellStyle name="Comma 24 2" xfId="1721" xr:uid="{00000000-0005-0000-0000-00005C060000}"/>
    <cellStyle name="Comma 24 2 2" xfId="4871" xr:uid="{6988D582-9775-4443-8768-19403EBADD60}"/>
    <cellStyle name="Comma 24 3" xfId="4760" xr:uid="{F41536BC-C586-4412-9D77-D77F4A4D6871}"/>
    <cellStyle name="Comma 24 3 2" xfId="4870" xr:uid="{0366B898-CECB-4556-A894-6EED19634604}"/>
    <cellStyle name="Comma 24 4" xfId="4786" xr:uid="{9AFCB073-92DF-4A14-B385-C1351AAFABD4}"/>
    <cellStyle name="Comma 24 4 2" xfId="5505" xr:uid="{E8F98E0F-3B48-429B-9F4A-3350ECA5C3DE}"/>
    <cellStyle name="Comma 24 5" xfId="5584" xr:uid="{0EE94155-C7DA-4043-A503-B76D7157D0F5}"/>
    <cellStyle name="Comma 24 5 2" xfId="5569" xr:uid="{FE8D37BB-66A9-4034-AA68-A8BAB4C5C35E}"/>
    <cellStyle name="Comma 24 6" xfId="5469" xr:uid="{571BC483-1ACA-4E16-AABC-616820958DD2}"/>
    <cellStyle name="Comma 24 6 2" xfId="5489" xr:uid="{DB1FE758-F4E7-4796-9BA4-6F94686CC5FE}"/>
    <cellStyle name="Comma 24 7" xfId="5495" xr:uid="{F6127A8E-3D07-4FE5-BDE5-65628EFE574F}"/>
    <cellStyle name="Comma 25 2" xfId="5316" xr:uid="{A1B4336D-3613-41F7-983B-A9B68800A285}"/>
    <cellStyle name="Comma 27" xfId="1722" xr:uid="{00000000-0005-0000-0000-00005D060000}"/>
    <cellStyle name="Comma 27 2" xfId="1723" xr:uid="{00000000-0005-0000-0000-00005E060000}"/>
    <cellStyle name="Comma 27 2 2" xfId="4788" xr:uid="{AE94747E-8D05-4191-80E3-7B1D3D9CB51C}"/>
    <cellStyle name="Comma 27 3" xfId="4787" xr:uid="{FED03026-910C-4678-BF64-29294C471EAB}"/>
    <cellStyle name="Comma 27 3 2" xfId="5503" xr:uid="{FBFE0145-CEAD-4387-9C33-601AB984A81F}"/>
    <cellStyle name="Comma 27 4" xfId="5575" xr:uid="{99C2F17D-33BA-4FB6-A62C-1D2E4B2F153A}"/>
    <cellStyle name="Comma 27 4 2" xfId="5459" xr:uid="{66F3789D-FD0E-4907-BD70-829ECDE9FD19}"/>
    <cellStyle name="Comma 27 5" xfId="5106" xr:uid="{1E3E92C5-2EF7-4B8C-9867-78E6D9F41DEF}"/>
    <cellStyle name="Comma 27 5 2" xfId="5099" xr:uid="{174563AF-D448-48F2-863A-0E3C00027272}"/>
    <cellStyle name="Comma 27 6" xfId="5480" xr:uid="{5A41330F-1594-437A-832F-1A4509EFEC40}"/>
    <cellStyle name="Comma 27 6 2" xfId="5526" xr:uid="{E24479E9-3902-40E5-8B8E-AA80798BC79E}"/>
    <cellStyle name="Comma 27 7" xfId="5465" xr:uid="{FE0A3CFA-B783-46BB-9B44-C8CB634A3EF4}"/>
    <cellStyle name="Comma 28" xfId="1724" xr:uid="{00000000-0005-0000-0000-00005F060000}"/>
    <cellStyle name="Comma 28 2" xfId="1725" xr:uid="{00000000-0005-0000-0000-000060060000}"/>
    <cellStyle name="Comma 28 2 2" xfId="4873" xr:uid="{FCE7DF34-C969-4E98-9962-EE58D3303924}"/>
    <cellStyle name="Comma 28 3" xfId="4761" xr:uid="{CF88C539-013D-418B-8F9F-5B457C0FB74A}"/>
    <cellStyle name="Comma 28 3 2" xfId="4872" xr:uid="{67FCCC57-F849-4C26-8440-0210847385F3}"/>
    <cellStyle name="Comma 28 4" xfId="4789" xr:uid="{3A2C34F0-10BE-44B0-B319-BF5AA0A37D55}"/>
    <cellStyle name="Comma 28 4 2" xfId="5506" xr:uid="{1DC8CEF1-1BA5-4256-86D2-99FF5AF11A70}"/>
    <cellStyle name="Comma 28 5" xfId="5533" xr:uid="{A52ADCA5-F5EC-4573-965D-8A029F36EF98}"/>
    <cellStyle name="Comma 28 5 2" xfId="5490" xr:uid="{797622FD-DBC1-4CC3-BB7D-FD08025FC3C1}"/>
    <cellStyle name="Comma 28 6" xfId="5610" xr:uid="{816A4EB7-76D0-420F-A56E-258C16755AC3}"/>
    <cellStyle name="Comma 28 6 2" xfId="5443" xr:uid="{9CC7225E-BF09-4568-ACAC-C01D88C2756F}"/>
    <cellStyle name="Comma 28 7" xfId="5496" xr:uid="{539FE918-8C2E-4B7D-BD7E-3A464B627323}"/>
    <cellStyle name="Comma 29 2" xfId="5315" xr:uid="{8108FEDE-CB75-4CF4-9C10-AED95007D205}"/>
    <cellStyle name="Comma 3" xfId="132" xr:uid="{00000000-0005-0000-0000-000061060000}"/>
    <cellStyle name="Comma 3 10" xfId="2923" xr:uid="{00000000-0005-0000-0000-0000A1060000}"/>
    <cellStyle name="Comma 3 10 2" xfId="3639" xr:uid="{E3094629-E16D-46E7-97E9-DD622AD8AA15}"/>
    <cellStyle name="Comma 3 10 2 2" xfId="7153" xr:uid="{95F310F0-4D3D-4F72-A373-1719E58A86A3}"/>
    <cellStyle name="Comma 3 10 2 2 2" xfId="8666" xr:uid="{C00357E0-CDFE-4D59-AB9D-EFAFB6B6811D}"/>
    <cellStyle name="Comma 3 10 2 3" xfId="7916" xr:uid="{F88DECE9-7B4F-4B04-9A3D-2585ABB976AF}"/>
    <cellStyle name="Comma 3 10 2 4" xfId="6332" xr:uid="{2E246000-DC8A-463B-A8A8-0746DE52BC3A}"/>
    <cellStyle name="Comma 3 10 2 5" xfId="4507" xr:uid="{201359BB-D3E6-4929-B0DB-3FC639DE617D}"/>
    <cellStyle name="Comma 3 10 3" xfId="4231" xr:uid="{E22A93FD-5A10-4F08-8592-79E11FC3782F}"/>
    <cellStyle name="Comma 3 10 3 2" xfId="8480" xr:uid="{BA38AAB5-AD6F-4A6D-A412-2BEB2555B573}"/>
    <cellStyle name="Comma 3 10 3 3" xfId="7730" xr:uid="{E938C062-2045-45DC-8D2C-A5E371A3D7B8}"/>
    <cellStyle name="Comma 3 10 3 4" xfId="6961" xr:uid="{3D65180B-BF09-4EE6-884F-CE29F862F72E}"/>
    <cellStyle name="Comma 3 10 4" xfId="6651" xr:uid="{F4F81F7D-E8EF-4C8D-B2FC-A3535BA832B3}"/>
    <cellStyle name="Comma 3 10 4 2" xfId="8210" xr:uid="{75405DCE-8D96-447B-A3E5-E26F746692BB}"/>
    <cellStyle name="Comma 3 10 5" xfId="7460" xr:uid="{4BF61B9C-E1E0-4F2D-BDCD-98B2F28FE090}"/>
    <cellStyle name="Comma 3 10 6" xfId="4967" xr:uid="{64DE3DA1-1242-49DF-BCAA-AEFD45CF08FC}"/>
    <cellStyle name="Comma 3 10 7" xfId="4025" xr:uid="{CD0CF403-21E8-4260-9029-F85A5EE69C96}"/>
    <cellStyle name="Comma 3 11" xfId="3494" xr:uid="{0F75496D-6114-461F-8ED1-68B88E00032C}"/>
    <cellStyle name="Comma 3 11 2" xfId="3788" xr:uid="{D8F99153-84CA-4367-BCAA-54B3BD482DBC}"/>
    <cellStyle name="Comma 3 11 2 2" xfId="7063" xr:uid="{F1E8954E-126B-48A4-9A46-D6E2880C0117}"/>
    <cellStyle name="Comma 3 11 2 2 2" xfId="8582" xr:uid="{0C4694FE-D87F-4E1D-BDA9-25350562EBF3}"/>
    <cellStyle name="Comma 3 11 2 3" xfId="7832" xr:uid="{81194C7E-3846-41AB-A4D0-1A5076349E76}"/>
    <cellStyle name="Comma 3 11 2 4" xfId="5071" xr:uid="{B6BE93CD-2C52-45DD-9096-FCD65AFB063B}"/>
    <cellStyle name="Comma 3 11 2 5" xfId="4640" xr:uid="{2E6CF82C-D6ED-4154-AFF7-77CFA363611F}"/>
    <cellStyle name="Comma 3 11 3" xfId="4364" xr:uid="{33EE2D8A-C718-4215-80ED-1EBAF0AB6613}"/>
    <cellStyle name="Comma 3 11 3 2" xfId="8538" xr:uid="{4DEF58D2-1F1F-4A5D-8D4B-EC216FC3AB5C}"/>
    <cellStyle name="Comma 3 11 3 3" xfId="7788" xr:uid="{E42128D9-CB97-490C-8140-736F0A6AAC1E}"/>
    <cellStyle name="Comma 3 11 3 4" xfId="7019" xr:uid="{1F05F734-207B-4B95-91B2-3F848D2126F0}"/>
    <cellStyle name="Comma 3 11 4" xfId="6772" xr:uid="{D6A00ADA-3E98-4F93-B95A-65194D6D3049}"/>
    <cellStyle name="Comma 3 11 4 2" xfId="8330" xr:uid="{66621B27-4116-4171-9DD1-8801C78471A6}"/>
    <cellStyle name="Comma 3 11 5" xfId="7580" xr:uid="{66F8F763-CB78-4A28-8069-709070F45D96}"/>
    <cellStyle name="Comma 3 11 6" xfId="5026" xr:uid="{CA30191D-9E1C-43C8-ACFC-87B6B8568F11}"/>
    <cellStyle name="Comma 3 11 7" xfId="4057" xr:uid="{BF54EA8A-DACE-429A-AC32-5CAB29477CE2}"/>
    <cellStyle name="Comma 3 12" xfId="3549" xr:uid="{0B82787D-712B-49A6-8011-DA51E5C52819}"/>
    <cellStyle name="Comma 3 12 2" xfId="7065" xr:uid="{85EA102B-9C42-46E7-BB28-92A27CC1AC9B}"/>
    <cellStyle name="Comma 3 12 2 2" xfId="8584" xr:uid="{69AE71B1-6B6B-4942-88F3-35E3BFF3175B}"/>
    <cellStyle name="Comma 3 12 3" xfId="7834" xr:uid="{19B0BDDC-9156-4138-B0B2-7AE5A87A789D}"/>
    <cellStyle name="Comma 3 12 4" xfId="5078" xr:uid="{F4D22C78-1DCA-4049-AC66-54FF9DF3CA00}"/>
    <cellStyle name="Comma 3 12 5" xfId="4417" xr:uid="{8D12E62A-7872-41B6-B7BF-9480334F4CFA}"/>
    <cellStyle name="Comma 3 13" xfId="3835" xr:uid="{BF87B210-2CC3-4B97-AAEB-4038B85B2CA6}"/>
    <cellStyle name="Comma 3 13 2" xfId="7220" xr:uid="{3C671550-3598-40FE-B32D-9FBE42C89B8D}"/>
    <cellStyle name="Comma 3 13 2 2" xfId="8732" xr:uid="{E4EBD43A-CE8A-4913-816C-38BD87AE22A6}"/>
    <cellStyle name="Comma 3 13 3" xfId="7982" xr:uid="{AA0BA4CD-4899-4593-8640-2B25E091883A}"/>
    <cellStyle name="Comma 3 13 4" xfId="6419" xr:uid="{3588A36D-A27C-45CB-9CE9-A9D494729757}"/>
    <cellStyle name="Comma 3 13 5" xfId="4687" xr:uid="{735A02E9-0A6A-4BD6-A52A-65AA7F56C81A}"/>
    <cellStyle name="Comma 3 14" xfId="4137" xr:uid="{CAA85EDC-51BB-4810-8742-D5965F8F970C}"/>
    <cellStyle name="Comma 3 14 2" xfId="7262" xr:uid="{3632B8F1-AD24-42D3-96EB-A66F198B9693}"/>
    <cellStyle name="Comma 3 14 2 2" xfId="8774" xr:uid="{61E5FC6F-9E58-4857-8306-D89352FF9025}"/>
    <cellStyle name="Comma 3 14 3" xfId="8024" xr:uid="{12C6924D-E8DB-44E8-B7E1-8B7471DD2A56}"/>
    <cellStyle name="Comma 3 14 4" xfId="6461" xr:uid="{44FF4692-3127-4E53-BB4D-E96DCA30EC09}"/>
    <cellStyle name="Comma 3 15" xfId="6504" xr:uid="{B54E7A65-51AA-46D9-8FBF-6188FE030DA3}"/>
    <cellStyle name="Comma 3 15 2" xfId="7305" xr:uid="{BB2C5B0D-ECC6-465A-AC69-ED1CA30B1F9A}"/>
    <cellStyle name="Comma 3 15 2 2" xfId="8817" xr:uid="{9916EC36-CE45-4EA7-BE8B-F725F0027603}"/>
    <cellStyle name="Comma 3 15 3" xfId="8067" xr:uid="{713548EC-CF27-4840-AB02-B060FAE652E3}"/>
    <cellStyle name="Comma 3 16" xfId="6854" xr:uid="{4241F9EC-FF7D-43F6-886D-66159A278A84}"/>
    <cellStyle name="Comma 3 16 2" xfId="8385" xr:uid="{E4BF31BB-95DF-4BD6-9E8B-75CF35DCDF88}"/>
    <cellStyle name="Comma 3 16 3" xfId="7635" xr:uid="{9B7A6DC4-EA90-46F2-957C-617EBFA2739F}"/>
    <cellStyle name="Comma 3 17" xfId="6803" xr:uid="{B30054ED-4409-4A81-A1BA-EDF3C8E8E5D8}"/>
    <cellStyle name="Comma 3 17 2" xfId="8349" xr:uid="{432A9E65-FF19-4970-97F9-D94CE6AC6814}"/>
    <cellStyle name="Comma 3 17 3" xfId="7599" xr:uid="{D82615F4-E08F-43CA-98AE-5B8E8A1DCBCC}"/>
    <cellStyle name="Comma 3 18" xfId="6561" xr:uid="{01004C07-FAD3-4553-A21D-5EB7CB767183}"/>
    <cellStyle name="Comma 3 18 2" xfId="8120" xr:uid="{14453A6E-DDA0-42CB-B2B2-990E8F3C3C80}"/>
    <cellStyle name="Comma 3 19" xfId="7370" xr:uid="{EFB55EFE-D251-4E6B-B464-4852F2E60739}"/>
    <cellStyle name="Comma 3 2" xfId="133" xr:uid="{00000000-0005-0000-0000-000062060000}"/>
    <cellStyle name="Comma 3 2 2" xfId="3924" xr:uid="{72B0C581-D3C8-4995-91D4-087C7DD94033}"/>
    <cellStyle name="Comma 3 2 2 2" xfId="5128" xr:uid="{71237B59-D4A5-45EF-BF93-71D81A18DE78}"/>
    <cellStyle name="Comma 3 2 2 3" xfId="6895" xr:uid="{E11FAFF9-8CB7-4DA6-8B45-6A32DF2F319B}"/>
    <cellStyle name="Comma 3 2 2 4" xfId="6775" xr:uid="{0130D41D-0CBF-4933-B295-8F09F25EBA1D}"/>
    <cellStyle name="Comma 3 2 2 4 2" xfId="8332" xr:uid="{72298D60-84FE-4717-BE2F-A6BE11028CB0}"/>
    <cellStyle name="Comma 3 2 2 5" xfId="7582" xr:uid="{142D1F02-89A1-4DF1-9A3B-E61FEFC40D26}"/>
    <cellStyle name="Comma 3 2 3" xfId="5620" xr:uid="{9FF0E752-BDBB-400D-81FA-7A6655F1AB5F}"/>
    <cellStyle name="Comma 3 20" xfId="4733" xr:uid="{478584FE-E5EB-4CC0-B15D-3CA084BA3AAE}"/>
    <cellStyle name="Comma 3 21" xfId="3869" xr:uid="{1D15CE7C-4D8E-4EE1-869D-3EE2644AB9A2}"/>
    <cellStyle name="Comma 3 3" xfId="134" xr:uid="{00000000-0005-0000-0000-000063060000}"/>
    <cellStyle name="Comma 3 3 2" xfId="2534" xr:uid="{00000000-0005-0000-0000-000064060000}"/>
    <cellStyle name="Comma 3 3 2 2" xfId="4908" xr:uid="{71981DFC-08B1-46C6-8560-7CEE1F337822}"/>
    <cellStyle name="Comma 3 3 3" xfId="2966" xr:uid="{00000000-0005-0000-0000-0000A5060000}"/>
    <cellStyle name="Comma 3 3 3 2" xfId="3682" xr:uid="{EB54BAEC-2CE5-46B4-B785-44ACB527CB7B}"/>
    <cellStyle name="Comma 3 3 3 3" xfId="3925" xr:uid="{E014442A-CA4D-4B10-8CBB-A40A32A82AA6}"/>
    <cellStyle name="Comma 3 3 4" xfId="4029" xr:uid="{B5ED23BC-13EA-438B-BB2F-205E31F7BF2C}"/>
    <cellStyle name="Comma 3 3 4 2" xfId="8334" xr:uid="{80C696AE-F7ED-4762-AACF-B459EAF65604}"/>
    <cellStyle name="Comma 3 3 4 3" xfId="7584" xr:uid="{9E663287-0B59-4314-97FA-C24380820B5A}"/>
    <cellStyle name="Comma 3 3 4 4" xfId="6777" xr:uid="{529189CB-C008-42B4-B467-236D86561A38}"/>
    <cellStyle name="Comma 3 3 5" xfId="3870" xr:uid="{029A9332-B67A-4E32-8AB1-BAC5ACCADADC}"/>
    <cellStyle name="Comma 3 4" xfId="1726" xr:uid="{00000000-0005-0000-0000-000065060000}"/>
    <cellStyle name="Comma 3 4 10" xfId="5180" xr:uid="{7E06FBA6-FB3C-4259-9D1E-9D317DB55F99}"/>
    <cellStyle name="Comma 3 4 11" xfId="6511" xr:uid="{A413EAD9-4A93-4B04-B49B-EEE1ECFF31E0}"/>
    <cellStyle name="Comma 3 4 11 2" xfId="7307" xr:uid="{6C6F3E6A-0E65-4D62-B848-55685FC1EAA6}"/>
    <cellStyle name="Comma 3 4 11 2 2" xfId="8819" xr:uid="{67B6147B-4430-4316-A4F7-610647463803}"/>
    <cellStyle name="Comma 3 4 11 3" xfId="8069" xr:uid="{BEBAF367-EC0B-4835-9975-1C56FDBDA6E8}"/>
    <cellStyle name="Comma 3 4 12" xfId="6866" xr:uid="{216B6023-437A-4A47-B2BA-DF1077464F72}"/>
    <cellStyle name="Comma 3 4 12 2" xfId="8394" xr:uid="{8AE16795-DDBF-44BF-A980-9FAC4A7703B1}"/>
    <cellStyle name="Comma 3 4 12 3" xfId="7644" xr:uid="{C5E42DAB-2F84-4A29-8799-3632AFDFBAE8}"/>
    <cellStyle name="Comma 3 4 13" xfId="6811" xr:uid="{4115EF2F-CFC5-4BBF-89D4-1B1D3F8C6A0D}"/>
    <cellStyle name="Comma 3 4 13 2" xfId="8351" xr:uid="{75AF2365-B338-4EB5-9E13-F4BF8D88D38F}"/>
    <cellStyle name="Comma 3 4 13 3" xfId="7601" xr:uid="{5C634D8D-F0E4-47F4-8619-62625CEBC5FB}"/>
    <cellStyle name="Comma 3 4 14" xfId="6563" xr:uid="{79D7C1EC-8055-4CE6-8113-D0923DBA304F}"/>
    <cellStyle name="Comma 3 4 14 2" xfId="8122" xr:uid="{3A9A4EC1-7088-4824-8578-AC7E9CB23300}"/>
    <cellStyle name="Comma 3 4 15" xfId="7372" xr:uid="{24F97EAE-4D4E-487B-B4B6-EDBB6F06D01D}"/>
    <cellStyle name="Comma 3 4 16" xfId="4762" xr:uid="{86F0B3E9-9182-488A-8584-8F38B31545DF}"/>
    <cellStyle name="Comma 3 4 17" xfId="3873" xr:uid="{52AE1EDC-48AF-400A-BC72-B4B12E6422B6}"/>
    <cellStyle name="Comma 3 4 2" xfId="2850" xr:uid="{00000000-0005-0000-0000-000066060000}"/>
    <cellStyle name="Comma 3 4 2 10" xfId="7389" xr:uid="{CC9760F1-B4D2-43A5-BFE1-3CF5A3156621}"/>
    <cellStyle name="Comma 3 4 2 11" xfId="4874" xr:uid="{D361625E-0CF1-478D-83A0-C73D8650CBF5}"/>
    <cellStyle name="Comma 3 4 2 12" xfId="3945" xr:uid="{2639A530-8F13-4A20-87F5-C4CD02638637}"/>
    <cellStyle name="Comma 3 4 2 2" xfId="2897" xr:uid="{00000000-0005-0000-0000-000066060000}"/>
    <cellStyle name="Comma 3 4 2 2 2" xfId="2998" xr:uid="{00000000-0005-0000-0000-0000A8060000}"/>
    <cellStyle name="Comma 3 4 2 2 2 2" xfId="3714" xr:uid="{A2880AA7-7B53-4979-91CD-062ADC4E5F48}"/>
    <cellStyle name="Comma 3 4 2 2 2 2 2" xfId="8646" xr:uid="{E47773D6-D69A-410C-B78A-31D00CEEF321}"/>
    <cellStyle name="Comma 3 4 2 2 2 2 3" xfId="7896" xr:uid="{0426A84E-36C0-4196-8440-035EC925B707}"/>
    <cellStyle name="Comma 3 4 2 2 2 2 4" xfId="7131" xr:uid="{1B6D874E-0877-4CAE-AA0D-FE712148B56B}"/>
    <cellStyle name="Comma 3 4 2 2 2 2 5" xfId="4566" xr:uid="{4B3AD84D-17AB-4DFC-B08F-1BD1D113B864}"/>
    <cellStyle name="Comma 3 4 2 2 2 3" xfId="6710" xr:uid="{58C908B1-C0CF-4762-881C-DEA5AF74A107}"/>
    <cellStyle name="Comma 3 4 2 2 2 3 2" xfId="8269" xr:uid="{08D6EA1A-6EF4-4FE9-87A0-4727778FF942}"/>
    <cellStyle name="Comma 3 4 2 2 2 4" xfId="7519" xr:uid="{4CF9828A-7B3B-4C3B-A6BF-B4EBC52593D9}"/>
    <cellStyle name="Comma 3 4 2 2 2 5" xfId="5716" xr:uid="{61B0692F-2D4D-4E7F-BDB0-83819BDEB9E8}"/>
    <cellStyle name="Comma 3 4 2 2 2 6" xfId="4290" xr:uid="{292B53D0-7CF9-4B4F-B4AF-A1D37306EB37}"/>
    <cellStyle name="Comma 3 4 2 2 3" xfId="3613" xr:uid="{8452D8E4-D0D4-4771-8163-FE3D0E95989B}"/>
    <cellStyle name="Comma 3 4 2 2 3 2" xfId="8463" xr:uid="{C809BF65-1EF2-4E18-B0F6-D5D28CD2FD0C}"/>
    <cellStyle name="Comma 3 4 2 2 3 3" xfId="7713" xr:uid="{BBEF968C-AD51-4274-B463-6DCF6EB2E43A}"/>
    <cellStyle name="Comma 3 4 2 2 3 4" xfId="6944" xr:uid="{AA303C98-EF72-48FD-8E5B-C081A3D8F40C}"/>
    <cellStyle name="Comma 3 4 2 2 3 5" xfId="4481" xr:uid="{8A5500CE-A06C-42FE-A995-D15CB06D47C9}"/>
    <cellStyle name="Comma 3 4 2 2 4" xfId="4205" xr:uid="{163B515D-AE31-48B9-8FE1-407AEDF1A891}"/>
    <cellStyle name="Comma 3 4 2 2 4 2" xfId="8184" xr:uid="{925F313C-41F0-42E1-9217-256487D93F90}"/>
    <cellStyle name="Comma 3 4 2 2 4 3" xfId="6625" xr:uid="{78B8FEC7-7F3F-444C-93CC-330B6C1A0655}"/>
    <cellStyle name="Comma 3 4 2 2 5" xfId="7434" xr:uid="{C85BECC5-F530-4203-AFB3-916567D0361A}"/>
    <cellStyle name="Comma 3 4 2 2 6" xfId="4950" xr:uid="{46FBC8E1-2FFD-43C6-8550-BA0438BB65BB}"/>
    <cellStyle name="Comma 3 4 2 2 7" xfId="4067" xr:uid="{846A8DB1-9DC8-48E8-9D6E-4B6E84093CF7}"/>
    <cellStyle name="Comma 3 4 2 3" xfId="3442" xr:uid="{00000000-0005-0000-0000-0000A9060000}"/>
    <cellStyle name="Comma 3 4 2 3 2" xfId="3754" xr:uid="{A82E59BF-4C22-45C2-9CF3-C236E7BB1247}"/>
    <cellStyle name="Comma 3 4 2 3 2 2" xfId="7189" xr:uid="{3FC5676C-F74F-463A-B383-E688D475166F}"/>
    <cellStyle name="Comma 3 4 2 3 2 2 2" xfId="8701" xr:uid="{B828EE72-0BA0-424E-9BB6-25C35C21FA3B}"/>
    <cellStyle name="Comma 3 4 2 3 2 3" xfId="7951" xr:uid="{C593ED81-BA75-4EBA-8283-E5F994B4DC6C}"/>
    <cellStyle name="Comma 3 4 2 3 2 4" xfId="6387" xr:uid="{63F057D6-7BA9-44C5-92AC-0805E97C0D88}"/>
    <cellStyle name="Comma 3 4 2 3 2 5" xfId="4606" xr:uid="{BBE23F15-D4D1-49D9-B319-E40E9A48B932}"/>
    <cellStyle name="Comma 3 4 2 3 3" xfId="6993" xr:uid="{1ABC2112-4C6D-4F43-91DF-002F21096537}"/>
    <cellStyle name="Comma 3 4 2 3 3 2" xfId="8512" xr:uid="{B718E146-4124-4B7F-9199-25945444B5D2}"/>
    <cellStyle name="Comma 3 4 2 3 3 3" xfId="7762" xr:uid="{F27B2113-F4FD-4519-BDDC-D01A6F1097ED}"/>
    <cellStyle name="Comma 3 4 2 3 4" xfId="6751" xr:uid="{77FF301A-C320-4408-BBD8-4E8D2A282484}"/>
    <cellStyle name="Comma 3 4 2 3 4 2" xfId="8309" xr:uid="{2CC229D5-EA61-46C3-A88B-F8E92362E6CF}"/>
    <cellStyle name="Comma 3 4 2 3 5" xfId="7559" xr:uid="{A70963F2-BF75-4E2F-A951-9260F319C4DF}"/>
    <cellStyle name="Comma 3 4 2 3 6" xfId="4999" xr:uid="{5D7DC0EA-DDE4-4FD0-B94F-A979305639A8}"/>
    <cellStyle name="Comma 3 4 2 3 7" xfId="4330" xr:uid="{9260074C-A84A-4F96-A259-BEE14CF9D4E9}"/>
    <cellStyle name="Comma 3 4 2 4" xfId="2942" xr:uid="{00000000-0005-0000-0000-0000A7060000}"/>
    <cellStyle name="Comma 3 4 2 4 2" xfId="3658" xr:uid="{9C801D3A-7968-4D97-B2BA-5E24C4001BD6}"/>
    <cellStyle name="Comma 3 4 2 4 2 2" xfId="7238" xr:uid="{608EE805-DE35-42E4-8B32-8B5824A5C8BA}"/>
    <cellStyle name="Comma 3 4 2 4 2 2 2" xfId="8750" xr:uid="{A2428ED6-7E94-4FCF-9B88-461DBD534654}"/>
    <cellStyle name="Comma 3 4 2 4 2 3" xfId="8000" xr:uid="{467F2A29-E652-4822-A4D1-E21118A6BCCD}"/>
    <cellStyle name="Comma 3 4 2 4 2 4" xfId="6437" xr:uid="{593E3ACE-D662-43AB-9A1A-C51F70E4891A}"/>
    <cellStyle name="Comma 3 4 2 4 2 5" xfId="4526" xr:uid="{F747B563-6E3E-483B-B88D-E004A9ED7834}"/>
    <cellStyle name="Comma 3 4 2 4 3" xfId="7038" xr:uid="{F2C8211C-ADE3-4426-ADD0-28884EDD954B}"/>
    <cellStyle name="Comma 3 4 2 4 3 2" xfId="8557" xr:uid="{047A62FA-24AB-448E-B7A0-3F76E148054D}"/>
    <cellStyle name="Comma 3 4 2 4 3 3" xfId="7807" xr:uid="{E70987B8-542C-4AE9-9B8C-6417765AC7D7}"/>
    <cellStyle name="Comma 3 4 2 4 4" xfId="6670" xr:uid="{7F6023E1-C4C4-4C51-8930-EB5196807DC1}"/>
    <cellStyle name="Comma 3 4 2 4 4 2" xfId="8229" xr:uid="{433EFC01-8324-4E98-A782-A3D244698C7F}"/>
    <cellStyle name="Comma 3 4 2 4 5" xfId="7479" xr:uid="{82F8EC59-E0A5-46DD-BE1E-E87AFA63AB72}"/>
    <cellStyle name="Comma 3 4 2 4 6" xfId="5045" xr:uid="{528944C3-F9B0-4406-B1F5-5C37CB2AAA8E}"/>
    <cellStyle name="Comma 3 4 2 4 7" xfId="4250" xr:uid="{D6B696BB-EA20-4DBD-968B-5CFAA53813AB}"/>
    <cellStyle name="Comma 3 4 2 5" xfId="3513" xr:uid="{73314173-0D82-47F4-ABF1-1DB808FC828A}"/>
    <cellStyle name="Comma 3 4 2 5 2" xfId="3807" xr:uid="{7D5E94F7-626B-44F4-BFEC-88408E242363}"/>
    <cellStyle name="Comma 3 4 2 5 2 2" xfId="8614" xr:uid="{FF17FE10-778B-488D-B213-B3119B2D7F6A}"/>
    <cellStyle name="Comma 3 4 2 5 2 3" xfId="7098" xr:uid="{CE26E877-2C09-44BD-AFF6-77917A6DB8A8}"/>
    <cellStyle name="Comma 3 4 2 5 2 4" xfId="4659" xr:uid="{878ADAC6-70B4-4D55-96E9-956109B344C1}"/>
    <cellStyle name="Comma 3 4 2 5 3" xfId="7864" xr:uid="{90B8414A-3FF6-443F-AA5F-AE1073388043}"/>
    <cellStyle name="Comma 3 4 2 5 4" xfId="5651" xr:uid="{AE9B5211-F567-441E-94E8-2924ABF6824B}"/>
    <cellStyle name="Comma 3 4 2 5 5" xfId="4383" xr:uid="{80CA601B-0602-413B-8C2C-3CAFCEEE9CCE}"/>
    <cellStyle name="Comma 3 4 2 6" xfId="3568" xr:uid="{03783A2E-061B-4310-97BF-65B8571CFC64}"/>
    <cellStyle name="Comma 3 4 2 6 2" xfId="7324" xr:uid="{33F44BC8-5203-4A71-928D-4B80E8181CAD}"/>
    <cellStyle name="Comma 3 4 2 6 2 2" xfId="8836" xr:uid="{38C111B7-2E93-4610-AF7E-145B4280742B}"/>
    <cellStyle name="Comma 3 4 2 6 3" xfId="8086" xr:uid="{1C39AADA-E1B4-4DD1-84DD-36877C9F0DCA}"/>
    <cellStyle name="Comma 3 4 2 6 4" xfId="6530" xr:uid="{FBB8681D-0420-4534-B0C4-A445F8D02179}"/>
    <cellStyle name="Comma 3 4 2 6 5" xfId="4436" xr:uid="{69DD2806-2D64-46B6-A274-EEA26B479DF8}"/>
    <cellStyle name="Comma 3 4 2 7" xfId="3854" xr:uid="{1D3A07CD-463C-4D56-9100-B83F619EB8DC}"/>
    <cellStyle name="Comma 3 4 2 7 2" xfId="8417" xr:uid="{F87965EE-E116-45D0-8822-7C140B3C46A9}"/>
    <cellStyle name="Comma 3 4 2 7 3" xfId="7667" xr:uid="{9BC11234-9DA0-470D-B042-CD905ADB856E}"/>
    <cellStyle name="Comma 3 4 2 7 4" xfId="6898" xr:uid="{33ACD424-021E-46D8-87C1-B477F4E22C18}"/>
    <cellStyle name="Comma 3 4 2 7 5" xfId="4706" xr:uid="{806F6BAA-DE8B-403C-8821-0F68538BAAB1}"/>
    <cellStyle name="Comma 3 4 2 8" xfId="4160" xr:uid="{C3A85838-8C96-4D09-8717-6C483AF0A5FA}"/>
    <cellStyle name="Comma 3 4 2 8 2" xfId="8368" xr:uid="{7AD8FC52-35F5-47C8-AF23-CFF91F824B88}"/>
    <cellStyle name="Comma 3 4 2 8 3" xfId="7618" xr:uid="{4F68465B-367F-420E-B8E4-41A7433338C2}"/>
    <cellStyle name="Comma 3 4 2 8 4" xfId="6829" xr:uid="{1D967053-7A60-463A-B164-F39E9340A3F2}"/>
    <cellStyle name="Comma 3 4 2 9" xfId="6580" xr:uid="{AFB5106D-83E4-425B-B18B-4A095CBFBFD0}"/>
    <cellStyle name="Comma 3 4 2 9 2" xfId="8139" xr:uid="{6A9423F0-8FD0-474A-8C55-F64D7859EAD2}"/>
    <cellStyle name="Comma 3 4 3" xfId="2880" xr:uid="{00000000-0005-0000-0000-000065060000}"/>
    <cellStyle name="Comma 3 4 3 2" xfId="2976" xr:uid="{00000000-0005-0000-0000-0000AA060000}"/>
    <cellStyle name="Comma 3 4 3 2 2" xfId="3692" xr:uid="{C73FF080-0FE9-4E8F-8638-CB7E580CC3E2}"/>
    <cellStyle name="Comma 3 4 3 2 2 2" xfId="8634" xr:uid="{0F2FAE8D-37CF-4F09-A1B5-DA0D7E5EFDF5}"/>
    <cellStyle name="Comma 3 4 3 2 2 3" xfId="7884" xr:uid="{F6B28F25-FA9C-4508-AA74-DA8BFC76421A}"/>
    <cellStyle name="Comma 3 4 3 2 2 4" xfId="7118" xr:uid="{489CD647-5204-4486-805B-B5E449F87479}"/>
    <cellStyle name="Comma 3 4 3 2 2 5" xfId="4549" xr:uid="{65F1BF04-D409-4DD6-BAE8-05D377355A6E}"/>
    <cellStyle name="Comma 3 4 3 2 3" xfId="4273" xr:uid="{5977C4C6-492E-45FD-8D67-D152F2C966A4}"/>
    <cellStyle name="Comma 3 4 3 2 3 2" xfId="8252" xr:uid="{E6B37CBC-72B4-4DFF-B27F-6D9804E755AF}"/>
    <cellStyle name="Comma 3 4 3 2 3 3" xfId="6693" xr:uid="{AA005C71-495B-407B-9629-34D2A8C8ACBB}"/>
    <cellStyle name="Comma 3 4 3 2 4" xfId="7502" xr:uid="{EB34F1C6-C435-4170-86C6-7BC098EF8D52}"/>
    <cellStyle name="Comma 3 4 3 2 5" xfId="5702" xr:uid="{761CD8B2-AE58-42F2-A12B-A71587AC8DDF}"/>
    <cellStyle name="Comma 3 4 3 2 6" xfId="4097" xr:uid="{51497F16-91DC-451B-B880-41FD8B6AAC34}"/>
    <cellStyle name="Comma 3 4 3 3" xfId="3596" xr:uid="{3741E156-7756-42CD-92ED-C8F7D3F1676F}"/>
    <cellStyle name="Comma 3 4 3 3 2" xfId="8440" xr:uid="{E649122F-CEEB-4E15-9B73-9F7EC316810B}"/>
    <cellStyle name="Comma 3 4 3 3 3" xfId="7690" xr:uid="{504109A3-EFDE-494C-B0F4-8BB026881E87}"/>
    <cellStyle name="Comma 3 4 3 3 4" xfId="6921" xr:uid="{2086AC4C-5C42-4283-B61D-FE4E549F7C48}"/>
    <cellStyle name="Comma 3 4 3 3 5" xfId="4464" xr:uid="{117143C6-B812-40E6-85E8-1CF4BCE7F9F4}"/>
    <cellStyle name="Comma 3 4 3 4" xfId="4188" xr:uid="{F87622C6-CACB-4E6E-814B-E6F944A60F6C}"/>
    <cellStyle name="Comma 3 4 3 4 2" xfId="8167" xr:uid="{171FD1FC-99A7-4A9F-BF47-38D89F78F2C6}"/>
    <cellStyle name="Comma 3 4 3 4 3" xfId="6608" xr:uid="{2D427238-6E59-45B5-9F39-C4944F29C864}"/>
    <cellStyle name="Comma 3 4 3 5" xfId="7417" xr:uid="{394E0D5B-0894-438C-BE03-A91E6C0DC8E2}"/>
    <cellStyle name="Comma 3 4 3 6" xfId="4927" xr:uid="{1E301D7A-61F6-4188-80C8-2AADEBE90F9F}"/>
    <cellStyle name="Comma 3 4 3 7" xfId="3979" xr:uid="{BA018683-E24F-4FEE-9600-0534D968220B}"/>
    <cellStyle name="Comma 3 4 4" xfId="3418" xr:uid="{00000000-0005-0000-0000-0000AB060000}"/>
    <cellStyle name="Comma 3 4 4 2" xfId="3737" xr:uid="{61EC7E73-D11C-4F49-9BA4-E73DC11F4EB3}"/>
    <cellStyle name="Comma 3 4 4 2 2" xfId="4589" xr:uid="{65B14A14-775D-431A-B243-05BC7ADF63B3}"/>
    <cellStyle name="Comma 3 4 4 2 2 2" xfId="8652" xr:uid="{636970E7-26F1-4DBA-A4D0-E6BFD69BE7AF}"/>
    <cellStyle name="Comma 3 4 4 2 2 3" xfId="7139" xr:uid="{95279133-6753-45B8-967F-39CCD9A1E1D4}"/>
    <cellStyle name="Comma 3 4 4 2 3" xfId="7902" xr:uid="{42A3193E-5817-4D14-9D8B-71B9830D9B94}"/>
    <cellStyle name="Comma 3 4 4 2 4" xfId="6082" xr:uid="{1A56D3E1-8A81-4E76-A00D-EAEF241F610A}"/>
    <cellStyle name="Comma 3 4 4 2 5" xfId="4109" xr:uid="{6BDB8FF3-1B32-4571-8E72-0CAD766328E2}"/>
    <cellStyle name="Comma 3 4 4 3" xfId="4313" xr:uid="{23914512-675F-4B04-9E40-5AFD8AC966BF}"/>
    <cellStyle name="Comma 3 4 4 3 2" xfId="8489" xr:uid="{39F5FA1B-4377-4D09-BE4F-E9D52D91E0E8}"/>
    <cellStyle name="Comma 3 4 4 3 3" xfId="7739" xr:uid="{CF5FE6FE-166C-4C5A-8253-2282F65EC6A4}"/>
    <cellStyle name="Comma 3 4 4 3 4" xfId="6970" xr:uid="{546B5E17-A4C0-4122-A749-81237D8882A9}"/>
    <cellStyle name="Comma 3 4 4 4" xfId="6734" xr:uid="{CE88ABE9-E4E4-4E3C-840A-18C41466991B}"/>
    <cellStyle name="Comma 3 4 4 4 2" xfId="8292" xr:uid="{03A18DAD-3E1C-4672-B2A1-5EF7CE23C1E9}"/>
    <cellStyle name="Comma 3 4 4 5" xfId="7542" xr:uid="{DCA4AE4D-5DB1-4580-BE21-0F87E6462130}"/>
    <cellStyle name="Comma 3 4 4 6" xfId="4976" xr:uid="{1E3063DB-2FFA-41D7-BD53-1BA8A40F517F}"/>
    <cellStyle name="Comma 3 4 4 7" xfId="4000" xr:uid="{91AC429B-B4A7-4BB0-A4AF-D6DB8CF23734}"/>
    <cellStyle name="Comma 3 4 5" xfId="2925" xr:uid="{00000000-0005-0000-0000-0000A6060000}"/>
    <cellStyle name="Comma 3 4 5 2" xfId="3641" xr:uid="{B09F40E0-483B-4271-A52B-1CF0B4CFFC35}"/>
    <cellStyle name="Comma 3 4 5 2 2" xfId="7155" xr:uid="{D86BAB0D-4AA9-45EA-AB61-F0B984FCA882}"/>
    <cellStyle name="Comma 3 4 5 2 2 2" xfId="8668" xr:uid="{50F599DB-0CEB-4FF2-BEE4-C85EEDD3BAF7}"/>
    <cellStyle name="Comma 3 4 5 2 3" xfId="7918" xr:uid="{112F00E4-BC02-4E56-9460-B422B680EC4D}"/>
    <cellStyle name="Comma 3 4 5 2 4" xfId="6335" xr:uid="{E7828954-E6BF-4C2E-9D41-A146DB20459A}"/>
    <cellStyle name="Comma 3 4 5 2 5" xfId="4509" xr:uid="{5D697C31-6116-463C-A65E-A239D58CB1E8}"/>
    <cellStyle name="Comma 3 4 5 3" xfId="4233" xr:uid="{E1D15EBA-EE61-443A-9660-CECF9443A985}"/>
    <cellStyle name="Comma 3 4 5 3 2" xfId="8540" xr:uid="{885C3E03-0875-4B4F-899E-27AAC17FC650}"/>
    <cellStyle name="Comma 3 4 5 3 3" xfId="7790" xr:uid="{F4EABB45-A39E-46DA-860D-9DC2755BBBB9}"/>
    <cellStyle name="Comma 3 4 5 3 4" xfId="7021" xr:uid="{6BFB4F3B-0FC6-4859-AD4F-788B55ED2CD8}"/>
    <cellStyle name="Comma 3 4 5 4" xfId="6653" xr:uid="{323F5C06-C874-4A3E-BDE7-DB2500CFC7F7}"/>
    <cellStyle name="Comma 3 4 5 4 2" xfId="8212" xr:uid="{B1A3C113-0436-4210-AA97-FA7EB3BDE0BC}"/>
    <cellStyle name="Comma 3 4 5 5" xfId="7462" xr:uid="{66364029-FFA7-472F-8B02-5392A68C115F}"/>
    <cellStyle name="Comma 3 4 5 6" xfId="5028" xr:uid="{7397098F-8EAE-4410-95DB-3B5411C3F108}"/>
    <cellStyle name="Comma 3 4 5 7" xfId="4030" xr:uid="{0C7D3BC9-7D8F-4828-A0C6-F5710F767EE3}"/>
    <cellStyle name="Comma 3 4 6" xfId="3496" xr:uid="{7E04A4C8-25B1-4878-8140-1D8963887788}"/>
    <cellStyle name="Comma 3 4 6 2" xfId="3790" xr:uid="{332693E9-B1D5-4D4F-83BC-95491863AA02}"/>
    <cellStyle name="Comma 3 4 6 2 2" xfId="8589" xr:uid="{C90339D8-834E-4071-9912-535F00C629FB}"/>
    <cellStyle name="Comma 3 4 6 2 3" xfId="7071" xr:uid="{08723EC9-34DA-4261-8746-6384DD1BE32D}"/>
    <cellStyle name="Comma 3 4 6 2 4" xfId="4642" xr:uid="{824E6863-963B-4D2F-B205-093AF58CACEF}"/>
    <cellStyle name="Comma 3 4 6 3" xfId="7839" xr:uid="{BCBBEBE3-264B-4E7C-A6BA-5DD71828F4DA}"/>
    <cellStyle name="Comma 3 4 6 4" xfId="5331" xr:uid="{16F61A46-EB16-4E8E-A4A7-B9ED458F0E6F}"/>
    <cellStyle name="Comma 3 4 6 5" xfId="4366" xr:uid="{58967DCB-79E0-4D23-8AA3-D52A885C48D4}"/>
    <cellStyle name="Comma 3 4 7" xfId="3551" xr:uid="{EB562B2C-0D3B-44D1-8C68-A3407713C2B0}"/>
    <cellStyle name="Comma 3 4 7 2" xfId="7176" xr:uid="{E3990B52-CE5F-46FB-9A71-4E9736C3CA32}"/>
    <cellStyle name="Comma 3 4 7 2 2" xfId="8689" xr:uid="{2870163B-69DE-47E3-8EEA-0E4D29806FD9}"/>
    <cellStyle name="Comma 3 4 7 3" xfId="7939" xr:uid="{0D93E198-ACD0-4498-8C4E-710D20BD8844}"/>
    <cellStyle name="Comma 3 4 7 4" xfId="6374" xr:uid="{62BA5B07-914F-46B0-9732-67B784E786BA}"/>
    <cellStyle name="Comma 3 4 7 5" xfId="4419" xr:uid="{68352DAB-BEDC-46AB-8C9E-8674D01A5EB5}"/>
    <cellStyle name="Comma 3 4 8" xfId="3837" xr:uid="{0E154A22-FFED-4EB3-AEDC-5928320CEC08}"/>
    <cellStyle name="Comma 3 4 8 2" xfId="7222" xr:uid="{1B70C06C-E7BA-4B8C-A5B7-1F913E293E82}"/>
    <cellStyle name="Comma 3 4 8 2 2" xfId="8734" xr:uid="{1A45832F-50B4-477E-B049-11C233DA929D}"/>
    <cellStyle name="Comma 3 4 8 3" xfId="7984" xr:uid="{B79FD1C1-E45C-4781-9495-8BF6C67A0CBE}"/>
    <cellStyle name="Comma 3 4 8 4" xfId="6421" xr:uid="{4DFC3CAE-08AB-47D5-8C85-3F87782CD090}"/>
    <cellStyle name="Comma 3 4 8 5" xfId="4689" xr:uid="{21759175-76F4-4874-B0BE-B22E849CC5CB}"/>
    <cellStyle name="Comma 3 4 9" xfId="4142" xr:uid="{21340152-CDF0-4EB0-A8BC-5549CCA5C6A1}"/>
    <cellStyle name="Comma 3 4 9 2" xfId="7263" xr:uid="{72D28812-111C-4BC3-B7C1-C0324FC1BF21}"/>
    <cellStyle name="Comma 3 4 9 2 2" xfId="8775" xr:uid="{1F45D362-D09C-4755-BBB5-CEAF072146A3}"/>
    <cellStyle name="Comma 3 4 9 3" xfId="8025" xr:uid="{55166990-4B43-4553-9195-E7127129A50C}"/>
    <cellStyle name="Comma 3 4 9 4" xfId="6462" xr:uid="{3B16C9CC-0BEB-4EF9-8A99-B44EB9F98CF2}"/>
    <cellStyle name="Comma 3 5" xfId="2531" xr:uid="{00000000-0005-0000-0000-000067060000}"/>
    <cellStyle name="Comma 3 5 10" xfId="5420" xr:uid="{3D7122AC-3CE2-4A96-98DA-7B5151A92753}"/>
    <cellStyle name="Comma 3 5 11" xfId="6517" xr:uid="{CEADA20A-05ED-4F19-847A-7FE33BF50B29}"/>
    <cellStyle name="Comma 3 5 11 2" xfId="7311" xr:uid="{F01F7F10-3568-4240-93F9-93AA6C4F3AD5}"/>
    <cellStyle name="Comma 3 5 11 2 2" xfId="8823" xr:uid="{B667562F-677F-4681-ACB7-E72E2616209B}"/>
    <cellStyle name="Comma 3 5 11 3" xfId="8073" xr:uid="{1DF4B38D-C73A-4497-98B7-8F6F70B89673}"/>
    <cellStyle name="Comma 3 5 12" xfId="6874" xr:uid="{56B48D4B-064A-4F76-818A-D4BC9FBB48BC}"/>
    <cellStyle name="Comma 3 5 12 2" xfId="8398" xr:uid="{34D6A128-7F9B-4000-A108-CB7EEF6C5814}"/>
    <cellStyle name="Comma 3 5 12 3" xfId="7648" xr:uid="{80873AEB-0646-49D2-8403-A324E791CAC1}"/>
    <cellStyle name="Comma 3 5 13" xfId="6815" xr:uid="{1CF503D4-AD99-48A7-8E55-72174A43ECAF}"/>
    <cellStyle name="Comma 3 5 13 2" xfId="8355" xr:uid="{E83471B0-B062-48F1-92C1-7F9D96F44A90}"/>
    <cellStyle name="Comma 3 5 13 3" xfId="7605" xr:uid="{A273B42E-B4E7-4249-AC47-F773FEBA38CE}"/>
    <cellStyle name="Comma 3 5 14" xfId="6567" xr:uid="{6D845B5C-8747-417E-8ED1-3E4136140EFE}"/>
    <cellStyle name="Comma 3 5 14 2" xfId="8126" xr:uid="{338AC081-3B28-42A4-A36F-C32F60D37FE2}"/>
    <cellStyle name="Comma 3 5 15" xfId="7376" xr:uid="{0E7DC2A1-73CE-41E7-8C1D-CE245958D9A3}"/>
    <cellStyle name="Comma 3 5 16" xfId="4772" xr:uid="{97C57531-6704-4230-9CD0-162062E8B25E}"/>
    <cellStyle name="Comma 3 5 17" xfId="3878" xr:uid="{E57BD3FE-79F5-4867-8EEC-CCED46AB7720}"/>
    <cellStyle name="Comma 3 5 2" xfId="2854" xr:uid="{00000000-0005-0000-0000-000068060000}"/>
    <cellStyle name="Comma 3 5 2 10" xfId="7393" xr:uid="{36A8309A-312F-4518-8186-2BE37FEB02DE}"/>
    <cellStyle name="Comma 3 5 2 11" xfId="4905" xr:uid="{D77158FF-F2D7-45BB-AE4F-C0590DC27F59}"/>
    <cellStyle name="Comma 3 5 2 12" xfId="3959" xr:uid="{7B708B36-4116-4966-B8B7-0CCAF6F61E28}"/>
    <cellStyle name="Comma 3 5 2 2" xfId="2901" xr:uid="{00000000-0005-0000-0000-000068060000}"/>
    <cellStyle name="Comma 3 5 2 2 2" xfId="3002" xr:uid="{00000000-0005-0000-0000-0000AE060000}"/>
    <cellStyle name="Comma 3 5 2 2 2 2" xfId="3718" xr:uid="{C9919E5A-38C3-4762-9282-110D64DD84D1}"/>
    <cellStyle name="Comma 3 5 2 2 2 2 2" xfId="8705" xr:uid="{4B9ACD5B-7504-4C36-A810-4D54373AA0EE}"/>
    <cellStyle name="Comma 3 5 2 2 2 2 3" xfId="7955" xr:uid="{6FE4C878-1740-4DF9-8685-06889B04667A}"/>
    <cellStyle name="Comma 3 5 2 2 2 2 4" xfId="7193" xr:uid="{0DC7C23D-471A-4FFE-B897-DF758444569C}"/>
    <cellStyle name="Comma 3 5 2 2 2 2 5" xfId="4570" xr:uid="{8C57BD05-A56E-425D-ADE2-E50CB6A94DA5}"/>
    <cellStyle name="Comma 3 5 2 2 2 3" xfId="6714" xr:uid="{4EE44FF0-76B0-435D-9DE9-DF22144030C8}"/>
    <cellStyle name="Comma 3 5 2 2 2 3 2" xfId="8273" xr:uid="{719B55C3-C4B2-4AD1-A9F0-5C7DD2F643D2}"/>
    <cellStyle name="Comma 3 5 2 2 2 4" xfId="7523" xr:uid="{BB0D91AE-D251-4425-BC8A-8E8A1866949C}"/>
    <cellStyle name="Comma 3 5 2 2 2 5" xfId="6391" xr:uid="{AEFC542F-43B7-4C6E-A6D1-BA95C020DBC2}"/>
    <cellStyle name="Comma 3 5 2 2 2 6" xfId="4294" xr:uid="{005C42CC-3545-4B6E-8713-2B3C80A33AD3}"/>
    <cellStyle name="Comma 3 5 2 2 3" xfId="3617" xr:uid="{8B597893-C83C-4100-B61E-D20E8E516255}"/>
    <cellStyle name="Comma 3 5 2 2 3 2" xfId="8467" xr:uid="{8793DE90-D177-4522-9921-ACEB46AB1980}"/>
    <cellStyle name="Comma 3 5 2 2 3 3" xfId="7717" xr:uid="{57AB10E4-757F-4E1F-B97A-9946E008F0EC}"/>
    <cellStyle name="Comma 3 5 2 2 3 4" xfId="6948" xr:uid="{38F7EF84-C278-4436-A790-26A00823DA1A}"/>
    <cellStyle name="Comma 3 5 2 2 3 5" xfId="4485" xr:uid="{349E3E1C-4600-4073-9510-90E2AD1B3459}"/>
    <cellStyle name="Comma 3 5 2 2 4" xfId="4209" xr:uid="{B5DBD308-7B14-4F94-A3D9-83333CCBB3D0}"/>
    <cellStyle name="Comma 3 5 2 2 4 2" xfId="8188" xr:uid="{AB937A5A-C75A-4CBD-B71F-B6C1E266DB25}"/>
    <cellStyle name="Comma 3 5 2 2 4 3" xfId="6629" xr:uid="{67639D37-C739-45BF-86CD-2EE0246EE37E}"/>
    <cellStyle name="Comma 3 5 2 2 5" xfId="7438" xr:uid="{53E09232-BE6E-4C51-8362-8EBDCC2FF539}"/>
    <cellStyle name="Comma 3 5 2 2 6" xfId="4954" xr:uid="{B87CE8EB-48C7-4285-BE6B-A0D167439C6B}"/>
    <cellStyle name="Comma 3 5 2 2 7" xfId="4071" xr:uid="{8590E316-F5F9-4ADC-8EF4-4084A171709A}"/>
    <cellStyle name="Comma 3 5 2 3" xfId="3446" xr:uid="{00000000-0005-0000-0000-0000AF060000}"/>
    <cellStyle name="Comma 3 5 2 3 2" xfId="3758" xr:uid="{6413D2C9-CF48-4F17-BE4A-0F7F4B361334}"/>
    <cellStyle name="Comma 3 5 2 3 2 2" xfId="7242" xr:uid="{43B016D2-76DC-40B1-A1CE-B0D2E77193AB}"/>
    <cellStyle name="Comma 3 5 2 3 2 2 2" xfId="8754" xr:uid="{D525DFA9-A767-47EC-8AAA-78301CFA9442}"/>
    <cellStyle name="Comma 3 5 2 3 2 3" xfId="8004" xr:uid="{F284A72C-F490-43A1-94C1-2ABE7D467AC6}"/>
    <cellStyle name="Comma 3 5 2 3 2 4" xfId="6441" xr:uid="{382226D5-2AFF-4E8A-BEEA-96ED3E463E75}"/>
    <cellStyle name="Comma 3 5 2 3 2 5" xfId="4610" xr:uid="{E1F4C41D-64AA-4A3E-806F-E7DD8C9C81C3}"/>
    <cellStyle name="Comma 3 5 2 3 3" xfId="6997" xr:uid="{F1147804-3E5C-44C8-93F4-937D36E1C8DD}"/>
    <cellStyle name="Comma 3 5 2 3 3 2" xfId="8516" xr:uid="{B4FFD7C7-7B7C-4239-A865-2D70393635F1}"/>
    <cellStyle name="Comma 3 5 2 3 3 3" xfId="7766" xr:uid="{C3AF0CDF-E378-48BA-8DED-2EE3718B4BF6}"/>
    <cellStyle name="Comma 3 5 2 3 4" xfId="6755" xr:uid="{DCBE8022-4CA9-451B-B166-4D1E6B0CC43A}"/>
    <cellStyle name="Comma 3 5 2 3 4 2" xfId="8313" xr:uid="{3138E25E-9F8F-465D-B48A-AA9D6CF93FF8}"/>
    <cellStyle name="Comma 3 5 2 3 5" xfId="7563" xr:uid="{1F1501A4-31FA-442B-AF09-C4DF09A58E0C}"/>
    <cellStyle name="Comma 3 5 2 3 6" xfId="5003" xr:uid="{20C5A5A5-FC1A-4B82-96D8-A2B901902418}"/>
    <cellStyle name="Comma 3 5 2 3 7" xfId="4334" xr:uid="{D1B0ACEB-CBD8-4A9A-8EB6-575DA6132FD3}"/>
    <cellStyle name="Comma 3 5 2 4" xfId="2946" xr:uid="{00000000-0005-0000-0000-0000AD060000}"/>
    <cellStyle name="Comma 3 5 2 4 2" xfId="3662" xr:uid="{9F862A64-3874-4875-8C57-BFD9B3D14DE2}"/>
    <cellStyle name="Comma 3 5 2 4 2 2" xfId="7282" xr:uid="{3AB6903B-40EA-4AF2-9873-1CBEE2C9C8D6}"/>
    <cellStyle name="Comma 3 5 2 4 2 2 2" xfId="8794" xr:uid="{EBF1642D-0ACB-4C5B-BA25-BF5688E0F353}"/>
    <cellStyle name="Comma 3 5 2 4 2 3" xfId="8044" xr:uid="{539A223D-DEFD-4DDC-B7C5-A3D3B8D55AD3}"/>
    <cellStyle name="Comma 3 5 2 4 2 4" xfId="6481" xr:uid="{96EA1890-67C0-442D-9E82-FB1C069ACB64}"/>
    <cellStyle name="Comma 3 5 2 4 2 5" xfId="4530" xr:uid="{0C2D69B2-F9F6-4CCC-82ED-180B46C78078}"/>
    <cellStyle name="Comma 3 5 2 4 3" xfId="7042" xr:uid="{19DAAB3F-043B-46A5-9DD4-C671AAFC6B36}"/>
    <cellStyle name="Comma 3 5 2 4 3 2" xfId="8561" xr:uid="{52BCA6E8-703A-4862-8D6E-5A995A10FC7D}"/>
    <cellStyle name="Comma 3 5 2 4 3 3" xfId="7811" xr:uid="{8C39B18A-F811-43EE-A80A-E09871FDF944}"/>
    <cellStyle name="Comma 3 5 2 4 4" xfId="6674" xr:uid="{637BA8BD-F1CE-4049-AE7F-0C8F0C612D73}"/>
    <cellStyle name="Comma 3 5 2 4 4 2" xfId="8233" xr:uid="{4B0F07C5-B025-4447-A36B-A99EBD8A8ED5}"/>
    <cellStyle name="Comma 3 5 2 4 5" xfId="7483" xr:uid="{F38AB49C-C4B6-4EDD-BFA0-5509B06FC4F1}"/>
    <cellStyle name="Comma 3 5 2 4 6" xfId="5049" xr:uid="{BA6A242E-89F0-44A9-B764-52CE75936D9B}"/>
    <cellStyle name="Comma 3 5 2 4 7" xfId="4254" xr:uid="{3752EADB-19CB-4EB3-B34C-69ABAD35434F}"/>
    <cellStyle name="Comma 3 5 2 5" xfId="3517" xr:uid="{F8CA09AC-7D78-4080-9CD4-127144C139C9}"/>
    <cellStyle name="Comma 3 5 2 5 2" xfId="3811" xr:uid="{4EAB7A1F-5048-4CD5-AA9E-399C6A709AC5}"/>
    <cellStyle name="Comma 3 5 2 5 2 2" xfId="8618" xr:uid="{74DD4B10-A414-4EDE-93D3-A32BB485CE39}"/>
    <cellStyle name="Comma 3 5 2 5 2 3" xfId="7102" xr:uid="{95243802-A87F-49AB-9285-A166F038E6A3}"/>
    <cellStyle name="Comma 3 5 2 5 2 4" xfId="4663" xr:uid="{C6BFCACD-C8A8-4221-8163-1D265C0DA996}"/>
    <cellStyle name="Comma 3 5 2 5 3" xfId="7868" xr:uid="{13DFCC59-847C-422F-89AC-CAE41C510610}"/>
    <cellStyle name="Comma 3 5 2 5 4" xfId="5655" xr:uid="{E9929BFB-354E-4CB9-A808-08C6DC778AB0}"/>
    <cellStyle name="Comma 3 5 2 5 5" xfId="4387" xr:uid="{CDAC37C9-B594-4CD7-8A98-70808B51D79E}"/>
    <cellStyle name="Comma 3 5 2 6" xfId="3572" xr:uid="{D5C99F62-B74C-470B-B16B-FD1D344B1A08}"/>
    <cellStyle name="Comma 3 5 2 6 2" xfId="7328" xr:uid="{FF6E67B9-5DC5-4B3F-A22B-5FA109117016}"/>
    <cellStyle name="Comma 3 5 2 6 2 2" xfId="8840" xr:uid="{4736899D-838A-4134-9A17-A04109A7C2F8}"/>
    <cellStyle name="Comma 3 5 2 6 3" xfId="8090" xr:uid="{23E270BC-A2F0-45B4-90E4-61B2730D2B3B}"/>
    <cellStyle name="Comma 3 5 2 6 4" xfId="6534" xr:uid="{F1612518-9E40-4389-9547-1B89F50CF680}"/>
    <cellStyle name="Comma 3 5 2 6 5" xfId="4440" xr:uid="{13423E5C-AA02-4011-A37D-62DA46B39576}"/>
    <cellStyle name="Comma 3 5 2 7" xfId="3858" xr:uid="{9383DC32-65A3-411B-8232-B8A3A6B85C7F}"/>
    <cellStyle name="Comma 3 5 2 7 2" xfId="8421" xr:uid="{35639CD0-69C6-4B4D-914B-E0CFA607C932}"/>
    <cellStyle name="Comma 3 5 2 7 3" xfId="7671" xr:uid="{7FEFA00E-F68B-47A0-B472-55C03500DBEC}"/>
    <cellStyle name="Comma 3 5 2 7 4" xfId="6902" xr:uid="{81C4AC83-944D-46D6-BA6E-EE0A8FE84B67}"/>
    <cellStyle name="Comma 3 5 2 7 5" xfId="4710" xr:uid="{28670EF2-44B8-4422-8187-E3343090BABC}"/>
    <cellStyle name="Comma 3 5 2 8" xfId="4164" xr:uid="{3A7DF129-E378-4AA9-9CF2-FCBEC22361EA}"/>
    <cellStyle name="Comma 3 5 2 8 2" xfId="8372" xr:uid="{5721E659-0B68-47AA-B22A-9AC513A8C8CC}"/>
    <cellStyle name="Comma 3 5 2 8 3" xfId="7622" xr:uid="{79FC2D3C-35BD-42EB-AF46-55099FEA32EE}"/>
    <cellStyle name="Comma 3 5 2 8 4" xfId="6833" xr:uid="{31E7A339-D89D-4C93-97BE-EAF2F2BCCAB4}"/>
    <cellStyle name="Comma 3 5 2 9" xfId="6584" xr:uid="{547083B2-CAC6-41E6-90EB-C9FF5E480B5B}"/>
    <cellStyle name="Comma 3 5 2 9 2" xfId="8143" xr:uid="{75DA60FF-A0F0-4942-9BDB-6A5EF34C76C0}"/>
    <cellStyle name="Comma 3 5 3" xfId="2884" xr:uid="{00000000-0005-0000-0000-000067060000}"/>
    <cellStyle name="Comma 3 5 3 2" xfId="2985" xr:uid="{00000000-0005-0000-0000-0000B0060000}"/>
    <cellStyle name="Comma 3 5 3 2 2" xfId="3701" xr:uid="{55DB82A0-16CC-4D50-A522-D6FD1603DE8E}"/>
    <cellStyle name="Comma 3 5 3 2 2 2" xfId="8638" xr:uid="{508BF6D0-A28F-4CE0-9737-768D0C786368}"/>
    <cellStyle name="Comma 3 5 3 2 2 3" xfId="7888" xr:uid="{DF062E54-69DC-4450-929F-0A81B1BD8E27}"/>
    <cellStyle name="Comma 3 5 3 2 2 4" xfId="7123" xr:uid="{8367B0A3-1BF9-4599-9250-2C2751786F50}"/>
    <cellStyle name="Comma 3 5 3 2 2 5" xfId="4553" xr:uid="{93F00743-A6AE-4CC2-86CE-9D3704C1A3A2}"/>
    <cellStyle name="Comma 3 5 3 2 3" xfId="4277" xr:uid="{3E888DC0-8B29-41FE-BBDB-A8CF6CDE98E1}"/>
    <cellStyle name="Comma 3 5 3 2 3 2" xfId="8256" xr:uid="{3F78610A-C87E-41BE-8F22-157AF81182E6}"/>
    <cellStyle name="Comma 3 5 3 2 3 3" xfId="6697" xr:uid="{84D5DDEB-5899-486F-905B-6C6537F9BB45}"/>
    <cellStyle name="Comma 3 5 3 2 4" xfId="7506" xr:uid="{E39817ED-33D7-437D-B955-904691335C5A}"/>
    <cellStyle name="Comma 3 5 3 2 5" xfId="5708" xr:uid="{C89D078E-7FBD-4105-A02E-26BB64B8D8EC}"/>
    <cellStyle name="Comma 3 5 3 2 6" xfId="4099" xr:uid="{3EE7C0D8-C52C-40A7-88C3-6B69AF878F9E}"/>
    <cellStyle name="Comma 3 5 3 3" xfId="3600" xr:uid="{BEF99F79-5E05-427A-A301-B3D19057521A}"/>
    <cellStyle name="Comma 3 5 3 3 2" xfId="8444" xr:uid="{06459923-0AFA-4982-9191-B9AB4E2F5862}"/>
    <cellStyle name="Comma 3 5 3 3 3" xfId="7694" xr:uid="{74C5D2A1-D751-4976-87D7-F79E6AC139C4}"/>
    <cellStyle name="Comma 3 5 3 3 4" xfId="6925" xr:uid="{CF297348-F214-45EB-AFB7-2256F5F32BD9}"/>
    <cellStyle name="Comma 3 5 3 3 5" xfId="4468" xr:uid="{639DBF8A-5BC0-43BD-AE1D-088A78DA5B39}"/>
    <cellStyle name="Comma 3 5 3 4" xfId="4192" xr:uid="{7CA32391-5C25-49F6-AE33-51C9331ED5DB}"/>
    <cellStyle name="Comma 3 5 3 4 2" xfId="8171" xr:uid="{6675605F-D243-480D-928A-D8BCEE37A956}"/>
    <cellStyle name="Comma 3 5 3 4 3" xfId="6612" xr:uid="{5513B8CA-6C60-4975-9574-A79DC6859521}"/>
    <cellStyle name="Comma 3 5 3 5" xfId="7421" xr:uid="{2743CC49-C662-44FC-A3CC-93B8E8247977}"/>
    <cellStyle name="Comma 3 5 3 6" xfId="4931" xr:uid="{094AA284-AE42-49B4-895E-D6C29932720F}"/>
    <cellStyle name="Comma 3 5 3 7" xfId="3983" xr:uid="{1432332F-C7AF-4DEA-9584-0C71C79EAB44}"/>
    <cellStyle name="Comma 3 5 4" xfId="3428" xr:uid="{00000000-0005-0000-0000-0000B1060000}"/>
    <cellStyle name="Comma 3 5 4 2" xfId="3741" xr:uid="{0E2C1485-2E5C-4787-8E4E-EB5D3B099387}"/>
    <cellStyle name="Comma 3 5 4 2 2" xfId="4593" xr:uid="{5400AEA4-9F0E-43B8-9112-4168A5009169}"/>
    <cellStyle name="Comma 3 5 4 2 2 2" xfId="8656" xr:uid="{3DC94116-7FCB-48C1-8973-E79B941DAF46}"/>
    <cellStyle name="Comma 3 5 4 2 2 3" xfId="7143" xr:uid="{9DC38801-6CB2-40DF-9657-85FF7F0CC063}"/>
    <cellStyle name="Comma 3 5 4 2 3" xfId="7906" xr:uid="{EEE257A4-C151-4F9C-AEE4-C23439F414B7}"/>
    <cellStyle name="Comma 3 5 4 2 4" xfId="6285" xr:uid="{79A56C1C-0D70-4EF2-AB3D-71F128FE5D29}"/>
    <cellStyle name="Comma 3 5 4 2 5" xfId="4113" xr:uid="{ABC3F668-761A-40AE-AB27-FEB15AD6850D}"/>
    <cellStyle name="Comma 3 5 4 3" xfId="4317" xr:uid="{5A330741-B520-488A-8B33-5C9118AC5738}"/>
    <cellStyle name="Comma 3 5 4 3 2" xfId="8493" xr:uid="{C4D7C1AB-7BC8-4683-A718-365C0DB9B1ED}"/>
    <cellStyle name="Comma 3 5 4 3 3" xfId="7743" xr:uid="{71DEB15E-ED60-4D9E-A16E-5184F5FF7182}"/>
    <cellStyle name="Comma 3 5 4 3 4" xfId="6974" xr:uid="{66F23637-0808-4A1B-AD91-59C621A5E438}"/>
    <cellStyle name="Comma 3 5 4 4" xfId="6738" xr:uid="{40B641C3-AB16-494D-A5E0-4E54AB968CCC}"/>
    <cellStyle name="Comma 3 5 4 4 2" xfId="8296" xr:uid="{FE25884A-7252-41E5-804A-3741C6395A53}"/>
    <cellStyle name="Comma 3 5 4 5" xfId="7546" xr:uid="{82F7F353-F9EE-4CEA-B4F8-4AAD1B71CAAA}"/>
    <cellStyle name="Comma 3 5 4 6" xfId="4980" xr:uid="{C7AF0F2C-2B88-42A0-8668-9851F96D9564}"/>
    <cellStyle name="Comma 3 5 4 7" xfId="4004" xr:uid="{C477F062-CB3D-4BC1-9741-C3EA432761AB}"/>
    <cellStyle name="Comma 3 5 5" xfId="2929" xr:uid="{00000000-0005-0000-0000-0000AC060000}"/>
    <cellStyle name="Comma 3 5 5 2" xfId="3645" xr:uid="{7E0F7DF6-F535-4F40-B51D-11178A243721}"/>
    <cellStyle name="Comma 3 5 5 2 2" xfId="7159" xr:uid="{0E427093-127C-48F2-9FA3-48D4B09E83BB}"/>
    <cellStyle name="Comma 3 5 5 2 2 2" xfId="8672" xr:uid="{E14598FC-D7D7-45C1-9BD9-71B5BBA63F57}"/>
    <cellStyle name="Comma 3 5 5 2 3" xfId="7922" xr:uid="{5DB58046-480E-427A-B334-84E1B95606BD}"/>
    <cellStyle name="Comma 3 5 5 2 4" xfId="6339" xr:uid="{5884FC56-1E0F-4B5E-9888-9D81A04829C6}"/>
    <cellStyle name="Comma 3 5 5 2 5" xfId="4513" xr:uid="{0F628256-E072-46D3-9DFC-1E5CE364FE26}"/>
    <cellStyle name="Comma 3 5 5 3" xfId="4237" xr:uid="{7C83CA4A-E2F0-47A9-A27D-BECD3FB2959C}"/>
    <cellStyle name="Comma 3 5 5 3 2" xfId="8544" xr:uid="{FA28E53A-E07D-473A-AFFB-B8A112F48331}"/>
    <cellStyle name="Comma 3 5 5 3 3" xfId="7794" xr:uid="{E55EB655-C3C6-4C9F-8FE8-6F850782E91B}"/>
    <cellStyle name="Comma 3 5 5 3 4" xfId="7025" xr:uid="{D6E85135-C283-41CA-B3AB-5AE80B9EFA8D}"/>
    <cellStyle name="Comma 3 5 5 4" xfId="6657" xr:uid="{41B41CFC-8C71-457D-95EC-6AA76C5BF45A}"/>
    <cellStyle name="Comma 3 5 5 4 2" xfId="8216" xr:uid="{A5674FB7-0E6D-46CD-B770-4877B4949365}"/>
    <cellStyle name="Comma 3 5 5 5" xfId="7466" xr:uid="{C5E7EE6F-8E5D-4403-8B1D-0305C3B8201F}"/>
    <cellStyle name="Comma 3 5 5 6" xfId="5032" xr:uid="{E65D29B4-B6A2-48C8-A6BA-84BDED933449}"/>
    <cellStyle name="Comma 3 5 5 7" xfId="4049" xr:uid="{F9591B85-B022-4867-954E-D2EE8F7C0062}"/>
    <cellStyle name="Comma 3 5 6" xfId="3500" xr:uid="{C21E1DF3-8392-464E-B058-840A1ACF7054}"/>
    <cellStyle name="Comma 3 5 6 2" xfId="3794" xr:uid="{D7561636-CC65-407E-B83D-EC9140A33AFF}"/>
    <cellStyle name="Comma 3 5 6 2 2" xfId="8600" xr:uid="{FF33E5A5-0302-4973-813C-F087B84053EC}"/>
    <cellStyle name="Comma 3 5 6 2 3" xfId="7083" xr:uid="{021A47AC-075F-42F7-B399-6B568EC16841}"/>
    <cellStyle name="Comma 3 5 6 2 4" xfId="4646" xr:uid="{CA64225F-78D9-4162-BBDD-FBE476E98255}"/>
    <cellStyle name="Comma 3 5 6 3" xfId="7850" xr:uid="{AC380EC0-7261-4AA2-84E5-680A54FDA18A}"/>
    <cellStyle name="Comma 3 5 6 4" xfId="5560" xr:uid="{E0A892F6-75FB-4608-96E8-1DB2B0BCB038}"/>
    <cellStyle name="Comma 3 5 6 5" xfId="4370" xr:uid="{20EDE7CF-DB37-47E8-84D7-8A1B48361DB8}"/>
    <cellStyle name="Comma 3 5 7" xfId="3555" xr:uid="{41747099-591B-4413-A28C-DD0563685B92}"/>
    <cellStyle name="Comma 3 5 7 2" xfId="7180" xr:uid="{5053768C-46D7-43C6-8300-AF3611894EE0}"/>
    <cellStyle name="Comma 3 5 7 2 2" xfId="8693" xr:uid="{35EE240C-6B83-484A-BF16-17120AEA84C2}"/>
    <cellStyle name="Comma 3 5 7 3" xfId="7943" xr:uid="{3E2DBA6A-B104-490D-9D6B-4E10FC9B23A4}"/>
    <cellStyle name="Comma 3 5 7 4" xfId="6378" xr:uid="{7C626D4F-1072-49D1-958E-03AEC73EB55F}"/>
    <cellStyle name="Comma 3 5 7 5" xfId="4423" xr:uid="{97CCD942-1052-47C5-9A45-4524F8765C47}"/>
    <cellStyle name="Comma 3 5 8" xfId="3841" xr:uid="{ED319DB8-A048-4481-891A-ED2BB280CD97}"/>
    <cellStyle name="Comma 3 5 8 2" xfId="7226" xr:uid="{063B3CE2-F0B9-42F1-8DFC-F9D520212282}"/>
    <cellStyle name="Comma 3 5 8 2 2" xfId="8738" xr:uid="{ED33B33A-8E44-44DE-B8AD-F63859C58293}"/>
    <cellStyle name="Comma 3 5 8 3" xfId="7988" xr:uid="{88CB304F-5284-4168-861B-EC7F7D21D6C2}"/>
    <cellStyle name="Comma 3 5 8 4" xfId="6425" xr:uid="{7EC5BAA1-F3EE-4981-8744-976BDB64258E}"/>
    <cellStyle name="Comma 3 5 8 5" xfId="4693" xr:uid="{148C152B-D804-4299-B360-D3A052734879}"/>
    <cellStyle name="Comma 3 5 9" xfId="4147" xr:uid="{D89F72C3-FB13-4D9F-95CF-8DE0668C0376}"/>
    <cellStyle name="Comma 3 5 9 2" xfId="7267" xr:uid="{1BCBAD04-B1E7-4D68-ADB9-0D9301F7CC37}"/>
    <cellStyle name="Comma 3 5 9 2 2" xfId="8779" xr:uid="{667E1887-108C-4C89-994C-57EFF6812E8E}"/>
    <cellStyle name="Comma 3 5 9 3" xfId="8029" xr:uid="{AE4A2CEF-7680-471E-870B-E53A851664C0}"/>
    <cellStyle name="Comma 3 5 9 4" xfId="6466" xr:uid="{E4DCC906-19F4-4CF6-B41A-8952B62BEEA8}"/>
    <cellStyle name="Comma 3 6" xfId="2540" xr:uid="{00000000-0005-0000-0000-000069060000}"/>
    <cellStyle name="Comma 3 6 10" xfId="5419" xr:uid="{81C79964-2D56-4232-B466-7403FF438DD7}"/>
    <cellStyle name="Comma 3 6 11" xfId="6521" xr:uid="{3E9197EB-E15D-4680-8069-CE8154341E9E}"/>
    <cellStyle name="Comma 3 6 11 2" xfId="7315" xr:uid="{D3304BDF-187B-49EC-891F-A9B0FE8C9E9C}"/>
    <cellStyle name="Comma 3 6 11 2 2" xfId="8827" xr:uid="{9A325455-8C87-4D23-852B-3FF4E78D8554}"/>
    <cellStyle name="Comma 3 6 11 3" xfId="8077" xr:uid="{4957B983-BE92-4274-AC9F-307B64D270B8}"/>
    <cellStyle name="Comma 3 6 12" xfId="6878" xr:uid="{7D3C9DF3-6CF8-4D5C-BB7F-2FD0DFB3D0BE}"/>
    <cellStyle name="Comma 3 6 12 2" xfId="8402" xr:uid="{96884066-7425-418E-B5AD-0FA22AC3CAD9}"/>
    <cellStyle name="Comma 3 6 12 3" xfId="7652" xr:uid="{9EF29720-D960-4066-AC7A-9AA49C12680D}"/>
    <cellStyle name="Comma 3 6 13" xfId="6819" xr:uid="{4F50D311-1870-431D-B5AA-A935B3EC3306}"/>
    <cellStyle name="Comma 3 6 13 2" xfId="8359" xr:uid="{7D381B28-F5A7-40B8-B81F-C20815C02288}"/>
    <cellStyle name="Comma 3 6 13 3" xfId="7609" xr:uid="{58F21F36-A8EA-49AD-8BE2-06E1EB61D97C}"/>
    <cellStyle name="Comma 3 6 14" xfId="6571" xr:uid="{80040E66-5555-4008-828A-767C9DF4DC8A}"/>
    <cellStyle name="Comma 3 6 14 2" xfId="8130" xr:uid="{7D7EDFAC-72C9-4F20-8C4C-EC7A4865029B}"/>
    <cellStyle name="Comma 3 6 15" xfId="7380" xr:uid="{5060BF1B-50AB-4DC4-A932-FD1AE9019BFA}"/>
    <cellStyle name="Comma 3 6 16" xfId="4776" xr:uid="{DFFDF792-200B-432E-A9AA-77A509704A47}"/>
    <cellStyle name="Comma 3 6 17" xfId="3881" xr:uid="{FBD1EB86-A7ED-47D9-B51A-22551E2F2D61}"/>
    <cellStyle name="Comma 3 6 2" xfId="2858" xr:uid="{00000000-0005-0000-0000-00006A060000}"/>
    <cellStyle name="Comma 3 6 2 10" xfId="7397" xr:uid="{0C882EBB-8227-473C-9D2E-F4CD98C6AFD1}"/>
    <cellStyle name="Comma 3 6 2 11" xfId="4912" xr:uid="{00221B75-4206-4AB8-A4CF-4BABD7A9E141}"/>
    <cellStyle name="Comma 3 6 2 12" xfId="3965" xr:uid="{232646D1-0C76-4C6A-82BC-B8BEF860CCA5}"/>
    <cellStyle name="Comma 3 6 2 2" xfId="2905" xr:uid="{00000000-0005-0000-0000-00006A060000}"/>
    <cellStyle name="Comma 3 6 2 2 2" xfId="3006" xr:uid="{00000000-0005-0000-0000-0000B4060000}"/>
    <cellStyle name="Comma 3 6 2 2 2 2" xfId="3722" xr:uid="{2ACC948F-A4D2-4C35-975A-5C528FAD4410}"/>
    <cellStyle name="Comma 3 6 2 2 2 2 2" xfId="8709" xr:uid="{BEFAE489-4EBD-4016-93D9-59C5E1516BC5}"/>
    <cellStyle name="Comma 3 6 2 2 2 2 3" xfId="7959" xr:uid="{13857D6E-BDD7-4BEB-BAAC-5C120F3B0A56}"/>
    <cellStyle name="Comma 3 6 2 2 2 2 4" xfId="7197" xr:uid="{A44B98AD-1FA9-405A-96AA-E540BA6B772C}"/>
    <cellStyle name="Comma 3 6 2 2 2 2 5" xfId="4574" xr:uid="{D632B330-FB73-4462-A4AE-A3EAF8924CE3}"/>
    <cellStyle name="Comma 3 6 2 2 2 3" xfId="6718" xr:uid="{55DA96CE-E97B-4D4A-935E-37E0558115CF}"/>
    <cellStyle name="Comma 3 6 2 2 2 3 2" xfId="8277" xr:uid="{6BA0086E-E3A9-4D1A-A3FC-9A3E899A1ED4}"/>
    <cellStyle name="Comma 3 6 2 2 2 4" xfId="7527" xr:uid="{9BA78367-BF86-464B-B402-F5E035B4E9DA}"/>
    <cellStyle name="Comma 3 6 2 2 2 5" xfId="6395" xr:uid="{1AFDB6C7-3196-4000-9752-70F591E6CA28}"/>
    <cellStyle name="Comma 3 6 2 2 2 6" xfId="4298" xr:uid="{E1D1816B-00F3-4017-94AD-19DCE320354F}"/>
    <cellStyle name="Comma 3 6 2 2 3" xfId="3621" xr:uid="{E26EA223-C3BF-46D4-8015-1DBBFDEC9015}"/>
    <cellStyle name="Comma 3 6 2 2 3 2" xfId="8471" xr:uid="{7BD5C186-84E2-42C4-A514-E6F6FD0A7B75}"/>
    <cellStyle name="Comma 3 6 2 2 3 3" xfId="7721" xr:uid="{7C700ECA-028E-4E42-9642-B46FD046F0CA}"/>
    <cellStyle name="Comma 3 6 2 2 3 4" xfId="6952" xr:uid="{6C7D12D5-55C7-48DB-B982-2146A9DA378E}"/>
    <cellStyle name="Comma 3 6 2 2 3 5" xfId="4489" xr:uid="{49DD9E6D-8978-4067-A02E-C38168A75E72}"/>
    <cellStyle name="Comma 3 6 2 2 4" xfId="4213" xr:uid="{B0FC1CD8-53BE-45EB-B79F-0D0B2978B822}"/>
    <cellStyle name="Comma 3 6 2 2 4 2" xfId="8192" xr:uid="{AFE6D601-023C-4870-A70F-A72959EBDE8F}"/>
    <cellStyle name="Comma 3 6 2 2 4 3" xfId="6633" xr:uid="{B30FD974-3BCF-4797-81D7-114E9A30D263}"/>
    <cellStyle name="Comma 3 6 2 2 5" xfId="7442" xr:uid="{3AB7F0D4-D9AE-42FE-841A-546A64289948}"/>
    <cellStyle name="Comma 3 6 2 2 6" xfId="4958" xr:uid="{9770E370-27D5-4A08-9138-70D7164E7DCE}"/>
    <cellStyle name="Comma 3 6 2 2 7" xfId="4075" xr:uid="{FC3CA9C0-BCE0-4F5E-A8CC-2263606D8E9B}"/>
    <cellStyle name="Comma 3 6 2 3" xfId="3450" xr:uid="{00000000-0005-0000-0000-0000B5060000}"/>
    <cellStyle name="Comma 3 6 2 3 2" xfId="3762" xr:uid="{85983191-2D65-4485-B31E-A22B50575252}"/>
    <cellStyle name="Comma 3 6 2 3 2 2" xfId="7246" xr:uid="{E409305D-27C1-4F49-B07D-9B2F0D945C7F}"/>
    <cellStyle name="Comma 3 6 2 3 2 2 2" xfId="8758" xr:uid="{CA66F0DA-580E-47DE-99ED-C0B71254E333}"/>
    <cellStyle name="Comma 3 6 2 3 2 3" xfId="8008" xr:uid="{EF72DDD8-B928-4998-A4E2-F2B01E8B4C8C}"/>
    <cellStyle name="Comma 3 6 2 3 2 4" xfId="6445" xr:uid="{E0F9E96C-BE1B-4D84-8319-F340636ED966}"/>
    <cellStyle name="Comma 3 6 2 3 2 5" xfId="4614" xr:uid="{1C42922F-08AA-47C9-A082-E8F383976F2E}"/>
    <cellStyle name="Comma 3 6 2 3 3" xfId="7001" xr:uid="{F15F207E-B2F2-4D6F-ADB8-CF9F3FE8394C}"/>
    <cellStyle name="Comma 3 6 2 3 3 2" xfId="8520" xr:uid="{145B5384-103A-458F-A946-74C0B123F5E2}"/>
    <cellStyle name="Comma 3 6 2 3 3 3" xfId="7770" xr:uid="{6631362D-D491-414C-B431-1029E405C47D}"/>
    <cellStyle name="Comma 3 6 2 3 4" xfId="6759" xr:uid="{E5330D99-E80B-4F65-93A8-005E1E2632E1}"/>
    <cellStyle name="Comma 3 6 2 3 4 2" xfId="8317" xr:uid="{436F7FB3-66BF-4926-ADAF-23701C17F357}"/>
    <cellStyle name="Comma 3 6 2 3 5" xfId="7567" xr:uid="{D1C08B6A-84EF-47CB-A602-B537E0FB8177}"/>
    <cellStyle name="Comma 3 6 2 3 6" xfId="5007" xr:uid="{A8D073A1-8202-4665-A56C-9C7263E7B998}"/>
    <cellStyle name="Comma 3 6 2 3 7" xfId="4338" xr:uid="{55F09C48-9027-434D-A78E-5A7CCAF047B4}"/>
    <cellStyle name="Comma 3 6 2 4" xfId="2950" xr:uid="{00000000-0005-0000-0000-0000B3060000}"/>
    <cellStyle name="Comma 3 6 2 4 2" xfId="3666" xr:uid="{D90FFD63-8D6C-4809-9245-E09E4BC9C2D9}"/>
    <cellStyle name="Comma 3 6 2 4 2 2" xfId="7286" xr:uid="{106F269D-6F90-4F3E-9B1E-E3763121B42B}"/>
    <cellStyle name="Comma 3 6 2 4 2 2 2" xfId="8798" xr:uid="{B213FC55-D72F-4950-A3D9-7E0630A0F9F6}"/>
    <cellStyle name="Comma 3 6 2 4 2 3" xfId="8048" xr:uid="{DF1C8927-14DB-4A21-8A11-24303485B497}"/>
    <cellStyle name="Comma 3 6 2 4 2 4" xfId="6485" xr:uid="{EE555AB4-6664-47D5-8331-BF0766E9705F}"/>
    <cellStyle name="Comma 3 6 2 4 2 5" xfId="4534" xr:uid="{8F893C9B-A622-453E-BF19-E9D8DBAF163C}"/>
    <cellStyle name="Comma 3 6 2 4 3" xfId="7046" xr:uid="{D43C5773-7D62-45F1-AE00-BA0CC14F6782}"/>
    <cellStyle name="Comma 3 6 2 4 3 2" xfId="8565" xr:uid="{AA87E2FD-D7A8-4E63-AF11-D8B50812416D}"/>
    <cellStyle name="Comma 3 6 2 4 3 3" xfId="7815" xr:uid="{2DDBD5F6-EB41-4773-B5DC-F49136DBF59B}"/>
    <cellStyle name="Comma 3 6 2 4 4" xfId="6678" xr:uid="{C0C89F8D-CADF-400B-B6AC-5056A806460A}"/>
    <cellStyle name="Comma 3 6 2 4 4 2" xfId="8237" xr:uid="{807CDC96-40D2-496A-B903-0A47D06D50E4}"/>
    <cellStyle name="Comma 3 6 2 4 5" xfId="7487" xr:uid="{4DB49FC5-1836-4EEB-83A2-6E44223D8672}"/>
    <cellStyle name="Comma 3 6 2 4 6" xfId="5053" xr:uid="{D39B7B77-B1C3-4CFD-BCA4-404A127A4D98}"/>
    <cellStyle name="Comma 3 6 2 4 7" xfId="4258" xr:uid="{573FC1EA-7BC7-47F5-8C53-270EA6DDF512}"/>
    <cellStyle name="Comma 3 6 2 5" xfId="3521" xr:uid="{9CDF6A53-67A2-4B49-812D-FD01F1D03C8C}"/>
    <cellStyle name="Comma 3 6 2 5 2" xfId="3815" xr:uid="{B170EF91-0A59-4C01-B80E-A623D92F403C}"/>
    <cellStyle name="Comma 3 6 2 5 2 2" xfId="8622" xr:uid="{693F3FDA-B251-402B-B3CA-1C92C4C23C09}"/>
    <cellStyle name="Comma 3 6 2 5 2 3" xfId="7106" xr:uid="{E1FB3F87-C1A0-4FB5-8AC4-769338DC85BA}"/>
    <cellStyle name="Comma 3 6 2 5 2 4" xfId="4667" xr:uid="{886186A6-A071-4226-B40D-AEA776F3FCDF}"/>
    <cellStyle name="Comma 3 6 2 5 3" xfId="7872" xr:uid="{91CACB9D-79CC-4868-88F6-57BF5922E816}"/>
    <cellStyle name="Comma 3 6 2 5 4" xfId="5659" xr:uid="{9B548868-51CD-40F0-85DB-A99BE5129FE0}"/>
    <cellStyle name="Comma 3 6 2 5 5" xfId="4391" xr:uid="{97958C1F-FA14-43E5-9EB3-76AB4D67D661}"/>
    <cellStyle name="Comma 3 6 2 6" xfId="3576" xr:uid="{ACE7A17A-E7F2-4FD6-BC80-B76BDE8889FE}"/>
    <cellStyle name="Comma 3 6 2 6 2" xfId="7332" xr:uid="{E01D0A2D-384F-4621-B8E1-171CBBABAA05}"/>
    <cellStyle name="Comma 3 6 2 6 2 2" xfId="8844" xr:uid="{8354B5C7-2C1A-47C6-A08F-53E271F8FE90}"/>
    <cellStyle name="Comma 3 6 2 6 3" xfId="8094" xr:uid="{11D6D81D-5368-47DD-80F4-4E6919BC8B50}"/>
    <cellStyle name="Comma 3 6 2 6 4" xfId="6538" xr:uid="{BA792ADF-B07D-43A9-BE4D-78EE201C01AC}"/>
    <cellStyle name="Comma 3 6 2 6 5" xfId="4444" xr:uid="{4E4A33E1-D2E1-4BC0-8B14-E6B5AD63DAF9}"/>
    <cellStyle name="Comma 3 6 2 7" xfId="3862" xr:uid="{68C376F5-9D2B-45F3-B385-8874BC5495CC}"/>
    <cellStyle name="Comma 3 6 2 7 2" xfId="8425" xr:uid="{735B310E-0AAB-4F57-9AAE-787C5B9B37B7}"/>
    <cellStyle name="Comma 3 6 2 7 3" xfId="7675" xr:uid="{088DE1EA-2C92-41B8-872E-6C0DE0E81923}"/>
    <cellStyle name="Comma 3 6 2 7 4" xfId="6906" xr:uid="{40D46B72-AA68-4835-B01E-B4A0DC98E245}"/>
    <cellStyle name="Comma 3 6 2 7 5" xfId="4714" xr:uid="{61EDAF06-189F-42FA-A08F-6CE4FB5BAD1E}"/>
    <cellStyle name="Comma 3 6 2 8" xfId="4168" xr:uid="{CB38272E-68F8-4259-A9DA-ACCA0F818D20}"/>
    <cellStyle name="Comma 3 6 2 8 2" xfId="8376" xr:uid="{40E3CBA1-AF30-492C-A361-0021F4B15589}"/>
    <cellStyle name="Comma 3 6 2 8 3" xfId="7626" xr:uid="{2FB3C6DF-B58F-4ABC-B897-8BE5FCE37631}"/>
    <cellStyle name="Comma 3 6 2 8 4" xfId="6837" xr:uid="{427738EB-B311-41CD-B659-46D8F74DE1EE}"/>
    <cellStyle name="Comma 3 6 2 9" xfId="6588" xr:uid="{363BB047-60C3-4564-BEB4-8D28CF8227F8}"/>
    <cellStyle name="Comma 3 6 2 9 2" xfId="8147" xr:uid="{970DF747-3954-4FA8-8173-783F817905E2}"/>
    <cellStyle name="Comma 3 6 3" xfId="2888" xr:uid="{00000000-0005-0000-0000-000069060000}"/>
    <cellStyle name="Comma 3 6 3 2" xfId="2989" xr:uid="{00000000-0005-0000-0000-0000B6060000}"/>
    <cellStyle name="Comma 3 6 3 2 2" xfId="3705" xr:uid="{85C394AA-55AC-4E3D-9AE0-E045F47E9797}"/>
    <cellStyle name="Comma 3 6 3 2 2 2" xfId="8642" xr:uid="{212983C4-7CD1-4E22-BC29-E25E4130CF44}"/>
    <cellStyle name="Comma 3 6 3 2 2 3" xfId="7892" xr:uid="{26ACF763-E1BE-48C4-BEBC-FE5CA1D18A6F}"/>
    <cellStyle name="Comma 3 6 3 2 2 4" xfId="7127" xr:uid="{429B82DC-EC36-46B9-B0F9-75D20F905124}"/>
    <cellStyle name="Comma 3 6 3 2 2 5" xfId="4557" xr:uid="{6874913B-93AA-4F63-8F30-EAD722C446A5}"/>
    <cellStyle name="Comma 3 6 3 2 3" xfId="4281" xr:uid="{EFA619BD-B645-493D-8CCB-A983EB3AB13A}"/>
    <cellStyle name="Comma 3 6 3 2 3 2" xfId="8260" xr:uid="{FD39FFCF-1AA7-4FFF-B1ED-9538CBEAA479}"/>
    <cellStyle name="Comma 3 6 3 2 3 3" xfId="6701" xr:uid="{9EC5773F-82D2-4C58-A898-775CE8DB95F5}"/>
    <cellStyle name="Comma 3 6 3 2 4" xfId="7510" xr:uid="{E2931510-833C-4C50-969A-E42DDBFB8EE4}"/>
    <cellStyle name="Comma 3 6 3 2 5" xfId="5712" xr:uid="{7881D1A8-D1AE-409C-912D-5A60B90F22B1}"/>
    <cellStyle name="Comma 3 6 3 2 6" xfId="4100" xr:uid="{31A28C0E-3EFC-40F6-A05D-8F5482F88713}"/>
    <cellStyle name="Comma 3 6 3 3" xfId="3604" xr:uid="{2A1AB1F5-AAA7-448C-A04F-103AA226302E}"/>
    <cellStyle name="Comma 3 6 3 3 2" xfId="8448" xr:uid="{A3CD0C23-7DFA-4E31-A4EE-F8938C2F506B}"/>
    <cellStyle name="Comma 3 6 3 3 3" xfId="7698" xr:uid="{0DE5ED77-3CE3-428A-9936-8FBA65142E77}"/>
    <cellStyle name="Comma 3 6 3 3 4" xfId="6929" xr:uid="{765600B6-1F1A-440C-B568-0B2C2FFC848C}"/>
    <cellStyle name="Comma 3 6 3 3 5" xfId="4472" xr:uid="{D388049B-C78F-4360-BBB8-1C4D22A0CC1C}"/>
    <cellStyle name="Comma 3 6 3 4" xfId="4196" xr:uid="{CA5A2B33-228A-4A9E-9569-4DC69BCCF89C}"/>
    <cellStyle name="Comma 3 6 3 4 2" xfId="8175" xr:uid="{7D04976C-18F1-451D-B922-3D8D07A357CF}"/>
    <cellStyle name="Comma 3 6 3 4 3" xfId="6616" xr:uid="{D5B5511B-2D23-4B1F-AAEF-BC27538CAA7E}"/>
    <cellStyle name="Comma 3 6 3 5" xfId="7425" xr:uid="{773022CE-C64D-4DD6-B2C0-660161999F20}"/>
    <cellStyle name="Comma 3 6 3 6" xfId="4935" xr:uid="{1CFA68DA-B6B7-4F0E-BE04-F62327BEA5F1}"/>
    <cellStyle name="Comma 3 6 3 7" xfId="3987" xr:uid="{85F21AE7-F5B7-47B9-A657-2B0A86940511}"/>
    <cellStyle name="Comma 3 6 4" xfId="3432" xr:uid="{00000000-0005-0000-0000-0000B7060000}"/>
    <cellStyle name="Comma 3 6 4 2" xfId="3745" xr:uid="{A01B6383-5CE5-4A62-BAF9-045ADF9891B9}"/>
    <cellStyle name="Comma 3 6 4 2 2" xfId="4597" xr:uid="{17F512AC-2E8E-4D50-B3E3-4C6C38ABA068}"/>
    <cellStyle name="Comma 3 6 4 2 2 2" xfId="8660" xr:uid="{6D08559F-6682-4AC4-B601-CB02B5665F4D}"/>
    <cellStyle name="Comma 3 6 4 2 2 3" xfId="7147" xr:uid="{13B46BC6-8B3B-436C-95AE-2BD051FE2DD6}"/>
    <cellStyle name="Comma 3 6 4 2 3" xfId="7910" xr:uid="{4601612C-9F0E-4977-BFFD-81841872163D}"/>
    <cellStyle name="Comma 3 6 4 2 4" xfId="6290" xr:uid="{D542DE66-B163-42A1-9AA3-B0A2E6BD2584}"/>
    <cellStyle name="Comma 3 6 4 2 5" xfId="4117" xr:uid="{F931BCC6-E487-47EF-9729-4863965F2968}"/>
    <cellStyle name="Comma 3 6 4 3" xfId="4321" xr:uid="{E6E6BB75-9CF0-4F36-BA10-643CC7523D6E}"/>
    <cellStyle name="Comma 3 6 4 3 2" xfId="8497" xr:uid="{A9C2BACC-BDF6-42C0-97D9-E6A7A069C15A}"/>
    <cellStyle name="Comma 3 6 4 3 3" xfId="7747" xr:uid="{20B4093D-F7B1-44B2-BB31-F05329283DE0}"/>
    <cellStyle name="Comma 3 6 4 3 4" xfId="6978" xr:uid="{B977C553-AF82-46DC-9F78-D4D511C8CD40}"/>
    <cellStyle name="Comma 3 6 4 4" xfId="6742" xr:uid="{F853408B-3672-4E09-B1FC-18904471837E}"/>
    <cellStyle name="Comma 3 6 4 4 2" xfId="8300" xr:uid="{ABC138B5-A8D9-470F-8B64-41ADEAE96D3E}"/>
    <cellStyle name="Comma 3 6 4 5" xfId="7550" xr:uid="{3A2D285B-E2A0-4B98-9293-73F0DAD07157}"/>
    <cellStyle name="Comma 3 6 4 6" xfId="4984" xr:uid="{D547F37F-8D9F-43B9-B6A3-51BBE008479C}"/>
    <cellStyle name="Comma 3 6 4 7" xfId="4008" xr:uid="{36A21031-BA9C-458D-A871-7E7D96F89C26}"/>
    <cellStyle name="Comma 3 6 5" xfId="2933" xr:uid="{00000000-0005-0000-0000-0000B2060000}"/>
    <cellStyle name="Comma 3 6 5 2" xfId="3649" xr:uid="{B423F10E-84C1-4444-A6E0-EF37A33ACECF}"/>
    <cellStyle name="Comma 3 6 5 2 2" xfId="7163" xr:uid="{A3766A11-1D15-4B06-B43F-4186E952ED9D}"/>
    <cellStyle name="Comma 3 6 5 2 2 2" xfId="8676" xr:uid="{C5E1A034-8B2A-4193-8CEB-2ED67517DFF4}"/>
    <cellStyle name="Comma 3 6 5 2 3" xfId="7926" xr:uid="{A759DBE4-B1F4-4DE4-ADCD-CA6CD93DA831}"/>
    <cellStyle name="Comma 3 6 5 2 4" xfId="6343" xr:uid="{E6BAA94E-55E9-4821-8A5B-FB1BC60B1E86}"/>
    <cellStyle name="Comma 3 6 5 2 5" xfId="4517" xr:uid="{FDF7AA4A-E841-4F10-9555-54567B6B9BCF}"/>
    <cellStyle name="Comma 3 6 5 3" xfId="4241" xr:uid="{35A48338-38C8-4AC9-ABDD-09161C9294D2}"/>
    <cellStyle name="Comma 3 6 5 3 2" xfId="8548" xr:uid="{741E9C9D-C471-4935-AECE-D5C03F519706}"/>
    <cellStyle name="Comma 3 6 5 3 3" xfId="7798" xr:uid="{88E29D44-A556-4B54-9B1C-04D2E837CD0A}"/>
    <cellStyle name="Comma 3 6 5 3 4" xfId="7029" xr:uid="{BAD0EEB0-0009-42B9-83AB-12765DBB2A7D}"/>
    <cellStyle name="Comma 3 6 5 4" xfId="6661" xr:uid="{65E06F8D-2BDD-4C04-A307-F5A45891B6AE}"/>
    <cellStyle name="Comma 3 6 5 4 2" xfId="8220" xr:uid="{AD7F5CAE-A7C9-4A93-B488-1194993EAAD2}"/>
    <cellStyle name="Comma 3 6 5 5" xfId="7470" xr:uid="{58D075CF-9167-46CB-9D63-5B0D2F97B033}"/>
    <cellStyle name="Comma 3 6 5 6" xfId="5036" xr:uid="{E1DC49BC-5943-4C12-9D35-2346F6DB1B56}"/>
    <cellStyle name="Comma 3 6 5 7" xfId="4053" xr:uid="{1C9156BE-067C-4E18-802C-657C6F150C4D}"/>
    <cellStyle name="Comma 3 6 6" xfId="3504" xr:uid="{86804114-1A09-4901-A1AB-0638F7D02BE8}"/>
    <cellStyle name="Comma 3 6 6 2" xfId="3798" xr:uid="{CDCD3A3F-CEAC-4E5D-955D-3D31DC041AA8}"/>
    <cellStyle name="Comma 3 6 6 2 2" xfId="8604" xr:uid="{C0153ADD-E110-462B-B9D1-AF267E9B2263}"/>
    <cellStyle name="Comma 3 6 6 2 3" xfId="7087" xr:uid="{D85CB312-C525-40FD-8674-8992EB026E0A}"/>
    <cellStyle name="Comma 3 6 6 2 4" xfId="4650" xr:uid="{27A6D965-6092-4D6E-96BC-37A01817F8A5}"/>
    <cellStyle name="Comma 3 6 6 3" xfId="7854" xr:uid="{A676D3AE-E044-4739-8383-DC868A625A65}"/>
    <cellStyle name="Comma 3 6 6 4" xfId="5566" xr:uid="{4E4A61DC-E1BA-4ADB-B9C3-EE288A5719BF}"/>
    <cellStyle name="Comma 3 6 6 5" xfId="4374" xr:uid="{BBDB7E04-F747-484E-AD91-8CA3B9E196FA}"/>
    <cellStyle name="Comma 3 6 7" xfId="3559" xr:uid="{296F55CF-F58F-4F37-887C-EB69D0FCA3CF}"/>
    <cellStyle name="Comma 3 6 7 2" xfId="7182" xr:uid="{AC11788B-6E62-4436-BE8D-55F101B75E8B}"/>
    <cellStyle name="Comma 3 6 7 2 2" xfId="8695" xr:uid="{58E27756-D436-4693-9B45-8C099F8416B2}"/>
    <cellStyle name="Comma 3 6 7 3" xfId="7945" xr:uid="{F421DFFB-4591-46BD-AEBB-14334B33432A}"/>
    <cellStyle name="Comma 3 6 7 4" xfId="6380" xr:uid="{A4575067-727C-4280-A38B-BD594D78CC71}"/>
    <cellStyle name="Comma 3 6 7 5" xfId="4427" xr:uid="{9EE095F7-99A6-4463-A689-74011CD1C947}"/>
    <cellStyle name="Comma 3 6 8" xfId="3845" xr:uid="{706B56A7-E5C6-436D-94B2-14BC164598CB}"/>
    <cellStyle name="Comma 3 6 8 2" xfId="7230" xr:uid="{618BD2FE-5304-4C51-A1DB-E370AD089807}"/>
    <cellStyle name="Comma 3 6 8 2 2" xfId="8742" xr:uid="{4D445E98-2875-49C4-9D6C-1C0562D51B82}"/>
    <cellStyle name="Comma 3 6 8 3" xfId="7992" xr:uid="{B696E052-D9E8-47CF-BDC1-C3141D95473D}"/>
    <cellStyle name="Comma 3 6 8 4" xfId="6429" xr:uid="{8F22878F-05F1-4CF5-867A-7BC969D2AE95}"/>
    <cellStyle name="Comma 3 6 8 5" xfId="4697" xr:uid="{406190B6-A75F-4B1A-91BF-B83B1C569ED1}"/>
    <cellStyle name="Comma 3 6 9" xfId="4151" xr:uid="{6BF0B661-6FC2-4CBE-8B6D-F771CE920806}"/>
    <cellStyle name="Comma 3 6 9 2" xfId="7271" xr:uid="{C00D9444-F134-4660-B8E7-94EC715768D8}"/>
    <cellStyle name="Comma 3 6 9 2 2" xfId="8783" xr:uid="{F02F693A-095F-469D-9BD2-7C5A670F11FE}"/>
    <cellStyle name="Comma 3 6 9 3" xfId="8033" xr:uid="{A357D005-E7CD-4E3F-BE42-EA7201497F74}"/>
    <cellStyle name="Comma 3 6 9 4" xfId="6470" xr:uid="{2FD79F7D-EB86-41B3-91EE-8CC0A3941053}"/>
    <cellStyle name="Comma 3 7" xfId="2848" xr:uid="{00000000-0005-0000-0000-00006B060000}"/>
    <cellStyle name="Comma 3 7 10" xfId="6827" xr:uid="{EA27B070-51E4-4A2A-AA5F-B802D13CE0A3}"/>
    <cellStyle name="Comma 3 7 10 2" xfId="8366" xr:uid="{4D5E28E5-59BC-4505-ACF6-7818E207D682}"/>
    <cellStyle name="Comma 3 7 10 3" xfId="7616" xr:uid="{5A7D22D8-04A3-4932-AE47-B94ED6F25438}"/>
    <cellStyle name="Comma 3 7 11" xfId="6578" xr:uid="{98AB83F8-EEA5-4F80-BE05-9920F353FF85}"/>
    <cellStyle name="Comma 3 7 11 2" xfId="8137" xr:uid="{4194377A-5766-499A-A22A-9BBF5F5DD159}"/>
    <cellStyle name="Comma 3 7 12" xfId="7387" xr:uid="{EBF73429-3407-4208-98D6-25F567678E55}"/>
    <cellStyle name="Comma 3 7 13" xfId="4742" xr:uid="{0A8E20B0-CB84-42E0-B764-8B0B1BECF6C7}"/>
    <cellStyle name="Comma 3 7 14" xfId="3923" xr:uid="{0391C2E2-7E23-4FA8-A524-2D38F909A373}"/>
    <cellStyle name="Comma 3 7 2" xfId="2895" xr:uid="{00000000-0005-0000-0000-00006B060000}"/>
    <cellStyle name="Comma 3 7 2 2" xfId="2996" xr:uid="{00000000-0005-0000-0000-0000B9060000}"/>
    <cellStyle name="Comma 3 7 2 2 2" xfId="3712" xr:uid="{16FD8A03-949A-4CAD-A79A-00CA68DBC2F8}"/>
    <cellStyle name="Comma 3 7 2 2 2 2" xfId="8461" xr:uid="{06338B0F-9851-4EB0-AFC0-FFABC34E32F6}"/>
    <cellStyle name="Comma 3 7 2 2 2 3" xfId="7711" xr:uid="{AB474071-A415-4855-9C9B-23293ECC113A}"/>
    <cellStyle name="Comma 3 7 2 2 2 4" xfId="6942" xr:uid="{8597DE30-5DE0-4F5E-9357-78C0739D27B6}"/>
    <cellStyle name="Comma 3 7 2 2 2 5" xfId="4564" xr:uid="{7D909E36-07AE-4507-98E0-A1BDEFF3EBB7}"/>
    <cellStyle name="Comma 3 7 2 2 3" xfId="6708" xr:uid="{FB5BD1C5-BADF-4A4E-8023-F2AA085DB3DA}"/>
    <cellStyle name="Comma 3 7 2 2 3 2" xfId="8267" xr:uid="{47DDB315-A915-4957-8CDB-2100DCCB644C}"/>
    <cellStyle name="Comma 3 7 2 2 4" xfId="7517" xr:uid="{C3CDCC9B-B5F3-4E34-A848-C4B6B90C1D14}"/>
    <cellStyle name="Comma 3 7 2 2 5" xfId="4948" xr:uid="{4E561162-0BB9-40A9-B03C-365B4A611BC9}"/>
    <cellStyle name="Comma 3 7 2 2 6" xfId="4288" xr:uid="{7810EB0A-BFEF-4AB6-8527-425060BB4A41}"/>
    <cellStyle name="Comma 3 7 2 3" xfId="3611" xr:uid="{767897D1-E5C7-4301-B90B-CDF31B0D7F30}"/>
    <cellStyle name="Comma 3 7 2 3 2" xfId="6991" xr:uid="{433695FF-AA08-434C-8E16-345FF8B9BE46}"/>
    <cellStyle name="Comma 3 7 2 3 2 2" xfId="8510" xr:uid="{88A96267-C1D1-4BBE-B459-D8104915E920}"/>
    <cellStyle name="Comma 3 7 2 3 3" xfId="7760" xr:uid="{192E99C5-362F-4BCE-A55F-98C9986B0B85}"/>
    <cellStyle name="Comma 3 7 2 3 4" xfId="4997" xr:uid="{33D302C0-0308-41B4-9397-2DE7719DC950}"/>
    <cellStyle name="Comma 3 7 2 3 5" xfId="4479" xr:uid="{89981009-9307-4C02-A8B4-83FAEF7336D8}"/>
    <cellStyle name="Comma 3 7 2 4" xfId="4203" xr:uid="{10E0119C-532C-473A-B882-D5CF168FC72D}"/>
    <cellStyle name="Comma 3 7 2 4 2" xfId="7129" xr:uid="{DFEF699D-541A-4694-8D25-06341FF11E0C}"/>
    <cellStyle name="Comma 3 7 2 4 2 2" xfId="8644" xr:uid="{CB79D43E-43F4-4BCE-8413-5D8505DFD7EA}"/>
    <cellStyle name="Comma 3 7 2 4 3" xfId="7894" xr:uid="{EB33D767-7A9C-4B1E-9AB3-D17636FDF664}"/>
    <cellStyle name="Comma 3 7 2 4 4" xfId="5714" xr:uid="{1156F8D8-6CB5-4DFB-AC3D-17864BED7D57}"/>
    <cellStyle name="Comma 3 7 2 5" xfId="6894" xr:uid="{6416AC08-B7AB-42A1-AAE9-7DF91C36A221}"/>
    <cellStyle name="Comma 3 7 2 5 2" xfId="8415" xr:uid="{9E604DC3-D18C-499D-9DE5-D04AA2F72286}"/>
    <cellStyle name="Comma 3 7 2 5 3" xfId="7665" xr:uid="{A2AB788B-F9AE-4934-8A49-3AFD2BEB8D95}"/>
    <cellStyle name="Comma 3 7 2 6" xfId="6623" xr:uid="{4EA5B803-082E-463B-B10B-8914A868BA47}"/>
    <cellStyle name="Comma 3 7 2 6 2" xfId="8182" xr:uid="{70F50440-0337-4CD8-84FE-BDC9F92A04BD}"/>
    <cellStyle name="Comma 3 7 2 7" xfId="7432" xr:uid="{586667B4-70A4-4661-A86D-5CD0182F30A8}"/>
    <cellStyle name="Comma 3 7 2 8" xfId="4830" xr:uid="{353F5FAC-EC4E-43DE-8905-9E27E9CE4263}"/>
    <cellStyle name="Comma 3 7 2 9" xfId="4065" xr:uid="{805B737A-EFA2-4560-909F-97CC8FF831A5}"/>
    <cellStyle name="Comma 3 7 3" xfId="3440" xr:uid="{00000000-0005-0000-0000-0000BA060000}"/>
    <cellStyle name="Comma 3 7 3 2" xfId="3752" xr:uid="{641D9BBD-1975-4FC4-B96F-0F6C96CD9A69}"/>
    <cellStyle name="Comma 3 7 3 2 2" xfId="7188" xr:uid="{D2AA9B26-CB96-44F7-869A-83526D4C4FB6}"/>
    <cellStyle name="Comma 3 7 3 2 2 2" xfId="8700" xr:uid="{24A9F3E8-CEAF-421A-BCC9-A3FAC5CA2A81}"/>
    <cellStyle name="Comma 3 7 3 2 3" xfId="7950" xr:uid="{A33B8393-B05A-4C50-8422-4DE048605F7A}"/>
    <cellStyle name="Comma 3 7 3 2 4" xfId="6386" xr:uid="{AD2879DA-B0DD-4043-B2A4-D322C324F54C}"/>
    <cellStyle name="Comma 3 7 3 2 5" xfId="4604" xr:uid="{E51018C5-0B7C-4673-A19A-C7F1F57BFCA5}"/>
    <cellStyle name="Comma 3 7 3 3" xfId="6919" xr:uid="{2865C088-BFA5-4979-B3E9-C1037F70749E}"/>
    <cellStyle name="Comma 3 7 3 3 2" xfId="8438" xr:uid="{DA33F79D-D89F-4233-8559-30D90D63D963}"/>
    <cellStyle name="Comma 3 7 3 3 3" xfId="7688" xr:uid="{3AE19F26-E45B-468B-9EF2-C95040214BED}"/>
    <cellStyle name="Comma 3 7 3 4" xfId="6749" xr:uid="{DD43D0E9-85EE-40AA-9AA3-E4175E1A0CD9}"/>
    <cellStyle name="Comma 3 7 3 4 2" xfId="8307" xr:uid="{8851C4CD-D2A3-49B4-8C1B-7E8ED9FAFB95}"/>
    <cellStyle name="Comma 3 7 3 5" xfId="7557" xr:uid="{FA97EF73-C32D-43D7-A21D-100A0C81D61D}"/>
    <cellStyle name="Comma 3 7 3 6" xfId="4925" xr:uid="{1BDBAA69-C251-48E9-92C1-5D975C6CDA27}"/>
    <cellStyle name="Comma 3 7 3 7" xfId="4328" xr:uid="{64647DDF-34EE-4624-A57B-2D16B53E69C1}"/>
    <cellStyle name="Comma 3 7 4" xfId="2940" xr:uid="{00000000-0005-0000-0000-0000B8060000}"/>
    <cellStyle name="Comma 3 7 4 2" xfId="3656" xr:uid="{260CD34F-5121-4723-90F5-B5BEEE3DB751}"/>
    <cellStyle name="Comma 3 7 4 2 2" xfId="7236" xr:uid="{14F9114A-F287-4582-A7CB-0985BE10E03A}"/>
    <cellStyle name="Comma 3 7 4 2 2 2" xfId="8748" xr:uid="{D2E52396-315F-453B-B2EC-43F6156D2911}"/>
    <cellStyle name="Comma 3 7 4 2 3" xfId="7998" xr:uid="{9A299217-2B50-427E-B26F-90253D9B86BC}"/>
    <cellStyle name="Comma 3 7 4 2 4" xfId="6435" xr:uid="{F605E0E8-D5F9-4F2D-AD3E-02C7464DFC24}"/>
    <cellStyle name="Comma 3 7 4 2 5" xfId="4524" xr:uid="{990105AF-832E-45A1-9B19-2A39697E4D8F}"/>
    <cellStyle name="Comma 3 7 4 3" xfId="6968" xr:uid="{0AA7C744-4CC6-4644-9020-82DFEB3E8F62}"/>
    <cellStyle name="Comma 3 7 4 3 2" xfId="8487" xr:uid="{FB381B76-D7E7-4AA6-9FEF-B2F97D1626A6}"/>
    <cellStyle name="Comma 3 7 4 3 3" xfId="7737" xr:uid="{93A23498-D4FE-4AF1-AF26-1C83045C8A3B}"/>
    <cellStyle name="Comma 3 7 4 4" xfId="6668" xr:uid="{2D7ECA92-3AF2-4F1C-AD33-1D6B61141F01}"/>
    <cellStyle name="Comma 3 7 4 4 2" xfId="8227" xr:uid="{52DC968C-7D41-4278-9C7E-3DE71038E591}"/>
    <cellStyle name="Comma 3 7 4 5" xfId="7477" xr:uid="{4BCB35BF-7D17-4F5D-835B-2ADE468DC748}"/>
    <cellStyle name="Comma 3 7 4 6" xfId="4974" xr:uid="{EC32DD08-F4C3-46CF-B872-D989D2AF6DB7}"/>
    <cellStyle name="Comma 3 7 4 7" xfId="4248" xr:uid="{0B766D79-B4FD-4750-8569-DB3905B211B4}"/>
    <cellStyle name="Comma 3 7 5" xfId="3511" xr:uid="{A350DB07-3CC3-41D0-9F35-49C6871EB4BB}"/>
    <cellStyle name="Comma 3 7 5 2" xfId="3805" xr:uid="{E27A4C34-A7FD-4324-9E7B-624EC2A36E20}"/>
    <cellStyle name="Comma 3 7 5 2 2" xfId="7278" xr:uid="{762151B6-B7BD-4931-8FC8-B7A61C982F0F}"/>
    <cellStyle name="Comma 3 7 5 2 2 2" xfId="8790" xr:uid="{FE297AD7-F95E-4B5A-8DFD-596C7B324307}"/>
    <cellStyle name="Comma 3 7 5 2 3" xfId="8040" xr:uid="{A7F4697B-A80C-44EE-A75D-6E871208E827}"/>
    <cellStyle name="Comma 3 7 5 2 4" xfId="6477" xr:uid="{DD5AB937-DCC5-47D3-9555-4B0B98493A92}"/>
    <cellStyle name="Comma 3 7 5 2 5" xfId="4657" xr:uid="{5B78CB2F-9F91-47F3-AAA7-7C38C8D2B363}"/>
    <cellStyle name="Comma 3 7 5 3" xfId="7036" xr:uid="{491AE5E6-C36F-4806-9E4E-8BFA7C19C033}"/>
    <cellStyle name="Comma 3 7 5 3 2" xfId="8555" xr:uid="{7B4CC54A-0FA2-4275-BA47-49E5E0742AAE}"/>
    <cellStyle name="Comma 3 7 5 4" xfId="7805" xr:uid="{04942F6A-39FA-474D-B9E4-B6B6587E15D9}"/>
    <cellStyle name="Comma 3 7 5 5" xfId="5043" xr:uid="{7BE24757-B8CA-43CC-B835-165FA0549864}"/>
    <cellStyle name="Comma 3 7 5 6" xfId="4381" xr:uid="{E2D9B4FA-A8AC-43E7-92B4-A6B2FE0583B9}"/>
    <cellStyle name="Comma 3 7 6" xfId="3566" xr:uid="{C5A8D7F6-E9C6-4471-BBE1-4D9D72180AA5}"/>
    <cellStyle name="Comma 3 7 6 2" xfId="7096" xr:uid="{B72D3D98-59EB-40D3-9EFC-8EA753FE8EAA}"/>
    <cellStyle name="Comma 3 7 6 2 2" xfId="8612" xr:uid="{9363BEA1-CB70-463E-A915-D7018A2CCD89}"/>
    <cellStyle name="Comma 3 7 6 3" xfId="7862" xr:uid="{C5F83779-0860-49D2-8031-83DE01A8BC80}"/>
    <cellStyle name="Comma 3 7 6 4" xfId="5649" xr:uid="{9E64DF8C-620F-4605-8658-68750A4AB8FB}"/>
    <cellStyle name="Comma 3 7 6 5" xfId="4434" xr:uid="{3FAFE763-4BC2-45EE-B4BA-4C15E667C42A}"/>
    <cellStyle name="Comma 3 7 7" xfId="3852" xr:uid="{B5ACECD3-488C-4B67-9B18-7A3B8E11194C}"/>
    <cellStyle name="Comma 3 7 7 2" xfId="5418" xr:uid="{C700C428-1C39-4488-B514-36FE3F89922B}"/>
    <cellStyle name="Comma 3 7 7 3" xfId="4704" xr:uid="{2F14CB98-E63E-4AAD-BEC5-A97886AF90E2}"/>
    <cellStyle name="Comma 3 7 8" xfId="4158" xr:uid="{DB3A8BA5-CF9E-46E9-9D15-1616DEA66C82}"/>
    <cellStyle name="Comma 3 7 8 2" xfId="7322" xr:uid="{68C98BA0-B80E-46FE-B971-5A832F050150}"/>
    <cellStyle name="Comma 3 7 8 2 2" xfId="8834" xr:uid="{697AA0DB-2E98-4A33-AF60-6F2365D9E66A}"/>
    <cellStyle name="Comma 3 7 8 3" xfId="8084" xr:uid="{50A47218-B33A-4C56-A044-4A1074356A2B}"/>
    <cellStyle name="Comma 3 7 8 4" xfId="6528" xr:uid="{7EEA10DD-EBFD-4BB4-8A9F-D776A2E636B7}"/>
    <cellStyle name="Comma 3 7 9" xfId="6862" xr:uid="{59621E5D-6B74-4326-A8BE-1D75DD43A514}"/>
    <cellStyle name="Comma 3 7 9 2" xfId="8392" xr:uid="{8DBB7C42-7D8D-4552-B90A-B89907FD1D17}"/>
    <cellStyle name="Comma 3 7 9 3" xfId="7642" xr:uid="{6687D720-EBB2-4AFA-BD3F-030F961E0E7F}"/>
    <cellStyle name="Comma 3 8" xfId="2878" xr:uid="{00000000-0005-0000-0000-000061060000}"/>
    <cellStyle name="Comma 3 8 2" xfId="2965" xr:uid="{00000000-0005-0000-0000-0000BB060000}"/>
    <cellStyle name="Comma 3 8 2 2" xfId="3681" xr:uid="{FC79192F-F996-416F-A787-70E6E956E82E}"/>
    <cellStyle name="Comma 3 8 2 2 2" xfId="7116" xr:uid="{290CF5E5-1348-4516-A0B9-924514C92281}"/>
    <cellStyle name="Comma 3 8 2 2 2 2" xfId="8632" xr:uid="{C3C9FC22-1DF4-405D-8451-9A8D327BC656}"/>
    <cellStyle name="Comma 3 8 2 2 3" xfId="7882" xr:uid="{05028ACE-5024-41F6-9F0B-B00F8750A2D1}"/>
    <cellStyle name="Comma 3 8 2 2 4" xfId="5700" xr:uid="{6D1B0541-35B8-4304-A4A9-B38D1DA1BD30}"/>
    <cellStyle name="Comma 3 8 2 2 5" xfId="4547" xr:uid="{3A8AD68F-075A-467E-B8A8-632150BD0BA3}"/>
    <cellStyle name="Comma 3 8 2 3" xfId="4271" xr:uid="{83F4D856-D715-4077-92B0-9F8B90B4B2DC}"/>
    <cellStyle name="Comma 3 8 2 3 2" xfId="8454" xr:uid="{7A322899-D234-4147-A927-42CC6FCEFD62}"/>
    <cellStyle name="Comma 3 8 2 3 3" xfId="7704" xr:uid="{770BEA5A-E13C-4C34-90E4-88F361121CFB}"/>
    <cellStyle name="Comma 3 8 2 3 4" xfId="6935" xr:uid="{45DD2B3A-6114-4FD0-A25D-1AC36DC8371A}"/>
    <cellStyle name="Comma 3 8 2 4" xfId="6691" xr:uid="{DC43D667-3D90-4D12-B65B-4FFDEDC1642D}"/>
    <cellStyle name="Comma 3 8 2 4 2" xfId="8250" xr:uid="{0E98A9A0-775B-4EAE-876D-7B597B7A299B}"/>
    <cellStyle name="Comma 3 8 2 5" xfId="7500" xr:uid="{0C1CCA78-3B83-4373-AA8E-E431B7104419}"/>
    <cellStyle name="Comma 3 8 2 6" xfId="4941" xr:uid="{2D6CDB40-AF4D-44CD-B0AE-979FAD1757B0}"/>
    <cellStyle name="Comma 3 8 2 7" xfId="4095" xr:uid="{E53115D1-3B0B-4D3B-BA75-70D9D45F0B88}"/>
    <cellStyle name="Comma 3 8 3" xfId="3594" xr:uid="{4E19B9EE-7048-4722-A41E-A334EC87DDBE}"/>
    <cellStyle name="Comma 3 8 3 2" xfId="6984" xr:uid="{FBB0AF29-7FD2-450F-973B-D8FCC29D270B}"/>
    <cellStyle name="Comma 3 8 3 2 2" xfId="8503" xr:uid="{35B8BB57-D041-4DD2-BD03-311589444BD4}"/>
    <cellStyle name="Comma 3 8 3 3" xfId="7753" xr:uid="{6919D151-28DD-43FF-B904-756FEDB2BEB8}"/>
    <cellStyle name="Comma 3 8 3 4" xfId="4990" xr:uid="{786E9F8F-16F1-47BC-A419-CE4ABF3D42FE}"/>
    <cellStyle name="Comma 3 8 3 5" xfId="4462" xr:uid="{5D8B7485-6E23-43DE-A1A6-91EAE1768148}"/>
    <cellStyle name="Comma 3 8 4" xfId="4186" xr:uid="{DE7B1802-336B-4726-A831-F315E5CD96E1}"/>
    <cellStyle name="Comma 3 8 4 2" xfId="5417" xr:uid="{DFC872A8-3BEB-4E9C-BB6A-E482F5826A47}"/>
    <cellStyle name="Comma 3 8 5" xfId="6887" xr:uid="{138D0A46-9DB7-4B53-94FD-43D1F8534306}"/>
    <cellStyle name="Comma 3 8 5 2" xfId="8408" xr:uid="{6018C0AB-701B-46F9-B25F-F551E4DC6AC9}"/>
    <cellStyle name="Comma 3 8 5 3" xfId="7658" xr:uid="{3FBEA5AE-734E-4F1F-9155-09DC82EDE789}"/>
    <cellStyle name="Comma 3 8 6" xfId="6606" xr:uid="{D62C895F-6041-4920-9D4C-8DEA909D4A3F}"/>
    <cellStyle name="Comma 3 8 6 2" xfId="8165" xr:uid="{7CF6E6C1-B42D-4B13-91DD-43BDAA9DAD88}"/>
    <cellStyle name="Comma 3 8 7" xfId="7415" xr:uid="{D8FD1802-53DC-49BE-BDCE-004CFB92C8EC}"/>
    <cellStyle name="Comma 3 8 8" xfId="4821" xr:uid="{C90A6C65-1C48-4F46-980F-A65A9F1207A6}"/>
    <cellStyle name="Comma 3 8 9" xfId="3976" xr:uid="{31D95210-B2BA-46AE-ACD7-E25DD7017003}"/>
    <cellStyle name="Comma 3 9" xfId="3033" xr:uid="{00000000-0005-0000-0000-0000BC060000}"/>
    <cellStyle name="Comma 3 9 2" xfId="3735" xr:uid="{E090CD7E-8427-41EC-B517-E4B5BE96606E}"/>
    <cellStyle name="Comma 3 9 2 2" xfId="4587" xr:uid="{ABC8FEF3-7145-49DC-B09C-BA9246A9E9E3}"/>
    <cellStyle name="Comma 3 9 2 2 2" xfId="8651" xr:uid="{5CE3339F-410C-4AA1-82D3-D00F73B57E34}"/>
    <cellStyle name="Comma 3 9 2 2 3" xfId="7136" xr:uid="{DE4F6C68-2001-42F5-9F17-6E1FE95837C4}"/>
    <cellStyle name="Comma 3 9 2 3" xfId="7901" xr:uid="{0F70ECF4-8FE4-4B12-A7F8-A37F66D9DCDF}"/>
    <cellStyle name="Comma 3 9 2 4" xfId="5735" xr:uid="{47363E3C-9056-4279-81E9-CAC33D7D32A7}"/>
    <cellStyle name="Comma 3 9 2 5" xfId="4107" xr:uid="{93F4E17F-2D00-4310-AE46-4EAE6F3EEE01}"/>
    <cellStyle name="Comma 3 9 3" xfId="4311" xr:uid="{79974ED2-3EB8-41CD-89EF-6188462FDF7D}"/>
    <cellStyle name="Comma 3 9 3 2" xfId="7074" xr:uid="{B9A41C56-9A4B-42C4-B31B-6730FD5A4AFA}"/>
    <cellStyle name="Comma 3 9 3 2 2" xfId="8592" xr:uid="{F075940D-61D7-4FC1-AF11-FCC300251EA0}"/>
    <cellStyle name="Comma 3 9 3 3" xfId="7842" xr:uid="{BE637A7E-9A95-4101-BB04-E05E8181ECDD}"/>
    <cellStyle name="Comma 3 9 3 4" xfId="5421" xr:uid="{54216D61-5F29-4708-AF9A-BF4A2D33F66D}"/>
    <cellStyle name="Comma 3 9 4" xfId="6912" xr:uid="{4F0963C5-B8FC-4358-B85E-905A04AB206D}"/>
    <cellStyle name="Comma 3 9 4 2" xfId="8431" xr:uid="{354E6E89-B4FA-4D6B-BF52-AF952A638D3C}"/>
    <cellStyle name="Comma 3 9 4 3" xfId="7681" xr:uid="{DD3EA665-9C53-4998-9601-D0BCA3F56AAF}"/>
    <cellStyle name="Comma 3 9 5" xfId="6731" xr:uid="{EA2EBCD4-1ADD-4F59-B12A-BE3BEB6AD371}"/>
    <cellStyle name="Comma 3 9 5 2" xfId="8290" xr:uid="{93FA4B22-CB7C-42F9-AC67-83E4D1BA3A96}"/>
    <cellStyle name="Comma 3 9 6" xfId="7540" xr:uid="{6A371A66-5AD8-4582-AFD4-AA29BAC44701}"/>
    <cellStyle name="Comma 3 9 7" xfId="4918" xr:uid="{93F4433F-57C9-4303-BE5F-C9B46268DB09}"/>
    <cellStyle name="Comma 3 9 8" xfId="3998" xr:uid="{B0942E8C-1672-47FC-8F87-A2166507CC97}"/>
    <cellStyle name="Comma 30" xfId="1727" xr:uid="{00000000-0005-0000-0000-00006C060000}"/>
    <cellStyle name="Comma 30 2" xfId="1728" xr:uid="{00000000-0005-0000-0000-00006D060000}"/>
    <cellStyle name="Comma 30 2 2" xfId="4791" xr:uid="{EFECD977-13D2-4039-BC8C-80C79C35C1AD}"/>
    <cellStyle name="Comma 30 3" xfId="4790" xr:uid="{EC171DD5-533A-4186-89A3-E2EEB913D7D5}"/>
    <cellStyle name="Comma 30 3 2" xfId="5502" xr:uid="{340560F1-1070-4E90-95E6-841EF8E80AA5}"/>
    <cellStyle name="Comma 30 4" xfId="5477" xr:uid="{DA700E62-1ED7-4ACD-BFA0-1B9D5D14790A}"/>
    <cellStyle name="Comma 30 4 2" xfId="5458" xr:uid="{D9035AC3-E134-41B2-8F54-7EFD6ED52E03}"/>
    <cellStyle name="Comma 30 5" xfId="5614" xr:uid="{0472FB4F-FC38-4347-8B6D-4748B806AF49}"/>
    <cellStyle name="Comma 30 5 2" xfId="5530" xr:uid="{2CDC1700-425A-4C07-8DFB-EB20D694197E}"/>
    <cellStyle name="Comma 30 6" xfId="5108" xr:uid="{98A08EC9-AD1F-44D2-8F37-748E51B096E3}"/>
    <cellStyle name="Comma 30 6 2" xfId="5572" xr:uid="{B75EEE5C-9291-470E-A866-A9BCFDB6FED7}"/>
    <cellStyle name="Comma 30 7" xfId="5464" xr:uid="{26651414-43D0-429D-B251-44902C110255}"/>
    <cellStyle name="Comma 35" xfId="5622" xr:uid="{808DC593-05B0-4E19-AD4A-CA18B26BBB85}"/>
    <cellStyle name="Comma 35 2" xfId="5482" xr:uid="{101E0604-A1C4-4004-9F0B-D6210CEB6DC4}"/>
    <cellStyle name="Comma 35 3" xfId="5313" xr:uid="{84994D73-C9F0-45A1-8CE0-982AB135F886}"/>
    <cellStyle name="Comma 36" xfId="1729" xr:uid="{00000000-0005-0000-0000-00006E060000}"/>
    <cellStyle name="Comma 36 2" xfId="1730" xr:uid="{00000000-0005-0000-0000-00006F060000}"/>
    <cellStyle name="Comma 36 2 2" xfId="4793" xr:uid="{6C9BFE51-4EB6-4C62-A756-43A77B838578}"/>
    <cellStyle name="Comma 36 3" xfId="4792" xr:uid="{C2866C06-106D-472B-B57E-3E99E935D770}"/>
    <cellStyle name="Comma 37" xfId="5416" xr:uid="{1CF8CAF7-6FA8-4A35-A56A-B212F2FF5FCA}"/>
    <cellStyle name="Comma 39" xfId="5619" xr:uid="{F9AF688A-EE6E-4565-94AD-820674CFFB07}"/>
    <cellStyle name="Comma 39 2" xfId="1731" xr:uid="{00000000-0005-0000-0000-000070060000}"/>
    <cellStyle name="Comma 39 2 2" xfId="4875" xr:uid="{CA9730CF-5455-482F-A7FC-9F01803A5CBB}"/>
    <cellStyle name="Comma 39 3" xfId="5312" xr:uid="{73923466-0A07-48FD-AC91-228FFC014621}"/>
    <cellStyle name="Comma 4" xfId="135" xr:uid="{00000000-0005-0000-0000-000071060000}"/>
    <cellStyle name="Comma 4 2" xfId="136" xr:uid="{00000000-0005-0000-0000-000072060000}"/>
    <cellStyle name="Comma 4 2 2" xfId="5260" xr:uid="{E2E094F0-960D-4BFA-8E50-E51F84FF684A}"/>
    <cellStyle name="Comma 4 2 3" xfId="5414" xr:uid="{45787B54-18F7-4D49-BD7E-E257FEF01D14}"/>
    <cellStyle name="Comma 4 3" xfId="1732" xr:uid="{00000000-0005-0000-0000-000073060000}"/>
    <cellStyle name="Comma 4 3 2" xfId="4876" xr:uid="{54DC3083-A61D-45DE-A395-CC267167BA3D}"/>
    <cellStyle name="Comma 4 4" xfId="3926" xr:uid="{A16AD68E-9D8D-418F-9752-13A22387082F}"/>
    <cellStyle name="Comma 4 5" xfId="5413" xr:uid="{64081A06-EE2F-4B0E-81D8-C59DDA593F45}"/>
    <cellStyle name="Comma 4 6" xfId="5524" xr:uid="{26F5AE7B-2FEB-45E9-89DB-D1AE4CC3F5EB}"/>
    <cellStyle name="Comma 4 7" xfId="5412" xr:uid="{ABCC1118-BFD4-4E67-BABA-EEB6A1908F2D}"/>
    <cellStyle name="Comma 4 8" xfId="5111" xr:uid="{9A919B96-7961-4E7F-81B0-1C56B383FB23}"/>
    <cellStyle name="Comma 4 9" xfId="5415" xr:uid="{CB154F7C-35AF-45F2-B49D-9B3AF334A90A}"/>
    <cellStyle name="Comma 44" xfId="5311" xr:uid="{C589ED36-D4BE-4457-B0EB-F0FDE92D97ED}"/>
    <cellStyle name="Comma 45" xfId="5310" xr:uid="{525B39B3-59B9-471D-BC8F-AB3ABEFF8DD4}"/>
    <cellStyle name="Comma 45 2" xfId="7070" xr:uid="{1038C9D2-A6F8-4BF1-B508-00B401F26043}"/>
    <cellStyle name="Comma 45 2 2" xfId="8588" xr:uid="{C5C7A7CC-D9EE-41F0-A7E9-F9730ED4FBE2}"/>
    <cellStyle name="Comma 45 3" xfId="7838" xr:uid="{F4C5B2BF-89A4-4ED5-A3FE-73A99C707528}"/>
    <cellStyle name="Comma 46" xfId="5095" xr:uid="{1107A371-8D1D-4382-A7C8-BC803BBA10AD}"/>
    <cellStyle name="Comma 49" xfId="5578" xr:uid="{F93BAA3C-52CA-4BF0-B630-EF7B09B05C8C}"/>
    <cellStyle name="Comma 5" xfId="2861" xr:uid="{00000000-0005-0000-0000-000074060000}"/>
    <cellStyle name="Comma 5 10" xfId="6448" xr:uid="{DD7358C4-C156-4D39-80D2-AD61F71E0DC9}"/>
    <cellStyle name="Comma 5 10 2" xfId="7249" xr:uid="{F7E7CE28-ED33-4A86-B2A2-A95C46C3FF7A}"/>
    <cellStyle name="Comma 5 10 2 2" xfId="8761" xr:uid="{4321A588-8EFD-460B-973B-196D72BA366D}"/>
    <cellStyle name="Comma 5 10 3" xfId="8011" xr:uid="{F5EFC952-D43B-4006-9310-A00367EFE49B}"/>
    <cellStyle name="Comma 5 11" xfId="6488" xr:uid="{23AE1269-3561-45FC-BB59-7CB25B8231E0}"/>
    <cellStyle name="Comma 5 11 2" xfId="7289" xr:uid="{F7D68FF6-C57E-4B75-BD82-184EDCE4D97F}"/>
    <cellStyle name="Comma 5 11 2 2" xfId="8801" xr:uid="{B54BA50B-87F6-4637-B6FB-693D6F0B87C2}"/>
    <cellStyle name="Comma 5 11 3" xfId="8051" xr:uid="{4D69DE40-7683-4F04-A105-A6C015549605}"/>
    <cellStyle name="Comma 5 12" xfId="6541" xr:uid="{AA510507-8427-4208-BA71-658B04970BC0}"/>
    <cellStyle name="Comma 5 12 2" xfId="7335" xr:uid="{D6E9D2E1-65DB-4743-B38D-FD402A49867D}"/>
    <cellStyle name="Comma 5 12 2 2" xfId="8847" xr:uid="{3B032A75-B73F-4DCB-A076-5D4C52DCCB04}"/>
    <cellStyle name="Comma 5 12 3" xfId="8097" xr:uid="{52597226-4E77-4179-B009-FE335F59F6F6}"/>
    <cellStyle name="Comma 5 13" xfId="6853" xr:uid="{65D94094-F33B-4CE0-B9B2-FED79436D67D}"/>
    <cellStyle name="Comma 5 14" xfId="6840" xr:uid="{6B9DB1F6-7A91-464D-A8E8-664427156998}"/>
    <cellStyle name="Comma 5 14 2" xfId="8379" xr:uid="{FAE84D52-C2F7-4EA4-8DB1-1DC4E887CA0E}"/>
    <cellStyle name="Comma 5 14 3" xfId="7629" xr:uid="{10003389-069B-430A-B815-C53DD9C0F386}"/>
    <cellStyle name="Comma 5 15" xfId="6591" xr:uid="{6E543B78-8119-4BE3-95F3-934234846F7B}"/>
    <cellStyle name="Comma 5 15 2" xfId="8150" xr:uid="{305A2CFB-1FD6-4E2D-869A-4B756F7C80B2}"/>
    <cellStyle name="Comma 5 16" xfId="7400" xr:uid="{F0643A32-28FC-4656-9731-B7E4CBEB51FD}"/>
    <cellStyle name="Comma 5 17" xfId="3874" xr:uid="{087FAE89-80F4-4C0E-A690-E841C60B8032}"/>
    <cellStyle name="Comma 5 2" xfId="2908" xr:uid="{00000000-0005-0000-0000-000074060000}"/>
    <cellStyle name="Comma 5 2 2" xfId="3009" xr:uid="{00000000-0005-0000-0000-0000C6060000}"/>
    <cellStyle name="Comma 5 2 2 2" xfId="3725" xr:uid="{8E39226A-F59B-424A-864D-588C99AF35F2}"/>
    <cellStyle name="Comma 5 2 2 2 2" xfId="8280" xr:uid="{CBB5AB65-3488-4644-90D7-1A5066FEB55F}"/>
    <cellStyle name="Comma 5 2 2 2 3" xfId="4577" xr:uid="{18B4377A-A4ED-418D-8087-1899FD292521}"/>
    <cellStyle name="Comma 5 2 2 3" xfId="7530" xr:uid="{86796925-61CA-4E5E-AF22-AC45AA5F48D3}"/>
    <cellStyle name="Comma 5 2 2 4" xfId="6721" xr:uid="{5057B2B9-BA9B-4962-9068-9FC6028B3B83}"/>
    <cellStyle name="Comma 5 2 2 5" xfId="4301" xr:uid="{A673CB45-01D8-4F25-B249-B364D4A6EC60}"/>
    <cellStyle name="Comma 5 2 3" xfId="3624" xr:uid="{1B5CA88E-05D2-4533-9BA7-9BE4B275A58D}"/>
    <cellStyle name="Comma 5 2 3 2" xfId="6886" xr:uid="{DF9200C8-D929-45A8-922B-A834BE80EF75}"/>
    <cellStyle name="Comma 5 2 3 3" xfId="4492" xr:uid="{D7CB51E8-A4B5-4EF7-885B-5D3FBADE37B2}"/>
    <cellStyle name="Comma 5 2 4" xfId="4216" xr:uid="{299D1F8B-3DC0-4FE5-9669-DF7A9FB96A01}"/>
    <cellStyle name="Comma 5 2 4 2" xfId="8195" xr:uid="{34924F0A-3F48-4147-B52E-7BBC1D305A1A}"/>
    <cellStyle name="Comma 5 2 4 3" xfId="6636" xr:uid="{C2A98811-00F2-43CF-A0AB-B405592CD03E}"/>
    <cellStyle name="Comma 5 2 5" xfId="7445" xr:uid="{4B529F23-26EA-410B-982B-159E4E161394}"/>
    <cellStyle name="Comma 5 2 6" xfId="4820" xr:uid="{E5D96FCD-236D-4519-B1AB-835CAEEE7A79}"/>
    <cellStyle name="Comma 5 2 7" xfId="4078" xr:uid="{FD7DC685-ED7F-40ED-9937-848FDE517CEB}"/>
    <cellStyle name="Comma 5 3" xfId="3453" xr:uid="{00000000-0005-0000-0000-0000C7060000}"/>
    <cellStyle name="Comma 5 3 2" xfId="3765" xr:uid="{7F848E83-630D-4DC5-8CDB-DC6BE745D9C0}"/>
    <cellStyle name="Comma 5 3 2 2" xfId="5411" xr:uid="{E5F14F51-7B47-4ADF-B640-ACC98F952E06}"/>
    <cellStyle name="Comma 5 3 2 3" xfId="4617" xr:uid="{7E2864E3-94AD-48EF-9365-F22CF8DD10EF}"/>
    <cellStyle name="Comma 5 3 3" xfId="4341" xr:uid="{6A8E42B9-1C35-4975-A25F-879A72DDD63D}"/>
    <cellStyle name="Comma 5 3 3 2" xfId="8568" xr:uid="{D52F108D-6176-474C-8BDA-58E8066A618A}"/>
    <cellStyle name="Comma 5 3 3 3" xfId="7818" xr:uid="{7281C8AC-4B15-4F25-A926-E67AB29AEEB2}"/>
    <cellStyle name="Comma 5 3 3 4" xfId="7049" xr:uid="{D9A891A1-B28A-4AF4-AFBC-5EA6906CDC13}"/>
    <cellStyle name="Comma 5 3 4" xfId="6762" xr:uid="{9E4554B4-E898-4DA1-B53F-15242D3B014F}"/>
    <cellStyle name="Comma 5 3 4 2" xfId="8320" xr:uid="{E08A180F-987E-4024-B362-81183E05638E}"/>
    <cellStyle name="Comma 5 3 5" xfId="7570" xr:uid="{E29D362E-5C03-42E1-B8DE-E04FF73BB0FE}"/>
    <cellStyle name="Comma 5 3 6" xfId="5056" xr:uid="{56092628-D484-421B-9D33-45C20570BC24}"/>
    <cellStyle name="Comma 5 3 7" xfId="4045" xr:uid="{74598726-2A99-482F-9202-35923B7C3E8A}"/>
    <cellStyle name="Comma 5 4" xfId="2953" xr:uid="{00000000-0005-0000-0000-0000C5060000}"/>
    <cellStyle name="Comma 5 4 2" xfId="3669" xr:uid="{6692E421-3684-42B5-95EE-D4ED120BAFE8}"/>
    <cellStyle name="Comma 5 4 2 2" xfId="5523" xr:uid="{2DCF1EED-CCD5-47AE-836F-DC407C02ABB0}"/>
    <cellStyle name="Comma 5 4 2 3" xfId="4537" xr:uid="{6FFC09A1-CB88-4021-95A4-E92314617B67}"/>
    <cellStyle name="Comma 5 4 3" xfId="7109" xr:uid="{48435074-5C6E-4534-8A40-89FE26E9B464}"/>
    <cellStyle name="Comma 5 4 3 2" xfId="8625" xr:uid="{67A011CA-D273-4FAF-BC51-74B9F88A089C}"/>
    <cellStyle name="Comma 5 4 3 3" xfId="7875" xr:uid="{84E6E463-6A43-4084-BC8C-95206F2D3F97}"/>
    <cellStyle name="Comma 5 4 4" xfId="6681" xr:uid="{7FA3A886-D172-40DD-B731-D9917B990BAF}"/>
    <cellStyle name="Comma 5 4 4 2" xfId="8240" xr:uid="{CAEF416B-2CE3-40E6-B714-05443841FB10}"/>
    <cellStyle name="Comma 5 4 5" xfId="7490" xr:uid="{6AB2C06C-9DB9-41E1-9323-099798E36A7F}"/>
    <cellStyle name="Comma 5 4 6" xfId="5662" xr:uid="{31FB0B03-18D9-4574-88A0-A4A24C2E9C09}"/>
    <cellStyle name="Comma 5 4 7" xfId="4261" xr:uid="{3D9D8F4D-4D24-4D35-9182-88BBDB136DBF}"/>
    <cellStyle name="Comma 5 5" xfId="3524" xr:uid="{ED691225-E8FC-40CC-9F94-6EA805C4FCB6}"/>
    <cellStyle name="Comma 5 5 2" xfId="3818" xr:uid="{BB95EC99-C0B6-4616-A26C-FF1961ACDAC2}"/>
    <cellStyle name="Comma 5 5 2 2" xfId="4670" xr:uid="{87E71A72-EDA4-431D-8E26-436F68146DD5}"/>
    <cellStyle name="Comma 5 5 3" xfId="5410" xr:uid="{318F4E2F-3FF0-44DD-83E3-75C14F354D11}"/>
    <cellStyle name="Comma 5 5 4" xfId="4394" xr:uid="{FC1099B7-8DBE-4A7C-B522-54BEC2537CF4}"/>
    <cellStyle name="Comma 5 6" xfId="3579" xr:uid="{2A3F7679-97BA-469C-A833-AC0D56CBBE97}"/>
    <cellStyle name="Comma 5 6 2" xfId="5636" xr:uid="{4FE4400D-82F9-40CD-82DB-BA25C5678286}"/>
    <cellStyle name="Comma 5 6 3" xfId="4447" xr:uid="{A050ACFB-05CA-4944-9FE9-4525CC3674C7}"/>
    <cellStyle name="Comma 5 7" xfId="3865" xr:uid="{B71B4A4D-DD10-41E5-BA57-4AF5B87AD4DD}"/>
    <cellStyle name="Comma 5 7 2" xfId="5409" xr:uid="{CE7E5CAB-7133-4593-AB5A-3A18971B4327}"/>
    <cellStyle name="Comma 5 7 3" xfId="4717" xr:uid="{F3C4A182-5935-46CF-BA18-8832C0A833E6}"/>
    <cellStyle name="Comma 5 8" xfId="4171" xr:uid="{F92362B7-8EC5-4717-9BAB-B575496E78FC}"/>
    <cellStyle name="Comma 5 8 2" xfId="5522" xr:uid="{61512EBA-13B4-4348-97F1-E5E1B4CA3F6D}"/>
    <cellStyle name="Comma 5 9" xfId="6397" xr:uid="{1EC5A4F3-8ADF-46BF-9465-B60FD54BEF8D}"/>
    <cellStyle name="Comma 5 9 2" xfId="7199" xr:uid="{3B8B9DDE-899A-4EA5-80E4-97C129E98500}"/>
    <cellStyle name="Comma 5 9 2 2" xfId="8711" xr:uid="{9AE929A2-FF6C-44FD-82D0-9E3BEFA31E9C}"/>
    <cellStyle name="Comma 5 9 3" xfId="7961" xr:uid="{899E5F43-CFCB-4687-8857-582AE2B774F2}"/>
    <cellStyle name="Comma 50" xfId="5408" xr:uid="{FA2F9EBE-257D-4F9E-93C3-BB451AE44EF5}"/>
    <cellStyle name="Comma 51" xfId="5635" xr:uid="{F6D3C9F2-AE7E-427B-B646-FD0CFC5EDD52}"/>
    <cellStyle name="Comma 52" xfId="5094" xr:uid="{3FCA6DF2-8C78-48B9-933D-9F9FCEF54D28}"/>
    <cellStyle name="Comma 53" xfId="5521" xr:uid="{D5CC8A51-7636-4BB6-AE23-C6BD6FCAE72C}"/>
    <cellStyle name="Comma 54" xfId="5407" xr:uid="{F9489F9D-2932-442C-BF75-BE64A1070CA6}"/>
    <cellStyle name="Comma 55" xfId="5634" xr:uid="{AD69256A-0413-4B7C-AFF2-6FAAA302DDA1}"/>
    <cellStyle name="Comma 56" xfId="5406" xr:uid="{B2D04595-797B-4D63-B0F3-B89BFE78AE0F}"/>
    <cellStyle name="Comma 57" xfId="5484" xr:uid="{1CA3DEE5-B41F-4B73-A11C-CFB1B03783A4}"/>
    <cellStyle name="Comma 58" xfId="5520" xr:uid="{FB851C2A-EB82-40C7-9700-250911E0CD6F}"/>
    <cellStyle name="Comma 58 2" xfId="1733" xr:uid="{00000000-0005-0000-0000-000075060000}"/>
    <cellStyle name="Comma 58 2 2" xfId="4794" xr:uid="{E09403E1-0384-4E67-8A0B-7F94CD07FCA4}"/>
    <cellStyle name="Comma 6" xfId="3474" xr:uid="{00000000-0005-0000-0000-0000C9060000}"/>
    <cellStyle name="Comma 6 10" xfId="3884" xr:uid="{D45EF477-C585-4A6C-BCCC-286939CEAE74}"/>
    <cellStyle name="Comma 6 2" xfId="3768" xr:uid="{D7BC95B0-CE73-4E47-94E4-103530220352}"/>
    <cellStyle name="Comma 6 2 2" xfId="4620" xr:uid="{18309BB7-F83A-4DCF-9D17-2E5A014D1D4B}"/>
    <cellStyle name="Comma 6 2 2 2" xfId="6932" xr:uid="{E0AB8963-8C2E-4D38-9DD3-2B59DC852F7B}"/>
    <cellStyle name="Comma 6 2 2 2 2" xfId="8451" xr:uid="{23DB8053-F01C-48E2-B024-099FBA0DB492}"/>
    <cellStyle name="Comma 6 2 2 3" xfId="7701" xr:uid="{55D64795-9F91-465C-AE16-004787B84EF3}"/>
    <cellStyle name="Comma 6 2 2 4" xfId="4938" xr:uid="{090F52DD-630D-4D3E-AEA4-6EBCC20E674F}"/>
    <cellStyle name="Comma 6 2 3" xfId="4987" xr:uid="{E74AE055-1C0E-4FAD-BEAD-A3BCED1AA1D2}"/>
    <cellStyle name="Comma 6 2 3 2" xfId="6981" xr:uid="{72A4E64B-3BEE-45B8-AE04-84B8DBDC8CBC}"/>
    <cellStyle name="Comma 6 2 3 2 2" xfId="8500" xr:uid="{F8E58F75-D042-4956-B512-0AFEE8D23B24}"/>
    <cellStyle name="Comma 6 2 3 3" xfId="7750" xr:uid="{FC813E66-EB41-4B31-97F9-7886A79DA10D}"/>
    <cellStyle name="Comma 6 2 4" xfId="6882" xr:uid="{BCF4FC2A-33E2-44FE-9406-FFB52CA5ABC6}"/>
    <cellStyle name="Comma 6 2 4 2" xfId="8405" xr:uid="{1B3C72A6-124A-4E89-A0C2-0F9C25A6C11C}"/>
    <cellStyle name="Comma 6 2 5" xfId="7655" xr:uid="{2A0E858E-7975-4819-821B-FB7858BE2EBF}"/>
    <cellStyle name="Comma 6 2 6" xfId="4813" xr:uid="{247EBCAA-D0A0-49F5-A4DF-8068A1366E0D}"/>
    <cellStyle name="Comma 6 2 7" xfId="4042" xr:uid="{2F48C96E-1562-42B7-B628-C4344398D686}"/>
    <cellStyle name="Comma 6 3" xfId="4344" xr:uid="{E16012F2-E5DE-41C5-8850-55F0C0CD9E19}"/>
    <cellStyle name="Comma 6 3 2" xfId="6909" xr:uid="{52ADCBD1-9679-4AA3-BC5B-714320277877}"/>
    <cellStyle name="Comma 6 3 2 2" xfId="8428" xr:uid="{12EA2253-81C3-4610-80DF-6975090DC4A1}"/>
    <cellStyle name="Comma 6 3 3" xfId="7678" xr:uid="{FF1F9567-19E2-43A3-940A-E1827F7A071E}"/>
    <cellStyle name="Comma 6 3 4" xfId="4915" xr:uid="{7E136806-CC46-4481-9A0D-C6645194B4BD}"/>
    <cellStyle name="Comma 6 4" xfId="4964" xr:uid="{026927AC-8192-4420-8E58-D1AB85E78537}"/>
    <cellStyle name="Comma 6 4 2" xfId="6958" xr:uid="{ACAF6395-9BAF-472F-A328-22AFEF290D1D}"/>
    <cellStyle name="Comma 6 4 2 2" xfId="8477" xr:uid="{546B6CD4-4EA4-4737-B861-A2AF5EB3C30B}"/>
    <cellStyle name="Comma 6 4 3" xfId="7727" xr:uid="{7480EFC2-94D6-4E77-B955-5D813EB3FB0B}"/>
    <cellStyle name="Comma 6 5" xfId="5405" xr:uid="{7D6EAC16-62B6-4FD5-AEF4-C6F346F96D31}"/>
    <cellStyle name="Comma 6 5 2" xfId="7073" xr:uid="{8866918C-4B46-40BA-AB64-F73B55B521AA}"/>
    <cellStyle name="Comma 6 5 2 2" xfId="8591" xr:uid="{5D7738B9-1423-4720-A7B0-61086D2A01D7}"/>
    <cellStyle name="Comma 6 5 3" xfId="7841" xr:uid="{5F568D96-95C0-4674-9285-86F142372C7F}"/>
    <cellStyle name="Comma 6 6" xfId="6844" xr:uid="{15057545-9D9B-4721-AF6A-D3B1FED590B4}"/>
    <cellStyle name="Comma 6 6 2" xfId="8382" xr:uid="{C2A5830B-BCD8-4E4C-9A08-D72A67CDD42E}"/>
    <cellStyle name="Comma 6 6 3" xfId="7632" xr:uid="{23F271A4-CF8E-4D51-87C9-09CF869AE529}"/>
    <cellStyle name="Comma 6 7" xfId="6765" xr:uid="{BA045960-2F8E-4295-8FAB-D3C842B82F90}"/>
    <cellStyle name="Comma 6 7 2" xfId="8323" xr:uid="{EB7E4215-6BE7-44F6-B041-3A8159FB790A}"/>
    <cellStyle name="Comma 6 8" xfId="7573" xr:uid="{2A9C1592-19F1-4882-8EB8-A03EF1C8291E}"/>
    <cellStyle name="Comma 6 9" xfId="4723" xr:uid="{07CEE0D0-0A30-4473-8CAC-FBFF12F8DFE2}"/>
    <cellStyle name="Comma 66" xfId="5633" xr:uid="{1F4E7C99-C341-4532-8684-201AB17E707B}"/>
    <cellStyle name="Comma 7" xfId="3530" xr:uid="{F4E24533-6A02-448B-9BC9-FA8F9F6EF2DB}"/>
    <cellStyle name="Comma 7 2" xfId="8101" xr:uid="{7F275CAA-5299-4DB3-A3E4-C4FB178ED514}"/>
    <cellStyle name="Comma 7 3" xfId="7342" xr:uid="{F783F96C-8E29-43DB-AF98-ECB42A79FE1A}"/>
    <cellStyle name="Comma0" xfId="137" xr:uid="{00000000-0005-0000-0000-000076060000}"/>
    <cellStyle name="Comma0 2" xfId="2533" xr:uid="{00000000-0005-0000-0000-000077060000}"/>
    <cellStyle name="Comma0 2 2" xfId="4907" xr:uid="{1D33DDD1-770B-461D-A4A5-4B757E3A71D1}"/>
    <cellStyle name="Comma0 3" xfId="2967" xr:uid="{00000000-0005-0000-0000-0000CC060000}"/>
    <cellStyle name="Comma0 3 2" xfId="3683" xr:uid="{2BAECF16-704E-4B92-B878-5DB26530E006}"/>
    <cellStyle name="Comma0 4" xfId="3927" xr:uid="{31E040B8-A41B-4C78-8D85-75501B9202BC}"/>
    <cellStyle name="Currency 12 2" xfId="5309" xr:uid="{9AF596A5-A648-452D-A1C0-05AAA2AC45F9}"/>
    <cellStyle name="Currency 16 2" xfId="5308" xr:uid="{6A9046D1-0C31-4844-ADAF-384E0D448DDD}"/>
    <cellStyle name="Currency 18" xfId="1734" xr:uid="{00000000-0005-0000-0000-000078060000}"/>
    <cellStyle name="Currency 18 2" xfId="1735" xr:uid="{00000000-0005-0000-0000-000079060000}"/>
    <cellStyle name="Currency 18 2 2" xfId="3897" xr:uid="{5DB81581-E58E-44FF-8E67-525A306CE1BA}"/>
    <cellStyle name="Currency 18 3" xfId="4795" xr:uid="{1F495435-E416-4B93-A924-010DAAF65C7F}"/>
    <cellStyle name="Currency 18 3 2" xfId="5102" xr:uid="{21415BCA-E6DE-46EA-89B7-F9D6BC3F17E3}"/>
    <cellStyle name="Currency 18 4" xfId="5476" xr:uid="{FF309B38-F604-4EDD-ACE9-0721C2B18C1B}"/>
    <cellStyle name="Currency 18 4 2" xfId="5100" xr:uid="{308945CE-0BF2-4432-8417-77C47885BAA3}"/>
    <cellStyle name="Currency 18 5" xfId="5579" xr:uid="{B0D0022C-81CF-4E72-B8CB-087E8715F895}"/>
    <cellStyle name="Currency 18 5 2" xfId="5445" xr:uid="{66FA3D45-91A1-45C7-A672-DC0FEBB61F99}"/>
    <cellStyle name="Currency 18 6" xfId="5468" xr:uid="{0FA12C43-9657-4021-9A42-DB22279BD2F8}"/>
    <cellStyle name="Currency 18 6 2" xfId="5442" xr:uid="{EBF1447C-E8BD-41DC-9524-E0BC29E66125}"/>
    <cellStyle name="Currency 18 7" xfId="5115" xr:uid="{6E36FEE5-6BE5-4F98-BE22-2990E8A344CD}"/>
    <cellStyle name="Currency 18 8" xfId="5164" xr:uid="{64A2C12F-15A7-4313-BE46-320C65CA0E0B}"/>
    <cellStyle name="Currency 19" xfId="1736" xr:uid="{00000000-0005-0000-0000-00007A060000}"/>
    <cellStyle name="Currency 19 2" xfId="1737" xr:uid="{00000000-0005-0000-0000-00007B060000}"/>
    <cellStyle name="Currency 19 2 2" xfId="4878" xr:uid="{6CD1EBE9-E3C5-4E1B-9932-39D1111AC1A5}"/>
    <cellStyle name="Currency 19 3" xfId="4763" xr:uid="{2425B0DA-4B11-421D-BC25-6B96F2332D34}"/>
    <cellStyle name="Currency 19 3 2" xfId="4877" xr:uid="{F715D37F-F9A3-4BA5-A8A1-3FDCCFD8F8A6}"/>
    <cellStyle name="Currency 19 4" xfId="4796" xr:uid="{BD4C8E72-65E0-4E6A-A50E-429C175D4CC5}"/>
    <cellStyle name="Currency 19 4 2" xfId="5507" xr:uid="{6C22B74D-9402-4D86-A9F7-FDCBB0CF2EC3}"/>
    <cellStyle name="Currency 19 5" xfId="5472" xr:uid="{FD814D91-62F2-460F-B5CC-F8F91B0B48F9}"/>
    <cellStyle name="Currency 19 5 2" xfId="5570" xr:uid="{6CF7D193-2359-48F7-98D5-F85E84FEE729}"/>
    <cellStyle name="Currency 19 6" xfId="5116" xr:uid="{18945629-F984-4BD0-9148-DE6DA89519CD}"/>
    <cellStyle name="Currency 19 6 2" xfId="5525" xr:uid="{B7F18A45-E6FF-481F-A5CE-5238E8101F89}"/>
    <cellStyle name="Currency 19 7" xfId="5534" xr:uid="{5CBEBCC3-B75C-4E96-8979-7AED9715BE8D}"/>
    <cellStyle name="Currency 2" xfId="138" xr:uid="{00000000-0005-0000-0000-00007C060000}"/>
    <cellStyle name="Currency 2 2" xfId="139" xr:uid="{00000000-0005-0000-0000-00007D060000}"/>
    <cellStyle name="Currency 2 2 2" xfId="4831" xr:uid="{AD9F1954-2A72-48A2-96EE-6A89AE49E43A}"/>
    <cellStyle name="Currency 2 3" xfId="140" xr:uid="{00000000-0005-0000-0000-00007E060000}"/>
    <cellStyle name="Currency 2 3 2" xfId="1739" xr:uid="{00000000-0005-0000-0000-00007F060000}"/>
    <cellStyle name="Currency 2 3 2 2" xfId="2977" xr:uid="{00000000-0005-0000-0000-0000D5060000}"/>
    <cellStyle name="Currency 2 3 2 2 2" xfId="3693" xr:uid="{C9C44CE9-60DF-4868-B925-106EBF3DDED3}"/>
    <cellStyle name="Currency 2 3 2 3" xfId="6867" xr:uid="{249CF904-3762-4032-9BDC-F77E1FE9C3BD}"/>
    <cellStyle name="Currency 2 3 2 4" xfId="3946" xr:uid="{C309D779-09FB-40BE-AF72-0FA6CE82BD65}"/>
    <cellStyle name="Currency 2 3 3" xfId="1738" xr:uid="{00000000-0005-0000-0000-000080060000}"/>
    <cellStyle name="Currency 2 3 3 2" xfId="4879" xr:uid="{452139CD-D72B-445E-9C14-8932D12B84F9}"/>
    <cellStyle name="Currency 2 3 4" xfId="2968" xr:uid="{00000000-0005-0000-0000-0000D7060000}"/>
    <cellStyle name="Currency 2 3 4 2" xfId="3684" xr:uid="{B6DAC212-76D0-4970-9D90-5B47E8AC247D}"/>
    <cellStyle name="Currency 2 3 5" xfId="3929" xr:uid="{EEC8E071-79FF-4E3A-8F26-DF3DFCADE832}"/>
    <cellStyle name="Currency 2 4" xfId="1740" xr:uid="{00000000-0005-0000-0000-000081060000}"/>
    <cellStyle name="Currency 2 4 2" xfId="2978" xr:uid="{00000000-0005-0000-0000-0000D9060000}"/>
    <cellStyle name="Currency 2 4 2 2" xfId="3694" xr:uid="{51BCEE12-50F5-448B-9E89-49886AE60440}"/>
    <cellStyle name="Currency 2 4 3" xfId="6868" xr:uid="{1AA553B8-CAB8-4C1D-BE54-E52891DA7920}"/>
    <cellStyle name="Currency 2 4 4" xfId="3947" xr:uid="{6AF23F70-82DE-4522-8018-76C904200F39}"/>
    <cellStyle name="Currency 2 5" xfId="3928" xr:uid="{9E00DE4F-F3DD-4970-862C-50E0CBA9C68B}"/>
    <cellStyle name="Currency 2 5 2" xfId="5075" xr:uid="{A78E44D4-4561-465E-A8DF-2A3F2CD174E4}"/>
    <cellStyle name="Currency 2 6" xfId="5577" xr:uid="{E4D0E0B2-4164-4048-B633-BBCDC05947EB}"/>
    <cellStyle name="Currency 2 7" xfId="5399" xr:uid="{7E32ECDA-3B4A-45A5-A9F5-FFCC5A318094}"/>
    <cellStyle name="Currency 2 8" xfId="5179" xr:uid="{676F14D7-3171-4BF4-8A40-ACB326969A65}"/>
    <cellStyle name="Currency 2 9" xfId="5404" xr:uid="{612D1484-570F-4A0C-AA94-17CD43611E44}"/>
    <cellStyle name="Currency 20" xfId="1741" xr:uid="{00000000-0005-0000-0000-000082060000}"/>
    <cellStyle name="Currency 20 2" xfId="1742" xr:uid="{00000000-0005-0000-0000-000083060000}"/>
    <cellStyle name="Currency 20 2 2" xfId="4798" xr:uid="{887A8983-4DBE-40AA-8264-087C896504B0}"/>
    <cellStyle name="Currency 20 3" xfId="4797" xr:uid="{5485B3CD-DD27-45E0-BF58-635D4A690461}"/>
    <cellStyle name="Currency 20 3 2" xfId="5461" xr:uid="{EA393EA5-66A8-4188-AF1B-9C6634F28F04}"/>
    <cellStyle name="Currency 20 4" xfId="5475" xr:uid="{A57F51B4-3F66-468E-94EF-600615048AD0}"/>
    <cellStyle name="Currency 20 4 2" xfId="5457" xr:uid="{8F7B8D11-BC91-4E6A-818B-759FC3FD24A6}"/>
    <cellStyle name="Currency 20 5" xfId="5537" xr:uid="{FAF994C7-AC38-4FDE-BC63-7990C380DFD4}"/>
    <cellStyle name="Currency 20 5 2" xfId="5449" xr:uid="{E60F8EA5-269B-4FE5-8C6F-1758753B2AEE}"/>
    <cellStyle name="Currency 20 6" xfId="5638" xr:uid="{758C1D4D-5B71-44A8-BF36-482A1AA2BBF8}"/>
    <cellStyle name="Currency 20 6 2" xfId="5441" xr:uid="{C8387784-CB46-4F58-9080-672A20105219}"/>
    <cellStyle name="Currency 20 7" xfId="5501" xr:uid="{D6F413D8-4C0D-43F0-A18A-145F4433EEAB}"/>
    <cellStyle name="Currency 20 8" xfId="5307" xr:uid="{26FA3F73-2792-47DD-B448-838B32503F80}"/>
    <cellStyle name="Currency 21" xfId="1743" xr:uid="{00000000-0005-0000-0000-000084060000}"/>
    <cellStyle name="Currency 21 2" xfId="1744" xr:uid="{00000000-0005-0000-0000-000085060000}"/>
    <cellStyle name="Currency 21 2 2" xfId="4881" xr:uid="{7C58397A-6F96-4073-AF86-3093199D8E9D}"/>
    <cellStyle name="Currency 21 3" xfId="4764" xr:uid="{64138317-8FF7-4DD8-BB3E-1635136863E2}"/>
    <cellStyle name="Currency 21 3 2" xfId="4880" xr:uid="{265A372B-9ACD-4FC5-A21E-1981B59446F4}"/>
    <cellStyle name="Currency 21 4" xfId="4799" xr:uid="{6C94661C-E1B5-4748-80F6-02D12B6AD207}"/>
    <cellStyle name="Currency 21 4 2" xfId="5483" xr:uid="{DE9E52D5-E38C-485B-BA6A-CC8C68BDC9C4}"/>
    <cellStyle name="Currency 21 5" xfId="5613" xr:uid="{0170C64F-25AD-4FF3-9AB0-947C77FC5AF7}"/>
    <cellStyle name="Currency 21 5 2" xfId="5529" xr:uid="{478A9BDD-4AA6-4C70-9060-25926865C092}"/>
    <cellStyle name="Currency 21 6" xfId="5491" xr:uid="{E906867D-43CA-45BF-B3BA-9A4240AEDC10}"/>
    <cellStyle name="Currency 21 6 2" xfId="5112" xr:uid="{D9E18981-322E-4B26-8B16-A1E19545A78D}"/>
    <cellStyle name="Currency 21 7" xfId="5103" xr:uid="{97CF573E-1AC7-47B4-A59C-7CC851F8284F}"/>
    <cellStyle name="Currency 22" xfId="1745" xr:uid="{00000000-0005-0000-0000-000086060000}"/>
    <cellStyle name="Currency 22 2" xfId="1746" xr:uid="{00000000-0005-0000-0000-000087060000}"/>
    <cellStyle name="Currency 22 2 2" xfId="4801" xr:uid="{38D58D33-2C0F-4A72-8655-1D5CD22B43C0}"/>
    <cellStyle name="Currency 22 3" xfId="4800" xr:uid="{EEB21E21-A3F9-47B9-8354-8F4B578CE236}"/>
    <cellStyle name="Currency 22 3 2" xfId="5583" xr:uid="{F357E232-F893-4DD3-A937-A140021C6780}"/>
    <cellStyle name="Currency 22 4" xfId="5474" xr:uid="{03BE52C8-0BE0-48C1-BE5D-D867D5133C71}"/>
    <cellStyle name="Currency 22 4 2" xfId="5456" xr:uid="{5A17BB58-396A-4F2D-AE3B-A6E074D51486}"/>
    <cellStyle name="Currency 22 5" xfId="5580" xr:uid="{36CF920A-0D6E-45B7-ABD5-1B5394437302}"/>
    <cellStyle name="Currency 22 5 2" xfId="5448" xr:uid="{993106E2-9A07-4CD2-8B39-70C8AC13FACB}"/>
    <cellStyle name="Currency 22 6" xfId="5609" xr:uid="{6EB81D47-094C-4A82-9009-77A29C8BAFDE}"/>
    <cellStyle name="Currency 22 6 2" xfId="5440" xr:uid="{4A7A43C0-7E8D-426B-8524-9AEC456DDF56}"/>
    <cellStyle name="Currency 22 7" xfId="5497" xr:uid="{8D2161FA-E4E1-474C-80EF-8DDC261ABFC0}"/>
    <cellStyle name="Currency 23" xfId="1747" xr:uid="{00000000-0005-0000-0000-000088060000}"/>
    <cellStyle name="Currency 23 2" xfId="1748" xr:uid="{00000000-0005-0000-0000-000089060000}"/>
    <cellStyle name="Currency 23 2 2" xfId="4883" xr:uid="{0181EFDC-E255-428E-98A9-54407FD3F108}"/>
    <cellStyle name="Currency 23 3" xfId="4765" xr:uid="{7B8C8F62-88A3-45AF-8417-6791F278F9BB}"/>
    <cellStyle name="Currency 23 3 2" xfId="4882" xr:uid="{619A9C52-F311-440B-98AA-44D0A06E97D1}"/>
    <cellStyle name="Currency 23 4" xfId="4802" xr:uid="{754EB0E5-08B4-489E-AAFB-A09CA918D5E8}"/>
    <cellStyle name="Currency 23 4 2" xfId="5185" xr:uid="{63DA8251-3066-470C-9E57-028338BA061C}"/>
    <cellStyle name="Currency 23 5" xfId="5471" xr:uid="{3D6F018F-8A35-4564-8A88-30C527A65B14}"/>
    <cellStyle name="Currency 23 5 2" xfId="5571" xr:uid="{6FFBA7FA-2B85-4083-830F-BFDFF5884330}"/>
    <cellStyle name="Currency 23 6" xfId="5492" xr:uid="{4ABD46B9-840C-4454-8B99-5AA593A3F8A3}"/>
    <cellStyle name="Currency 23 6 2" xfId="5637" xr:uid="{24943D01-5502-4BB6-AC7B-8097430804E5}"/>
    <cellStyle name="Currency 23 7" xfId="5104" xr:uid="{8FF3C1CC-9835-4788-9569-C8F55E1864D4}"/>
    <cellStyle name="Currency 24" xfId="1749" xr:uid="{00000000-0005-0000-0000-00008A060000}"/>
    <cellStyle name="Currency 24 2" xfId="1750" xr:uid="{00000000-0005-0000-0000-00008B060000}"/>
    <cellStyle name="Currency 24 2 2" xfId="4885" xr:uid="{5BFB8FA1-AE49-494B-BB1F-F979E0BBB228}"/>
    <cellStyle name="Currency 24 3" xfId="4766" xr:uid="{D7CAF38E-22D5-4565-9D6A-8EF425C0EFB4}"/>
    <cellStyle name="Currency 24 3 2" xfId="4884" xr:uid="{AB0E18D5-A74C-4565-AFFD-C6FA690169A6}"/>
    <cellStyle name="Currency 24 4" xfId="4803" xr:uid="{2D3D47F6-B05A-4A88-BCFC-97981E5C172E}"/>
    <cellStyle name="Currency 24 4 2" xfId="5585" xr:uid="{7FEF79E1-3DA5-44C8-ACF9-BEFC4A86B0AF}"/>
    <cellStyle name="Currency 24 5" xfId="5536" xr:uid="{408FD0C2-22EC-40EA-ACF3-E6CB07F0EF80}"/>
    <cellStyle name="Currency 24 5 2" xfId="5447" xr:uid="{000409DE-0C65-4A0E-BE9C-B2E6C5F3073B}"/>
    <cellStyle name="Currency 24 6" xfId="5467" xr:uid="{086E574D-D1B4-44FB-BCFE-59E74D86F35A}"/>
    <cellStyle name="Currency 24 6 2" xfId="5439" xr:uid="{593C0004-6A37-4D79-8C78-C73257D0BDE3}"/>
    <cellStyle name="Currency 24 7" xfId="5498" xr:uid="{A69CF84E-09EA-485F-80BF-47C763004D76}"/>
    <cellStyle name="Currency 25 2" xfId="5306" xr:uid="{AF43BEA9-7B56-4D55-AAAB-14C3176D184F}"/>
    <cellStyle name="Currency 26 2" xfId="5305" xr:uid="{706D2B7E-2607-49B6-8B23-F5402293B1CC}"/>
    <cellStyle name="Currency 27" xfId="1751" xr:uid="{00000000-0005-0000-0000-00008C060000}"/>
    <cellStyle name="Currency 27 2" xfId="1752" xr:uid="{00000000-0005-0000-0000-00008D060000}"/>
    <cellStyle name="Currency 27 2 2" xfId="4887" xr:uid="{85BF0EE1-3D92-480F-82ED-585518E9DD63}"/>
    <cellStyle name="Currency 27 3" xfId="4767" xr:uid="{0E552626-09FA-428E-9632-EAFFAD55D95F}"/>
    <cellStyle name="Currency 27 3 2" xfId="4886" xr:uid="{647C8B23-05EB-462A-93EF-F56C8740B67A}"/>
    <cellStyle name="Currency 27 4" xfId="4804" xr:uid="{A0E32577-E440-4741-865C-4B3831D3841B}"/>
    <cellStyle name="Currency 27 4 2" xfId="5455" xr:uid="{3C31F4D8-535A-4606-B6ED-617686D8B1C0}"/>
    <cellStyle name="Currency 27 5" xfId="5612" xr:uid="{49670BAA-9A5C-4B63-9DD4-0547528E54D1}"/>
    <cellStyle name="Currency 27 5 2" xfId="5528" xr:uid="{AB1A746A-8100-4F11-879B-F210F9E4BC27}"/>
    <cellStyle name="Currency 27 6" xfId="5493" xr:uid="{4A6B7989-23D3-4511-9E89-AC1816AF8074}"/>
    <cellStyle name="Currency 27 6 2" xfId="5183" xr:uid="{4B21B294-D436-47BF-A8BC-36BA6360CA2A}"/>
    <cellStyle name="Currency 27 7" xfId="5663" xr:uid="{13F4751D-A519-4FA5-8F45-406EF8C7E1EF}"/>
    <cellStyle name="Currency 28" xfId="1753" xr:uid="{00000000-0005-0000-0000-00008E060000}"/>
    <cellStyle name="Currency 28 2" xfId="1754" xr:uid="{00000000-0005-0000-0000-00008F060000}"/>
    <cellStyle name="Currency 28 2 2" xfId="4889" xr:uid="{3FEF2FDC-A2D4-4706-A4F4-C34575A79594}"/>
    <cellStyle name="Currency 28 3" xfId="4768" xr:uid="{044EA544-FE81-49E1-8558-677EF4F04A8B}"/>
    <cellStyle name="Currency 28 3 2" xfId="4888" xr:uid="{D497B797-2C94-4255-9143-47A257DAC2F5}"/>
    <cellStyle name="Currency 28 4" xfId="4805" xr:uid="{F1767AC7-A562-4CE5-BF8C-BD0AB1EFD5E1}"/>
    <cellStyle name="Currency 28 4 2" xfId="5532" xr:uid="{A18A0E95-257C-4735-9D7C-40E58E59804F}"/>
    <cellStyle name="Currency 28 5" xfId="5581" xr:uid="{ED3AA43E-8E15-4F09-8FDD-DF72CF32C100}"/>
    <cellStyle name="Currency 28 5 2" xfId="5446" xr:uid="{A509B9AD-F684-44EB-B6B8-44274DBC39D7}"/>
    <cellStyle name="Currency 28 6" xfId="5608" xr:uid="{17B23315-65F0-4519-BA8A-1794EE7923CD}"/>
    <cellStyle name="Currency 28 6 2" xfId="5488" xr:uid="{BA65FF77-68FA-4960-902C-47BA4632AB88}"/>
    <cellStyle name="Currency 28 7" xfId="5499" xr:uid="{934F231C-6BB7-4F44-88E0-0FFB20C76CB7}"/>
    <cellStyle name="Currency 29 2" xfId="5304" xr:uid="{16B51BF9-1EF5-4774-982F-DB70D79A05D8}"/>
    <cellStyle name="Currency 3" xfId="141" xr:uid="{00000000-0005-0000-0000-000090060000}"/>
    <cellStyle name="Currency 3 10" xfId="6845" xr:uid="{E623147D-8114-401E-AC77-7731BDE42585}"/>
    <cellStyle name="Currency 3 10 2" xfId="8383" xr:uid="{15C2463C-0EBC-45D5-8B5D-B802BFDE515C}"/>
    <cellStyle name="Currency 3 10 3" xfId="7633" xr:uid="{E37BF949-AB7F-4865-AFAB-AF60AB35364E}"/>
    <cellStyle name="Currency 3 11" xfId="4724" xr:uid="{04F255C5-82D5-4192-BD83-9FDAB5B38EF4}"/>
    <cellStyle name="Currency 3 2" xfId="1755" xr:uid="{00000000-0005-0000-0000-000091060000}"/>
    <cellStyle name="Currency 3 2 2" xfId="4890" xr:uid="{7AD10F1E-4D7D-425E-87B8-DB4AF7ECC6EF}"/>
    <cellStyle name="Currency 3 3" xfId="3930" xr:uid="{0F07C937-FAE5-47E0-9F80-18B231FEDC2A}"/>
    <cellStyle name="Currency 3 3 2" xfId="4832" xr:uid="{F7CB53AC-5F7C-4923-A1D7-183A1C7A8D44}"/>
    <cellStyle name="Currency 3 4" xfId="4814" xr:uid="{20E56A28-C1F6-4A38-ADDD-3134BE5A0C1A}"/>
    <cellStyle name="Currency 3 4 2" xfId="4939" xr:uid="{4391731A-4527-451F-B12C-CB0305072506}"/>
    <cellStyle name="Currency 3 4 2 2" xfId="6933" xr:uid="{4A052F7F-9071-4D32-9725-3C06047D38E5}"/>
    <cellStyle name="Currency 3 4 2 2 2" xfId="8452" xr:uid="{85D9713B-4325-46C4-A1D7-D62B7A9FA256}"/>
    <cellStyle name="Currency 3 4 2 3" xfId="7702" xr:uid="{0710AF97-EF3F-496E-8DB6-EDA3BCCA0FDA}"/>
    <cellStyle name="Currency 3 4 3" xfId="4988" xr:uid="{30B3A568-8375-4295-9B68-A362FC96AC63}"/>
    <cellStyle name="Currency 3 4 3 2" xfId="6982" xr:uid="{5E3601E5-5D9E-45AC-A89A-DA067AA44BF8}"/>
    <cellStyle name="Currency 3 4 3 2 2" xfId="8501" xr:uid="{7B5756D6-E351-41BE-993F-2DBA62D8D373}"/>
    <cellStyle name="Currency 3 4 3 3" xfId="7751" xr:uid="{E111BD5B-D1FD-47CA-894A-AFD010EE8869}"/>
    <cellStyle name="Currency 3 4 4" xfId="5519" xr:uid="{B851537A-7A8B-4079-8B32-5619DB1ECE53}"/>
    <cellStyle name="Currency 3 4 5" xfId="6883" xr:uid="{263A9AA6-4F0D-4DA0-B638-D4A7D3255B59}"/>
    <cellStyle name="Currency 3 4 5 2" xfId="8406" xr:uid="{F5F7E3EB-D7F2-4470-AEDF-2E44A510A105}"/>
    <cellStyle name="Currency 3 4 6" xfId="7656" xr:uid="{F2C4EB1E-6A1C-4F5D-BAEE-C98C1B19BD73}"/>
    <cellStyle name="Currency 3 5" xfId="4916" xr:uid="{8E57CFC2-8952-4FF3-8714-5BE81C533B9C}"/>
    <cellStyle name="Currency 3 5 2" xfId="5403" xr:uid="{1DBEA73C-ABFD-4470-8102-B49D8C8941AB}"/>
    <cellStyle name="Currency 3 5 3" xfId="6910" xr:uid="{9DBE57A2-40AB-4DCF-9ED4-13FD901BD06F}"/>
    <cellStyle name="Currency 3 5 3 2" xfId="8429" xr:uid="{1E91F152-FBAF-4DD4-8165-349AF756518E}"/>
    <cellStyle name="Currency 3 5 4" xfId="7679" xr:uid="{0BAD9AF3-2F26-4CF2-B356-ADF2DC7B39CE}"/>
    <cellStyle name="Currency 3 6" xfId="4965" xr:uid="{B6C84584-03AD-4C28-A6CD-35B2F4B33BE7}"/>
    <cellStyle name="Currency 3 6 2" xfId="5632" xr:uid="{54F2D811-5B4C-433A-8082-2A0C3ACE3B14}"/>
    <cellStyle name="Currency 3 6 3" xfId="6959" xr:uid="{45772321-EA3A-43EC-87B5-4E6317110B54}"/>
    <cellStyle name="Currency 3 6 3 2" xfId="8478" xr:uid="{EC5C71B4-8DA4-4093-B3D7-E4F5145BDEEB}"/>
    <cellStyle name="Currency 3 6 4" xfId="7728" xr:uid="{BB5C236A-DCDA-41BE-BF81-43012D0FB9CD}"/>
    <cellStyle name="Currency 3 7" xfId="5402" xr:uid="{8EC19F84-143B-4380-A928-6285AFA1F185}"/>
    <cellStyle name="Currency 3 8" xfId="5518" xr:uid="{CCB26A46-23C6-42DC-8F52-F98C2E54EE73}"/>
    <cellStyle name="Currency 3 9" xfId="5487" xr:uid="{ED9775E0-4CCD-4F62-A540-C8B399FAAD05}"/>
    <cellStyle name="Currency 3 9 2" xfId="7075" xr:uid="{29CF65C1-99E3-408A-A8FE-102BB844BE2B}"/>
    <cellStyle name="Currency 3 9 2 2" xfId="8593" xr:uid="{FC1B9A2C-8B33-41CC-843E-DFF06BB7596D}"/>
    <cellStyle name="Currency 3 9 3" xfId="7843" xr:uid="{4E0EFEE4-8F18-4A8C-A12E-B6C3FC8C9FBD}"/>
    <cellStyle name="Currency 35" xfId="5479" xr:uid="{428189CE-996B-40EF-A4AE-FE371B7535EF}"/>
    <cellStyle name="Currency 35 2" xfId="5101" xr:uid="{CF425D9C-75A6-49AF-9D2D-BE62354E2CF4}"/>
    <cellStyle name="Currency 35 3" xfId="5127" xr:uid="{94153CC2-7BF3-4AC4-8B83-E7B1CAAEE462}"/>
    <cellStyle name="Currency 36" xfId="1756" xr:uid="{00000000-0005-0000-0000-000092060000}"/>
    <cellStyle name="Currency 36 2" xfId="1757" xr:uid="{00000000-0005-0000-0000-000093060000}"/>
    <cellStyle name="Currency 36 2 2" xfId="4807" xr:uid="{406827B4-44A9-446C-A408-01F811FED1A0}"/>
    <cellStyle name="Currency 36 3" xfId="4806" xr:uid="{6A84D00C-C9DA-42F0-9427-012FF5C51A54}"/>
    <cellStyle name="Currency 37" xfId="5401" xr:uid="{57A9DCBF-7881-4A81-AC3B-2948625D5E09}"/>
    <cellStyle name="Currency 39" xfId="5618" xr:uid="{A70DFACA-0477-4454-8955-26BD850C2A77}"/>
    <cellStyle name="Currency 39 2" xfId="1758" xr:uid="{00000000-0005-0000-0000-000094060000}"/>
    <cellStyle name="Currency 39 2 2" xfId="4891" xr:uid="{4F727059-90E0-4206-80AE-586C38FC7170}"/>
    <cellStyle name="Currency 39 3" xfId="5303" xr:uid="{1A3202B8-96DC-44A1-ACE8-0B1E886C5FF0}"/>
    <cellStyle name="Currency 4" xfId="3527" xr:uid="{CA51468C-BE9E-46C7-AF45-8ACCFF001845}"/>
    <cellStyle name="Currency 4 2" xfId="3821" xr:uid="{FABB9DFB-C2A1-47CB-8F26-F5A1ACFAF763}"/>
    <cellStyle name="Currency 4 2 2" xfId="5557" xr:uid="{9BA98ACA-875E-43C0-BA12-CBB9D4D4E0E4}"/>
    <cellStyle name="Currency 4 2 3" xfId="4673" xr:uid="{37E11678-628B-49B0-B118-51997DC22CCF}"/>
    <cellStyle name="Currency 4 3" xfId="3868" xr:uid="{221ADD6B-2D6C-4B31-9A51-9D45FED2A98B}"/>
    <cellStyle name="Currency 4 3 2" xfId="5556" xr:uid="{78A18CD3-EF77-440F-9ECD-BCFE2299D431}"/>
    <cellStyle name="Currency 4 3 3" xfId="4720" xr:uid="{0A1CD5B3-EA57-41EF-9D89-BD7555ED5969}"/>
    <cellStyle name="Currency 4 4" xfId="4397" xr:uid="{75A34B38-762F-45A1-918F-E6E74DDB95CF}"/>
    <cellStyle name="Currency 4 5" xfId="5631" xr:uid="{DAD046AA-27F3-48AF-B768-F626E29AAB26}"/>
    <cellStyle name="Currency 4 6" xfId="4083" xr:uid="{80D4F53E-CD95-4229-90A2-00D9FE8FB7DD}"/>
    <cellStyle name="Currency 42" xfId="5400" xr:uid="{A61F1DA5-A3AF-4F22-9049-0828FE326AD4}"/>
    <cellStyle name="Currency 43" xfId="5178" xr:uid="{B6BB89C3-0AF0-4DA3-96D3-D3C21E30CE1B}"/>
    <cellStyle name="Currency 43 2" xfId="1759" xr:uid="{00000000-0005-0000-0000-000095060000}"/>
    <cellStyle name="Currency 43 2 2" xfId="4808" xr:uid="{C426711E-8FB7-4007-9307-590561FA91D9}"/>
    <cellStyle name="Currency 44" xfId="5486" xr:uid="{BB3A1522-EB03-4327-8FD5-E60044514E44}"/>
    <cellStyle name="Currency 45" xfId="5555" xr:uid="{BDC4FACA-5FB0-41A0-BD25-02705B46A3C5}"/>
    <cellStyle name="Currency 45 2" xfId="7081" xr:uid="{9D613A60-7389-442A-B656-7C4D94E40F14}"/>
    <cellStyle name="Currency 45 2 2" xfId="8598" xr:uid="{D00D9221-9ACD-433D-9891-83276CC02572}"/>
    <cellStyle name="Currency 45 3" xfId="7848" xr:uid="{4D768B6D-6E67-4052-AA44-70A4F3B53F44}"/>
    <cellStyle name="Currency 5" xfId="5517" xr:uid="{72B55B98-F3D9-4D02-8C6A-7D822A2D5DFD}"/>
    <cellStyle name="Currency 5 2" xfId="7079" xr:uid="{2C7369E0-67D8-4225-A48E-442C0A16E6F1}"/>
    <cellStyle name="Currency 5 2 2" xfId="8597" xr:uid="{76F3A56F-DD14-4D1C-8F60-77079A05160E}"/>
    <cellStyle name="Currency 5 3" xfId="7847" xr:uid="{97285018-5C78-46A2-9C28-9CF2C899C5F3}"/>
    <cellStyle name="Currency 6" xfId="7343" xr:uid="{9577E005-2826-48F1-BEDF-6A54DAF3D3CB}"/>
    <cellStyle name="Currency0" xfId="142" xr:uid="{00000000-0005-0000-0000-000096060000}"/>
    <cellStyle name="Currency0 2" xfId="2532" xr:uid="{00000000-0005-0000-0000-000097060000}"/>
    <cellStyle name="Currency0 2 2" xfId="4906" xr:uid="{C410B826-CA51-42F7-B720-E03B813FC6D6}"/>
    <cellStyle name="Currency0 3" xfId="2969" xr:uid="{00000000-0005-0000-0000-0000F0060000}"/>
    <cellStyle name="Currency0 3 2" xfId="3685" xr:uid="{985A8A5C-D63E-4D47-A7D7-A55BDFDC0182}"/>
    <cellStyle name="Currency0 4" xfId="3931" xr:uid="{2E0901DB-9BFF-428E-B18D-9BC5916330FF}"/>
    <cellStyle name="Date" xfId="143" xr:uid="{00000000-0005-0000-0000-000098060000}"/>
    <cellStyle name="Decimal 2 (e.g. 1,000.00)" xfId="144" xr:uid="{00000000-0005-0000-0000-000099060000}"/>
    <cellStyle name="Decimal 2 (e.g. 1,000.00) 2" xfId="6366" xr:uid="{A2CAFE02-F774-40FD-AEF7-D2C66CC81E6C}"/>
    <cellStyle name="Decimal 2 (e.g. 1,000.00) 3" xfId="6804" xr:uid="{AEB3B369-B39C-4DFE-AC81-51F58B968675}"/>
    <cellStyle name="Double Underline" xfId="145" xr:uid="{00000000-0005-0000-0000-00009A060000}"/>
    <cellStyle name="Double Underscore" xfId="146" xr:uid="{00000000-0005-0000-0000-00009B060000}"/>
    <cellStyle name="Double Underscore 2" xfId="6367" xr:uid="{D040EB2B-AB39-4435-B734-3B5CEC9BAFD5}"/>
    <cellStyle name="Double Underscore 3" xfId="6805" xr:uid="{461061E3-1AD4-4EB1-ACE2-966470EC68D8}"/>
    <cellStyle name="Emphasis 1" xfId="147" xr:uid="{00000000-0005-0000-0000-00009C060000}"/>
    <cellStyle name="Emphasis 2" xfId="148" xr:uid="{00000000-0005-0000-0000-00009D060000}"/>
    <cellStyle name="Emphasis 3" xfId="149" xr:uid="{00000000-0005-0000-0000-00009E060000}"/>
    <cellStyle name="Explanatory Text 10 2" xfId="1760" xr:uid="{00000000-0005-0000-0000-00009F060000}"/>
    <cellStyle name="Explanatory Text 10 3" xfId="1761" xr:uid="{00000000-0005-0000-0000-0000A0060000}"/>
    <cellStyle name="Explanatory Text 10 4" xfId="1762" xr:uid="{00000000-0005-0000-0000-0000A1060000}"/>
    <cellStyle name="Explanatory Text 10 5" xfId="1763" xr:uid="{00000000-0005-0000-0000-0000A2060000}"/>
    <cellStyle name="Explanatory Text 10 6" xfId="1764" xr:uid="{00000000-0005-0000-0000-0000A3060000}"/>
    <cellStyle name="Explanatory Text 11 2" xfId="1765" xr:uid="{00000000-0005-0000-0000-0000A4060000}"/>
    <cellStyle name="Explanatory Text 11 3" xfId="1766" xr:uid="{00000000-0005-0000-0000-0000A5060000}"/>
    <cellStyle name="Explanatory Text 11 4" xfId="1767" xr:uid="{00000000-0005-0000-0000-0000A6060000}"/>
    <cellStyle name="Explanatory Text 11 5" xfId="1768" xr:uid="{00000000-0005-0000-0000-0000A7060000}"/>
    <cellStyle name="Explanatory Text 11 6" xfId="1769" xr:uid="{00000000-0005-0000-0000-0000A8060000}"/>
    <cellStyle name="Explanatory Text 2" xfId="1770" xr:uid="{00000000-0005-0000-0000-0000A9060000}"/>
    <cellStyle name="Explanatory Text 2 2" xfId="1771" xr:uid="{00000000-0005-0000-0000-0000AA060000}"/>
    <cellStyle name="Explanatory Text 2 3" xfId="1772" xr:uid="{00000000-0005-0000-0000-0000AB060000}"/>
    <cellStyle name="Explanatory Text 2 4" xfId="1773" xr:uid="{00000000-0005-0000-0000-0000AC060000}"/>
    <cellStyle name="Explanatory Text 2 5" xfId="1774" xr:uid="{00000000-0005-0000-0000-0000AD060000}"/>
    <cellStyle name="Explanatory Text 2 6" xfId="1775" xr:uid="{00000000-0005-0000-0000-0000AE060000}"/>
    <cellStyle name="Explanatory Text 2 7" xfId="5554" xr:uid="{14D6B61A-9186-4EE7-981F-9964CDF138C3}"/>
    <cellStyle name="Explanatory Text 3" xfId="1776" xr:uid="{00000000-0005-0000-0000-0000AF060000}"/>
    <cellStyle name="Explanatory Text 3 2" xfId="1777" xr:uid="{00000000-0005-0000-0000-0000B0060000}"/>
    <cellStyle name="Explanatory Text 3 3" xfId="1778" xr:uid="{00000000-0005-0000-0000-0000B1060000}"/>
    <cellStyle name="Explanatory Text 3 4" xfId="1779" xr:uid="{00000000-0005-0000-0000-0000B2060000}"/>
    <cellStyle name="Explanatory Text 3 5" xfId="1780" xr:uid="{00000000-0005-0000-0000-0000B3060000}"/>
    <cellStyle name="Explanatory Text 3 6" xfId="1781" xr:uid="{00000000-0005-0000-0000-0000B4060000}"/>
    <cellStyle name="Explanatory Text 4 2" xfId="1782" xr:uid="{00000000-0005-0000-0000-0000B5060000}"/>
    <cellStyle name="Explanatory Text 4 3" xfId="1783" xr:uid="{00000000-0005-0000-0000-0000B6060000}"/>
    <cellStyle name="Explanatory Text 4 4" xfId="1784" xr:uid="{00000000-0005-0000-0000-0000B7060000}"/>
    <cellStyle name="Explanatory Text 4 5" xfId="1785" xr:uid="{00000000-0005-0000-0000-0000B8060000}"/>
    <cellStyle name="Explanatory Text 4 6" xfId="1786" xr:uid="{00000000-0005-0000-0000-0000B9060000}"/>
    <cellStyle name="Explanatory Text 5 2" xfId="1787" xr:uid="{00000000-0005-0000-0000-0000BA060000}"/>
    <cellStyle name="Explanatory Text 5 3" xfId="1788" xr:uid="{00000000-0005-0000-0000-0000BB060000}"/>
    <cellStyle name="Explanatory Text 5 4" xfId="1789" xr:uid="{00000000-0005-0000-0000-0000BC060000}"/>
    <cellStyle name="Explanatory Text 5 5" xfId="1790" xr:uid="{00000000-0005-0000-0000-0000BD060000}"/>
    <cellStyle name="Explanatory Text 5 6" xfId="1791" xr:uid="{00000000-0005-0000-0000-0000BE060000}"/>
    <cellStyle name="Explanatory Text 6 2" xfId="1792" xr:uid="{00000000-0005-0000-0000-0000BF060000}"/>
    <cellStyle name="Explanatory Text 6 3" xfId="1793" xr:uid="{00000000-0005-0000-0000-0000C0060000}"/>
    <cellStyle name="Explanatory Text 6 4" xfId="1794" xr:uid="{00000000-0005-0000-0000-0000C1060000}"/>
    <cellStyle name="Explanatory Text 6 5" xfId="1795" xr:uid="{00000000-0005-0000-0000-0000C2060000}"/>
    <cellStyle name="Explanatory Text 6 6" xfId="1796" xr:uid="{00000000-0005-0000-0000-0000C3060000}"/>
    <cellStyle name="Explanatory Text 7 2" xfId="1797" xr:uid="{00000000-0005-0000-0000-0000C4060000}"/>
    <cellStyle name="Explanatory Text 7 3" xfId="1798" xr:uid="{00000000-0005-0000-0000-0000C5060000}"/>
    <cellStyle name="Explanatory Text 7 4" xfId="1799" xr:uid="{00000000-0005-0000-0000-0000C6060000}"/>
    <cellStyle name="Explanatory Text 7 5" xfId="1800" xr:uid="{00000000-0005-0000-0000-0000C7060000}"/>
    <cellStyle name="Explanatory Text 7 6" xfId="1801" xr:uid="{00000000-0005-0000-0000-0000C8060000}"/>
    <cellStyle name="Explanatory Text 8 2" xfId="1802" xr:uid="{00000000-0005-0000-0000-0000C9060000}"/>
    <cellStyle name="Explanatory Text 8 3" xfId="1803" xr:uid="{00000000-0005-0000-0000-0000CA060000}"/>
    <cellStyle name="Explanatory Text 8 4" xfId="1804" xr:uid="{00000000-0005-0000-0000-0000CB060000}"/>
    <cellStyle name="Explanatory Text 8 5" xfId="1805" xr:uid="{00000000-0005-0000-0000-0000CC060000}"/>
    <cellStyle name="Explanatory Text 8 6" xfId="1806" xr:uid="{00000000-0005-0000-0000-0000CD060000}"/>
    <cellStyle name="Explanatory Text 9 2" xfId="1807" xr:uid="{00000000-0005-0000-0000-0000CE060000}"/>
    <cellStyle name="Explanatory Text 9 3" xfId="1808" xr:uid="{00000000-0005-0000-0000-0000CF060000}"/>
    <cellStyle name="Explanatory Text 9 4" xfId="1809" xr:uid="{00000000-0005-0000-0000-0000D0060000}"/>
    <cellStyle name="Explanatory Text 9 5" xfId="1810" xr:uid="{00000000-0005-0000-0000-0000D1060000}"/>
    <cellStyle name="Explanatory Text 9 6" xfId="1811" xr:uid="{00000000-0005-0000-0000-0000D2060000}"/>
    <cellStyle name="F2" xfId="150" xr:uid="{00000000-0005-0000-0000-0000D3060000}"/>
    <cellStyle name="F3" xfId="151" xr:uid="{00000000-0005-0000-0000-0000D4060000}"/>
    <cellStyle name="F4" xfId="152" xr:uid="{00000000-0005-0000-0000-0000D5060000}"/>
    <cellStyle name="F5" xfId="153" xr:uid="{00000000-0005-0000-0000-0000D6060000}"/>
    <cellStyle name="F6" xfId="154" xr:uid="{00000000-0005-0000-0000-0000D7060000}"/>
    <cellStyle name="F7" xfId="155" xr:uid="{00000000-0005-0000-0000-0000D8060000}"/>
    <cellStyle name="F8" xfId="156" xr:uid="{00000000-0005-0000-0000-0000D9060000}"/>
    <cellStyle name="Fixed" xfId="157" xr:uid="{00000000-0005-0000-0000-0000DA060000}"/>
    <cellStyle name="Good 10 2" xfId="1812" xr:uid="{00000000-0005-0000-0000-0000DB060000}"/>
    <cellStyle name="Good 10 3" xfId="1813" xr:uid="{00000000-0005-0000-0000-0000DC060000}"/>
    <cellStyle name="Good 10 4" xfId="1814" xr:uid="{00000000-0005-0000-0000-0000DD060000}"/>
    <cellStyle name="Good 10 5" xfId="1815" xr:uid="{00000000-0005-0000-0000-0000DE060000}"/>
    <cellStyle name="Good 10 6" xfId="1816" xr:uid="{00000000-0005-0000-0000-0000DF060000}"/>
    <cellStyle name="Good 11 2" xfId="1817" xr:uid="{00000000-0005-0000-0000-0000E0060000}"/>
    <cellStyle name="Good 11 3" xfId="1818" xr:uid="{00000000-0005-0000-0000-0000E1060000}"/>
    <cellStyle name="Good 11 4" xfId="1819" xr:uid="{00000000-0005-0000-0000-0000E2060000}"/>
    <cellStyle name="Good 11 5" xfId="1820" xr:uid="{00000000-0005-0000-0000-0000E3060000}"/>
    <cellStyle name="Good 11 6" xfId="1821" xr:uid="{00000000-0005-0000-0000-0000E4060000}"/>
    <cellStyle name="Good 2" xfId="158" xr:uid="{00000000-0005-0000-0000-0000E5060000}"/>
    <cellStyle name="Good 2 2" xfId="1822" xr:uid="{00000000-0005-0000-0000-0000E6060000}"/>
    <cellStyle name="Good 2 3" xfId="1823" xr:uid="{00000000-0005-0000-0000-0000E7060000}"/>
    <cellStyle name="Good 2 3 2" xfId="5205" xr:uid="{652F7DA1-520A-4B50-8901-B6C81F058CCC}"/>
    <cellStyle name="Good 2 3 3" xfId="5397" xr:uid="{01A7DBAE-097E-49C2-B18A-A59A77B69FBC}"/>
    <cellStyle name="Good 2 4" xfId="1824" xr:uid="{00000000-0005-0000-0000-0000E8060000}"/>
    <cellStyle name="Good 2 4 2" xfId="5204" xr:uid="{8BAEF91F-1409-48B9-806F-B121FBB2514F}"/>
    <cellStyle name="Good 2 4 3" xfId="5630" xr:uid="{2A68B52B-D728-44B4-A285-FA7D60BE8BC1}"/>
    <cellStyle name="Good 2 5" xfId="1825" xr:uid="{00000000-0005-0000-0000-0000E9060000}"/>
    <cellStyle name="Good 2 5 2" xfId="5543" xr:uid="{EA8DF97D-26CD-4C42-A3D4-EE31E1BF81FF}"/>
    <cellStyle name="Good 2 5 3" xfId="5302" xr:uid="{42607F0C-AD96-498B-8A4D-29C6A4CEA613}"/>
    <cellStyle name="Good 2 6" xfId="1826" xr:uid="{00000000-0005-0000-0000-0000EA060000}"/>
    <cellStyle name="Good 2 6 2" xfId="5558" xr:uid="{70AB7EC2-7D99-43E2-B25E-21AFBA65C2B0}"/>
    <cellStyle name="Good 2 6 3" xfId="5301" xr:uid="{FAA631A8-0676-49E8-9138-0991C14150B3}"/>
    <cellStyle name="Good 2 7" xfId="5300" xr:uid="{43D4C18C-B789-45B2-BDFF-CCDC5AC6BB6A}"/>
    <cellStyle name="Good 2 8" xfId="5299" xr:uid="{177AF4E7-B606-47BD-9171-B870EF43D36B}"/>
    <cellStyle name="Good 3" xfId="159" xr:uid="{00000000-0005-0000-0000-0000EB060000}"/>
    <cellStyle name="Good 3 2" xfId="1828" xr:uid="{00000000-0005-0000-0000-0000EC060000}"/>
    <cellStyle name="Good 3 3" xfId="1829" xr:uid="{00000000-0005-0000-0000-0000ED060000}"/>
    <cellStyle name="Good 3 4" xfId="1830" xr:uid="{00000000-0005-0000-0000-0000EE060000}"/>
    <cellStyle name="Good 3 5" xfId="1831" xr:uid="{00000000-0005-0000-0000-0000EF060000}"/>
    <cellStyle name="Good 3 6" xfId="1832" xr:uid="{00000000-0005-0000-0000-0000F0060000}"/>
    <cellStyle name="Good 3 7" xfId="1833" xr:uid="{00000000-0005-0000-0000-0000F1060000}"/>
    <cellStyle name="Good 3 7 2" xfId="5203" xr:uid="{847D5ECB-CB33-4D86-ABC5-5B644C7A9D58}"/>
    <cellStyle name="Good 3 7 3" xfId="5294" xr:uid="{CBD940E4-9465-49F1-95EB-F18703BB7BB2}"/>
    <cellStyle name="Good 3 8" xfId="1827" xr:uid="{00000000-0005-0000-0000-0000F2060000}"/>
    <cellStyle name="Good 3 9" xfId="4743" xr:uid="{C7876B9E-DE62-4618-B29B-F26B55795AD6}"/>
    <cellStyle name="Good 4" xfId="160" xr:uid="{00000000-0005-0000-0000-0000F3060000}"/>
    <cellStyle name="Good 4 2" xfId="1835" xr:uid="{00000000-0005-0000-0000-0000F4060000}"/>
    <cellStyle name="Good 4 2 2" xfId="5542" xr:uid="{38F86FBF-7012-4868-94D2-EEFE365795C3}"/>
    <cellStyle name="Good 4 2 3" xfId="5298" xr:uid="{B13FD507-CB9D-4978-B08F-D641BAC53C64}"/>
    <cellStyle name="Good 4 3" xfId="1836" xr:uid="{00000000-0005-0000-0000-0000F5060000}"/>
    <cellStyle name="Good 4 4" xfId="1837" xr:uid="{00000000-0005-0000-0000-0000F6060000}"/>
    <cellStyle name="Good 4 5" xfId="1838" xr:uid="{00000000-0005-0000-0000-0000F7060000}"/>
    <cellStyle name="Good 4 6" xfId="1839" xr:uid="{00000000-0005-0000-0000-0000F8060000}"/>
    <cellStyle name="Good 4 7" xfId="1840" xr:uid="{00000000-0005-0000-0000-0000F9060000}"/>
    <cellStyle name="Good 4 8" xfId="1834" xr:uid="{00000000-0005-0000-0000-0000FA060000}"/>
    <cellStyle name="Good 5" xfId="161" xr:uid="{00000000-0005-0000-0000-0000FB060000}"/>
    <cellStyle name="Good 5 2" xfId="1841" xr:uid="{00000000-0005-0000-0000-0000FC060000}"/>
    <cellStyle name="Good 5 3" xfId="1842" xr:uid="{00000000-0005-0000-0000-0000FD060000}"/>
    <cellStyle name="Good 5 4" xfId="1843" xr:uid="{00000000-0005-0000-0000-0000FE060000}"/>
    <cellStyle name="Good 5 5" xfId="1844" xr:uid="{00000000-0005-0000-0000-0000FF060000}"/>
    <cellStyle name="Good 5 6" xfId="1845" xr:uid="{00000000-0005-0000-0000-000000070000}"/>
    <cellStyle name="Good 6" xfId="162" xr:uid="{00000000-0005-0000-0000-000001070000}"/>
    <cellStyle name="Good 6 2" xfId="1846" xr:uid="{00000000-0005-0000-0000-000002070000}"/>
    <cellStyle name="Good 6 3" xfId="1847" xr:uid="{00000000-0005-0000-0000-000003070000}"/>
    <cellStyle name="Good 6 4" xfId="1848" xr:uid="{00000000-0005-0000-0000-000004070000}"/>
    <cellStyle name="Good 6 5" xfId="1849" xr:uid="{00000000-0005-0000-0000-000005070000}"/>
    <cellStyle name="Good 6 6" xfId="1850" xr:uid="{00000000-0005-0000-0000-000006070000}"/>
    <cellStyle name="Good 7" xfId="163" xr:uid="{00000000-0005-0000-0000-000007070000}"/>
    <cellStyle name="Good 7 2" xfId="1851" xr:uid="{00000000-0005-0000-0000-000008070000}"/>
    <cellStyle name="Good 7 3" xfId="1852" xr:uid="{00000000-0005-0000-0000-000009070000}"/>
    <cellStyle name="Good 7 4" xfId="1853" xr:uid="{00000000-0005-0000-0000-00000A070000}"/>
    <cellStyle name="Good 7 5" xfId="1854" xr:uid="{00000000-0005-0000-0000-00000B070000}"/>
    <cellStyle name="Good 7 6" xfId="1855" xr:uid="{00000000-0005-0000-0000-00000C070000}"/>
    <cellStyle name="Good 8 2" xfId="1856" xr:uid="{00000000-0005-0000-0000-00000D070000}"/>
    <cellStyle name="Good 8 3" xfId="1857" xr:uid="{00000000-0005-0000-0000-00000E070000}"/>
    <cellStyle name="Good 8 4" xfId="1858" xr:uid="{00000000-0005-0000-0000-00000F070000}"/>
    <cellStyle name="Good 8 5" xfId="1859" xr:uid="{00000000-0005-0000-0000-000010070000}"/>
    <cellStyle name="Good 8 6" xfId="1860" xr:uid="{00000000-0005-0000-0000-000011070000}"/>
    <cellStyle name="Good 9 2" xfId="1861" xr:uid="{00000000-0005-0000-0000-000012070000}"/>
    <cellStyle name="Good 9 3" xfId="1862" xr:uid="{00000000-0005-0000-0000-000013070000}"/>
    <cellStyle name="Good 9 4" xfId="1863" xr:uid="{00000000-0005-0000-0000-000014070000}"/>
    <cellStyle name="Good 9 5" xfId="1864" xr:uid="{00000000-0005-0000-0000-000015070000}"/>
    <cellStyle name="Good 9 6" xfId="1865" xr:uid="{00000000-0005-0000-0000-000016070000}"/>
    <cellStyle name="Heading 1 10 2" xfId="1866" xr:uid="{00000000-0005-0000-0000-000017070000}"/>
    <cellStyle name="Heading 1 10 3" xfId="1867" xr:uid="{00000000-0005-0000-0000-000018070000}"/>
    <cellStyle name="Heading 1 10 4" xfId="1868" xr:uid="{00000000-0005-0000-0000-000019070000}"/>
    <cellStyle name="Heading 1 10 5" xfId="1869" xr:uid="{00000000-0005-0000-0000-00001A070000}"/>
    <cellStyle name="Heading 1 10 6" xfId="1870" xr:uid="{00000000-0005-0000-0000-00001B070000}"/>
    <cellStyle name="Heading 1 11 2" xfId="1871" xr:uid="{00000000-0005-0000-0000-00001C070000}"/>
    <cellStyle name="Heading 1 11 3" xfId="1872" xr:uid="{00000000-0005-0000-0000-00001D070000}"/>
    <cellStyle name="Heading 1 11 4" xfId="1873" xr:uid="{00000000-0005-0000-0000-00001E070000}"/>
    <cellStyle name="Heading 1 11 5" xfId="1874" xr:uid="{00000000-0005-0000-0000-00001F070000}"/>
    <cellStyle name="Heading 1 11 6" xfId="1875" xr:uid="{00000000-0005-0000-0000-000020070000}"/>
    <cellStyle name="Heading 1 2" xfId="164" xr:uid="{00000000-0005-0000-0000-000021070000}"/>
    <cellStyle name="Heading 1 2 2" xfId="1876" xr:uid="{00000000-0005-0000-0000-000022070000}"/>
    <cellStyle name="Heading 1 2 3" xfId="1877" xr:uid="{00000000-0005-0000-0000-000023070000}"/>
    <cellStyle name="Heading 1 2 3 2" xfId="5667" xr:uid="{8FF3B196-B006-42FB-80BD-4E630BCBAC9C}"/>
    <cellStyle name="Heading 1 2 3 3" xfId="5485" xr:uid="{CAD56C39-5B9F-4CE5-8D6E-7A5A05525668}"/>
    <cellStyle name="Heading 1 2 4" xfId="1878" xr:uid="{00000000-0005-0000-0000-000024070000}"/>
    <cellStyle name="Heading 1 2 4 2" xfId="5156" xr:uid="{5C5C3A95-E19D-4AB2-96C7-81B61BA6C102}"/>
    <cellStyle name="Heading 1 2 4 3" xfId="5629" xr:uid="{9359F3F4-4AB2-490F-8378-F2E256595AE3}"/>
    <cellStyle name="Heading 1 2 5" xfId="1879" xr:uid="{00000000-0005-0000-0000-000025070000}"/>
    <cellStyle name="Heading 1 2 5 2" xfId="5668" xr:uid="{CBED7CA0-7E8B-46B0-BE66-2882091C9920}"/>
    <cellStyle name="Heading 1 2 5 3" xfId="5553" xr:uid="{69534F05-792F-494B-B7F3-AA52DE035FB9}"/>
    <cellStyle name="Heading 1 2 6" xfId="1880" xr:uid="{00000000-0005-0000-0000-000026070000}"/>
    <cellStyle name="Heading 1 2 6 2" xfId="5541" xr:uid="{B178E07A-85CB-431D-8AA8-75E757CA1603}"/>
    <cellStyle name="Heading 1 2 6 3" xfId="5297" xr:uid="{C4EA22B1-3F52-4D43-A7EB-896D8A5524DC}"/>
    <cellStyle name="Heading 1 2 7" xfId="5296" xr:uid="{D9E7CDD6-19E7-4EDE-B232-791C90E9C47C}"/>
    <cellStyle name="Heading 1 2 8" xfId="5295" xr:uid="{98A26EA1-4C74-4DA7-866C-40BAC121B460}"/>
    <cellStyle name="Heading 1 3" xfId="165" xr:uid="{00000000-0005-0000-0000-000027070000}"/>
    <cellStyle name="Heading 1 3 2" xfId="1882" xr:uid="{00000000-0005-0000-0000-000028070000}"/>
    <cellStyle name="Heading 1 3 3" xfId="1883" xr:uid="{00000000-0005-0000-0000-000029070000}"/>
    <cellStyle name="Heading 1 3 4" xfId="1884" xr:uid="{00000000-0005-0000-0000-00002A070000}"/>
    <cellStyle name="Heading 1 3 5" xfId="1885" xr:uid="{00000000-0005-0000-0000-00002B070000}"/>
    <cellStyle name="Heading 1 3 6" xfId="1886" xr:uid="{00000000-0005-0000-0000-00002C070000}"/>
    <cellStyle name="Heading 1 3 7" xfId="1887" xr:uid="{00000000-0005-0000-0000-00002D070000}"/>
    <cellStyle name="Heading 1 3 7 2" xfId="5669" xr:uid="{0C74C09A-E0E4-4B5A-8A7A-989D0FC3CB11}"/>
    <cellStyle name="Heading 1 3 7 3" xfId="5552" xr:uid="{F168A3D9-8792-40CF-B5BF-B5A7B075974E}"/>
    <cellStyle name="Heading 1 3 8" xfId="1881" xr:uid="{00000000-0005-0000-0000-00002E070000}"/>
    <cellStyle name="Heading 1 3 9" xfId="4744" xr:uid="{72CEC9ED-C314-43C1-9233-A3004A302416}"/>
    <cellStyle name="Heading 1 4" xfId="166" xr:uid="{00000000-0005-0000-0000-00002F070000}"/>
    <cellStyle name="Heading 1 4 2" xfId="1889" xr:uid="{00000000-0005-0000-0000-000030070000}"/>
    <cellStyle name="Heading 1 4 2 2" xfId="5121" xr:uid="{9EB42DCD-C547-40A9-A2E9-5AD29DE368EE}"/>
    <cellStyle name="Heading 1 4 2 3" xfId="5163" xr:uid="{F51FB475-1498-4A08-AC17-375B4F60A4F5}"/>
    <cellStyle name="Heading 1 4 3" xfId="1890" xr:uid="{00000000-0005-0000-0000-000031070000}"/>
    <cellStyle name="Heading 1 4 4" xfId="1891" xr:uid="{00000000-0005-0000-0000-000032070000}"/>
    <cellStyle name="Heading 1 4 5" xfId="1892" xr:uid="{00000000-0005-0000-0000-000033070000}"/>
    <cellStyle name="Heading 1 4 6" xfId="1893" xr:uid="{00000000-0005-0000-0000-000034070000}"/>
    <cellStyle name="Heading 1 4 7" xfId="1894" xr:uid="{00000000-0005-0000-0000-000035070000}"/>
    <cellStyle name="Heading 1 4 8" xfId="1888" xr:uid="{00000000-0005-0000-0000-000036070000}"/>
    <cellStyle name="Heading 1 5" xfId="167" xr:uid="{00000000-0005-0000-0000-000037070000}"/>
    <cellStyle name="Heading 1 5 2" xfId="1895" xr:uid="{00000000-0005-0000-0000-000038070000}"/>
    <cellStyle name="Heading 1 5 3" xfId="1896" xr:uid="{00000000-0005-0000-0000-000039070000}"/>
    <cellStyle name="Heading 1 5 4" xfId="1897" xr:uid="{00000000-0005-0000-0000-00003A070000}"/>
    <cellStyle name="Heading 1 5 5" xfId="1898" xr:uid="{00000000-0005-0000-0000-00003B070000}"/>
    <cellStyle name="Heading 1 5 6" xfId="1899" xr:uid="{00000000-0005-0000-0000-00003C070000}"/>
    <cellStyle name="Heading 1 6" xfId="168" xr:uid="{00000000-0005-0000-0000-00003D070000}"/>
    <cellStyle name="Heading 1 6 2" xfId="1900" xr:uid="{00000000-0005-0000-0000-00003E070000}"/>
    <cellStyle name="Heading 1 6 3" xfId="1901" xr:uid="{00000000-0005-0000-0000-00003F070000}"/>
    <cellStyle name="Heading 1 6 4" xfId="1902" xr:uid="{00000000-0005-0000-0000-000040070000}"/>
    <cellStyle name="Heading 1 6 5" xfId="1903" xr:uid="{00000000-0005-0000-0000-000041070000}"/>
    <cellStyle name="Heading 1 6 6" xfId="1904" xr:uid="{00000000-0005-0000-0000-000042070000}"/>
    <cellStyle name="Heading 1 7" xfId="169" xr:uid="{00000000-0005-0000-0000-000043070000}"/>
    <cellStyle name="Heading 1 7 2" xfId="1905" xr:uid="{00000000-0005-0000-0000-000044070000}"/>
    <cellStyle name="Heading 1 7 3" xfId="1906" xr:uid="{00000000-0005-0000-0000-000045070000}"/>
    <cellStyle name="Heading 1 7 4" xfId="1907" xr:uid="{00000000-0005-0000-0000-000046070000}"/>
    <cellStyle name="Heading 1 7 5" xfId="1908" xr:uid="{00000000-0005-0000-0000-000047070000}"/>
    <cellStyle name="Heading 1 7 6" xfId="1909" xr:uid="{00000000-0005-0000-0000-000048070000}"/>
    <cellStyle name="Heading 1 8 2" xfId="1910" xr:uid="{00000000-0005-0000-0000-000049070000}"/>
    <cellStyle name="Heading 1 8 3" xfId="1911" xr:uid="{00000000-0005-0000-0000-00004A070000}"/>
    <cellStyle name="Heading 1 8 4" xfId="1912" xr:uid="{00000000-0005-0000-0000-00004B070000}"/>
    <cellStyle name="Heading 1 8 5" xfId="1913" xr:uid="{00000000-0005-0000-0000-00004C070000}"/>
    <cellStyle name="Heading 1 8 6" xfId="1914" xr:uid="{00000000-0005-0000-0000-00004D070000}"/>
    <cellStyle name="Heading 1 9 2" xfId="1915" xr:uid="{00000000-0005-0000-0000-00004E070000}"/>
    <cellStyle name="Heading 1 9 3" xfId="1916" xr:uid="{00000000-0005-0000-0000-00004F070000}"/>
    <cellStyle name="Heading 1 9 4" xfId="1917" xr:uid="{00000000-0005-0000-0000-000050070000}"/>
    <cellStyle name="Heading 1 9 5" xfId="1918" xr:uid="{00000000-0005-0000-0000-000051070000}"/>
    <cellStyle name="Heading 1 9 6" xfId="1919" xr:uid="{00000000-0005-0000-0000-000052070000}"/>
    <cellStyle name="Heading 2 10 2" xfId="1920" xr:uid="{00000000-0005-0000-0000-000053070000}"/>
    <cellStyle name="Heading 2 10 3" xfId="1921" xr:uid="{00000000-0005-0000-0000-000054070000}"/>
    <cellStyle name="Heading 2 10 4" xfId="1922" xr:uid="{00000000-0005-0000-0000-000055070000}"/>
    <cellStyle name="Heading 2 10 5" xfId="1923" xr:uid="{00000000-0005-0000-0000-000056070000}"/>
    <cellStyle name="Heading 2 10 6" xfId="1924" xr:uid="{00000000-0005-0000-0000-000057070000}"/>
    <cellStyle name="Heading 2 11 2" xfId="1925" xr:uid="{00000000-0005-0000-0000-000058070000}"/>
    <cellStyle name="Heading 2 11 3" xfId="1926" xr:uid="{00000000-0005-0000-0000-000059070000}"/>
    <cellStyle name="Heading 2 11 4" xfId="1927" xr:uid="{00000000-0005-0000-0000-00005A070000}"/>
    <cellStyle name="Heading 2 11 5" xfId="1928" xr:uid="{00000000-0005-0000-0000-00005B070000}"/>
    <cellStyle name="Heading 2 11 6" xfId="1929" xr:uid="{00000000-0005-0000-0000-00005C070000}"/>
    <cellStyle name="Heading 2 2" xfId="170" xr:uid="{00000000-0005-0000-0000-00005D070000}"/>
    <cellStyle name="Heading 2 2 2" xfId="1930" xr:uid="{00000000-0005-0000-0000-00005E070000}"/>
    <cellStyle name="Heading 2 2 3" xfId="1931" xr:uid="{00000000-0005-0000-0000-00005F070000}"/>
    <cellStyle name="Heading 2 2 3 2" xfId="5140" xr:uid="{DBB04313-BA23-4D42-841C-790CBAEC531B}"/>
    <cellStyle name="Heading 2 2 3 3" xfId="5398" xr:uid="{778ED2A0-C2F2-42F1-85CB-3B7A16096D2B}"/>
    <cellStyle name="Heading 2 2 4" xfId="1932" xr:uid="{00000000-0005-0000-0000-000060070000}"/>
    <cellStyle name="Heading 2 2 4 2" xfId="5202" xr:uid="{334C6D91-032A-447A-AF10-CC3C14E15291}"/>
    <cellStyle name="Heading 2 2 4 3" xfId="5626" xr:uid="{0F41666B-D568-479E-AAE3-54EE949F18C0}"/>
    <cellStyle name="Heading 2 2 5" xfId="1933" xr:uid="{00000000-0005-0000-0000-000061070000}"/>
    <cellStyle name="Heading 2 2 5 2" xfId="5139" xr:uid="{783ABD2D-383F-4D99-A91F-672D74EFC63E}"/>
    <cellStyle name="Heading 2 2 5 3" xfId="5293" xr:uid="{B20BD40E-5272-4408-9CA6-6AC765FDB5CB}"/>
    <cellStyle name="Heading 2 2 6" xfId="1934" xr:uid="{00000000-0005-0000-0000-000062070000}"/>
    <cellStyle name="Heading 2 2 6 2" xfId="5201" xr:uid="{F7591A51-29B6-48F9-AD09-567C1C249151}"/>
    <cellStyle name="Heading 2 2 6 3" xfId="5292" xr:uid="{45B04514-B410-434F-A8C9-0CD89ECA6DC8}"/>
    <cellStyle name="Heading 2 2 7" xfId="5291" xr:uid="{546F48DF-E890-46DB-BDF3-14F143412F6B}"/>
    <cellStyle name="Heading 2 2 8" xfId="5290" xr:uid="{86E97EA6-C078-4806-BFC1-C2EF2C266CD0}"/>
    <cellStyle name="Heading 2 3" xfId="171" xr:uid="{00000000-0005-0000-0000-000063070000}"/>
    <cellStyle name="Heading 2 3 2" xfId="1936" xr:uid="{00000000-0005-0000-0000-000064070000}"/>
    <cellStyle name="Heading 2 3 3" xfId="1937" xr:uid="{00000000-0005-0000-0000-000065070000}"/>
    <cellStyle name="Heading 2 3 4" xfId="1938" xr:uid="{00000000-0005-0000-0000-000066070000}"/>
    <cellStyle name="Heading 2 3 5" xfId="1939" xr:uid="{00000000-0005-0000-0000-000067070000}"/>
    <cellStyle name="Heading 2 3 6" xfId="1940" xr:uid="{00000000-0005-0000-0000-000068070000}"/>
    <cellStyle name="Heading 2 3 7" xfId="1941" xr:uid="{00000000-0005-0000-0000-000069070000}"/>
    <cellStyle name="Heading 2 3 7 2" xfId="5200" xr:uid="{7D06B089-C8AA-4E26-B265-C367D5677DBA}"/>
    <cellStyle name="Heading 2 3 7 3" xfId="5289" xr:uid="{3B488BB9-C6A7-4550-BB4C-676AFC866551}"/>
    <cellStyle name="Heading 2 3 8" xfId="1935" xr:uid="{00000000-0005-0000-0000-00006A070000}"/>
    <cellStyle name="Heading 2 3 9" xfId="4745" xr:uid="{1FE7571A-87E9-45B6-A027-CAA9BCC1DFF4}"/>
    <cellStyle name="Heading 2 4" xfId="172" xr:uid="{00000000-0005-0000-0000-00006B070000}"/>
    <cellStyle name="Heading 2 4 2" xfId="1943" xr:uid="{00000000-0005-0000-0000-00006C070000}"/>
    <cellStyle name="Heading 2 4 2 2" xfId="5199" xr:uid="{1CF5E211-90C5-4BA9-9E08-8AF8692D629F}"/>
    <cellStyle name="Heading 2 4 2 3" xfId="5288" xr:uid="{3A6E3379-4C28-42B5-AA1D-96729D57B76A}"/>
    <cellStyle name="Heading 2 4 3" xfId="1944" xr:uid="{00000000-0005-0000-0000-00006D070000}"/>
    <cellStyle name="Heading 2 4 4" xfId="1945" xr:uid="{00000000-0005-0000-0000-00006E070000}"/>
    <cellStyle name="Heading 2 4 5" xfId="1946" xr:uid="{00000000-0005-0000-0000-00006F070000}"/>
    <cellStyle name="Heading 2 4 6" xfId="1947" xr:uid="{00000000-0005-0000-0000-000070070000}"/>
    <cellStyle name="Heading 2 4 7" xfId="1948" xr:uid="{00000000-0005-0000-0000-000071070000}"/>
    <cellStyle name="Heading 2 4 8" xfId="1942" xr:uid="{00000000-0005-0000-0000-000072070000}"/>
    <cellStyle name="Heading 2 5" xfId="173" xr:uid="{00000000-0005-0000-0000-000073070000}"/>
    <cellStyle name="Heading 2 5 2" xfId="1949" xr:uid="{00000000-0005-0000-0000-000074070000}"/>
    <cellStyle name="Heading 2 5 3" xfId="1950" xr:uid="{00000000-0005-0000-0000-000075070000}"/>
    <cellStyle name="Heading 2 5 4" xfId="1951" xr:uid="{00000000-0005-0000-0000-000076070000}"/>
    <cellStyle name="Heading 2 5 5" xfId="1952" xr:uid="{00000000-0005-0000-0000-000077070000}"/>
    <cellStyle name="Heading 2 5 6" xfId="1953" xr:uid="{00000000-0005-0000-0000-000078070000}"/>
    <cellStyle name="Heading 2 6" xfId="174" xr:uid="{00000000-0005-0000-0000-000079070000}"/>
    <cellStyle name="Heading 2 6 2" xfId="1954" xr:uid="{00000000-0005-0000-0000-00007A070000}"/>
    <cellStyle name="Heading 2 6 3" xfId="1955" xr:uid="{00000000-0005-0000-0000-00007B070000}"/>
    <cellStyle name="Heading 2 6 4" xfId="1956" xr:uid="{00000000-0005-0000-0000-00007C070000}"/>
    <cellStyle name="Heading 2 6 5" xfId="1957" xr:uid="{00000000-0005-0000-0000-00007D070000}"/>
    <cellStyle name="Heading 2 6 6" xfId="1958" xr:uid="{00000000-0005-0000-0000-00007E070000}"/>
    <cellStyle name="Heading 2 7" xfId="175" xr:uid="{00000000-0005-0000-0000-00007F070000}"/>
    <cellStyle name="Heading 2 7 2" xfId="1959" xr:uid="{00000000-0005-0000-0000-000080070000}"/>
    <cellStyle name="Heading 2 7 3" xfId="1960" xr:uid="{00000000-0005-0000-0000-000081070000}"/>
    <cellStyle name="Heading 2 7 4" xfId="1961" xr:uid="{00000000-0005-0000-0000-000082070000}"/>
    <cellStyle name="Heading 2 7 5" xfId="1962" xr:uid="{00000000-0005-0000-0000-000083070000}"/>
    <cellStyle name="Heading 2 7 6" xfId="1963" xr:uid="{00000000-0005-0000-0000-000084070000}"/>
    <cellStyle name="Heading 2 8 2" xfId="1964" xr:uid="{00000000-0005-0000-0000-000085070000}"/>
    <cellStyle name="Heading 2 8 3" xfId="1965" xr:uid="{00000000-0005-0000-0000-000086070000}"/>
    <cellStyle name="Heading 2 8 4" xfId="1966" xr:uid="{00000000-0005-0000-0000-000087070000}"/>
    <cellStyle name="Heading 2 8 5" xfId="1967" xr:uid="{00000000-0005-0000-0000-000088070000}"/>
    <cellStyle name="Heading 2 8 6" xfId="1968" xr:uid="{00000000-0005-0000-0000-000089070000}"/>
    <cellStyle name="Heading 2 9 2" xfId="1969" xr:uid="{00000000-0005-0000-0000-00008A070000}"/>
    <cellStyle name="Heading 2 9 3" xfId="1970" xr:uid="{00000000-0005-0000-0000-00008B070000}"/>
    <cellStyle name="Heading 2 9 4" xfId="1971" xr:uid="{00000000-0005-0000-0000-00008C070000}"/>
    <cellStyle name="Heading 2 9 5" xfId="1972" xr:uid="{00000000-0005-0000-0000-00008D070000}"/>
    <cellStyle name="Heading 2 9 6" xfId="1973" xr:uid="{00000000-0005-0000-0000-00008E070000}"/>
    <cellStyle name="Heading 3 10 2" xfId="1974" xr:uid="{00000000-0005-0000-0000-00008F070000}"/>
    <cellStyle name="Heading 3 10 3" xfId="1975" xr:uid="{00000000-0005-0000-0000-000090070000}"/>
    <cellStyle name="Heading 3 10 4" xfId="1976" xr:uid="{00000000-0005-0000-0000-000091070000}"/>
    <cellStyle name="Heading 3 10 5" xfId="1977" xr:uid="{00000000-0005-0000-0000-000092070000}"/>
    <cellStyle name="Heading 3 10 6" xfId="1978" xr:uid="{00000000-0005-0000-0000-000093070000}"/>
    <cellStyle name="Heading 3 11 2" xfId="1979" xr:uid="{00000000-0005-0000-0000-000094070000}"/>
    <cellStyle name="Heading 3 11 3" xfId="1980" xr:uid="{00000000-0005-0000-0000-000095070000}"/>
    <cellStyle name="Heading 3 11 4" xfId="1981" xr:uid="{00000000-0005-0000-0000-000096070000}"/>
    <cellStyle name="Heading 3 11 5" xfId="1982" xr:uid="{00000000-0005-0000-0000-000097070000}"/>
    <cellStyle name="Heading 3 11 6" xfId="1983" xr:uid="{00000000-0005-0000-0000-000098070000}"/>
    <cellStyle name="Heading 3 2" xfId="176" xr:uid="{00000000-0005-0000-0000-000099070000}"/>
    <cellStyle name="Heading 3 2 2" xfId="1984" xr:uid="{00000000-0005-0000-0000-00009A070000}"/>
    <cellStyle name="Heading 3 2 3" xfId="1985" xr:uid="{00000000-0005-0000-0000-00009B070000}"/>
    <cellStyle name="Heading 3 2 3 2" xfId="5198" xr:uid="{F9E16408-A322-4353-A511-C76AF0A8C6EB}"/>
    <cellStyle name="Heading 3 2 3 3" xfId="5093" xr:uid="{59B65AD1-7B24-4404-A75E-2D5317714BF1}"/>
    <cellStyle name="Heading 3 2 4" xfId="1986" xr:uid="{00000000-0005-0000-0000-00009C070000}"/>
    <cellStyle name="Heading 3 2 4 2" xfId="5138" xr:uid="{39AD5705-F04F-4793-BFA7-AFBC78D46EAB}"/>
    <cellStyle name="Heading 3 2 4 3" xfId="5516" xr:uid="{3E5EA873-022C-40CE-A49E-3ABECF4C18A2}"/>
    <cellStyle name="Heading 3 2 5" xfId="1987" xr:uid="{00000000-0005-0000-0000-00009D070000}"/>
    <cellStyle name="Heading 3 2 5 2" xfId="5197" xr:uid="{A53648F9-C10D-49BB-9EEE-573C050F48C1}"/>
    <cellStyle name="Heading 3 2 5 3" xfId="5287" xr:uid="{B3C0F235-D552-400A-A376-1968CF55033C}"/>
    <cellStyle name="Heading 3 2 6" xfId="1988" xr:uid="{00000000-0005-0000-0000-00009E070000}"/>
    <cellStyle name="Heading 3 2 6 2" xfId="5137" xr:uid="{68E63BCE-20E4-407F-997D-379F146EC9A4}"/>
    <cellStyle name="Heading 3 2 6 3" xfId="5286" xr:uid="{3B66E4C0-E47B-46D3-BFBA-72DA6424340E}"/>
    <cellStyle name="Heading 3 2 7" xfId="5162" xr:uid="{CB46C1EE-AA13-4946-9A54-377C19A49A29}"/>
    <cellStyle name="Heading 3 2 8" xfId="5284" xr:uid="{17248F53-B881-489E-8B04-9AD261A242D7}"/>
    <cellStyle name="Heading 3 3" xfId="177" xr:uid="{00000000-0005-0000-0000-00009F070000}"/>
    <cellStyle name="Heading 3 3 2" xfId="1990" xr:uid="{00000000-0005-0000-0000-0000A0070000}"/>
    <cellStyle name="Heading 3 3 3" xfId="1991" xr:uid="{00000000-0005-0000-0000-0000A1070000}"/>
    <cellStyle name="Heading 3 3 4" xfId="1992" xr:uid="{00000000-0005-0000-0000-0000A2070000}"/>
    <cellStyle name="Heading 3 3 5" xfId="1993" xr:uid="{00000000-0005-0000-0000-0000A3070000}"/>
    <cellStyle name="Heading 3 3 6" xfId="1994" xr:uid="{00000000-0005-0000-0000-0000A4070000}"/>
    <cellStyle name="Heading 3 3 7" xfId="1995" xr:uid="{00000000-0005-0000-0000-0000A5070000}"/>
    <cellStyle name="Heading 3 3 7 2" xfId="5136" xr:uid="{4B8655A0-EF7B-40EF-AB43-16C0E6AFB39A}"/>
    <cellStyle name="Heading 3 3 7 3" xfId="5074" xr:uid="{70017747-7BCC-4DBB-AA05-865D1C42CE07}"/>
    <cellStyle name="Heading 3 3 8" xfId="1989" xr:uid="{00000000-0005-0000-0000-0000A6070000}"/>
    <cellStyle name="Heading 3 3 9" xfId="4746" xr:uid="{9E5B0D57-BC85-41C3-91A8-276B72149DE0}"/>
    <cellStyle name="Heading 3 4" xfId="178" xr:uid="{00000000-0005-0000-0000-0000A7070000}"/>
    <cellStyle name="Heading 3 4 2" xfId="1997" xr:uid="{00000000-0005-0000-0000-0000A8070000}"/>
    <cellStyle name="Heading 3 4 2 2" xfId="5540" xr:uid="{B2ED504F-00F2-4315-83BB-FD3B2400671C}"/>
    <cellStyle name="Heading 3 4 2 3" xfId="5643" xr:uid="{C424383D-1633-4191-A8E3-342C4338D8DF}"/>
    <cellStyle name="Heading 3 4 3" xfId="1998" xr:uid="{00000000-0005-0000-0000-0000A9070000}"/>
    <cellStyle name="Heading 3 4 4" xfId="1999" xr:uid="{00000000-0005-0000-0000-0000AA070000}"/>
    <cellStyle name="Heading 3 4 5" xfId="2000" xr:uid="{00000000-0005-0000-0000-0000AB070000}"/>
    <cellStyle name="Heading 3 4 6" xfId="2001" xr:uid="{00000000-0005-0000-0000-0000AC070000}"/>
    <cellStyle name="Heading 3 4 7" xfId="2002" xr:uid="{00000000-0005-0000-0000-0000AD070000}"/>
    <cellStyle name="Heading 3 4 8" xfId="1996" xr:uid="{00000000-0005-0000-0000-0000AE070000}"/>
    <cellStyle name="Heading 3 5" xfId="179" xr:uid="{00000000-0005-0000-0000-0000AF070000}"/>
    <cellStyle name="Heading 3 5 2" xfId="2003" xr:uid="{00000000-0005-0000-0000-0000B0070000}"/>
    <cellStyle name="Heading 3 5 3" xfId="2004" xr:uid="{00000000-0005-0000-0000-0000B1070000}"/>
    <cellStyle name="Heading 3 5 4" xfId="2005" xr:uid="{00000000-0005-0000-0000-0000B2070000}"/>
    <cellStyle name="Heading 3 5 5" xfId="2006" xr:uid="{00000000-0005-0000-0000-0000B3070000}"/>
    <cellStyle name="Heading 3 5 6" xfId="2007" xr:uid="{00000000-0005-0000-0000-0000B4070000}"/>
    <cellStyle name="Heading 3 6" xfId="180" xr:uid="{00000000-0005-0000-0000-0000B5070000}"/>
    <cellStyle name="Heading 3 6 2" xfId="2008" xr:uid="{00000000-0005-0000-0000-0000B6070000}"/>
    <cellStyle name="Heading 3 6 3" xfId="2009" xr:uid="{00000000-0005-0000-0000-0000B7070000}"/>
    <cellStyle name="Heading 3 6 4" xfId="2010" xr:uid="{00000000-0005-0000-0000-0000B8070000}"/>
    <cellStyle name="Heading 3 6 5" xfId="2011" xr:uid="{00000000-0005-0000-0000-0000B9070000}"/>
    <cellStyle name="Heading 3 6 6" xfId="2012" xr:uid="{00000000-0005-0000-0000-0000BA070000}"/>
    <cellStyle name="Heading 3 7" xfId="181" xr:uid="{00000000-0005-0000-0000-0000BB070000}"/>
    <cellStyle name="Heading 3 7 2" xfId="2013" xr:uid="{00000000-0005-0000-0000-0000BC070000}"/>
    <cellStyle name="Heading 3 7 3" xfId="2014" xr:uid="{00000000-0005-0000-0000-0000BD070000}"/>
    <cellStyle name="Heading 3 7 4" xfId="2015" xr:uid="{00000000-0005-0000-0000-0000BE070000}"/>
    <cellStyle name="Heading 3 7 5" xfId="2016" xr:uid="{00000000-0005-0000-0000-0000BF070000}"/>
    <cellStyle name="Heading 3 7 6" xfId="2017" xr:uid="{00000000-0005-0000-0000-0000C0070000}"/>
    <cellStyle name="Heading 3 8 2" xfId="2018" xr:uid="{00000000-0005-0000-0000-0000C1070000}"/>
    <cellStyle name="Heading 3 8 3" xfId="2019" xr:uid="{00000000-0005-0000-0000-0000C2070000}"/>
    <cellStyle name="Heading 3 8 4" xfId="2020" xr:uid="{00000000-0005-0000-0000-0000C3070000}"/>
    <cellStyle name="Heading 3 8 5" xfId="2021" xr:uid="{00000000-0005-0000-0000-0000C4070000}"/>
    <cellStyle name="Heading 3 8 6" xfId="2022" xr:uid="{00000000-0005-0000-0000-0000C5070000}"/>
    <cellStyle name="Heading 3 9 2" xfId="2023" xr:uid="{00000000-0005-0000-0000-0000C6070000}"/>
    <cellStyle name="Heading 3 9 3" xfId="2024" xr:uid="{00000000-0005-0000-0000-0000C7070000}"/>
    <cellStyle name="Heading 3 9 4" xfId="2025" xr:uid="{00000000-0005-0000-0000-0000C8070000}"/>
    <cellStyle name="Heading 3 9 5" xfId="2026" xr:uid="{00000000-0005-0000-0000-0000C9070000}"/>
    <cellStyle name="Heading 3 9 6" xfId="2027" xr:uid="{00000000-0005-0000-0000-0000CA070000}"/>
    <cellStyle name="Heading 4 10 2" xfId="2028" xr:uid="{00000000-0005-0000-0000-0000CB070000}"/>
    <cellStyle name="Heading 4 10 3" xfId="2029" xr:uid="{00000000-0005-0000-0000-0000CC070000}"/>
    <cellStyle name="Heading 4 10 4" xfId="2030" xr:uid="{00000000-0005-0000-0000-0000CD070000}"/>
    <cellStyle name="Heading 4 10 5" xfId="2031" xr:uid="{00000000-0005-0000-0000-0000CE070000}"/>
    <cellStyle name="Heading 4 10 6" xfId="2032" xr:uid="{00000000-0005-0000-0000-0000CF070000}"/>
    <cellStyle name="Heading 4 11 2" xfId="2033" xr:uid="{00000000-0005-0000-0000-0000D0070000}"/>
    <cellStyle name="Heading 4 11 3" xfId="2034" xr:uid="{00000000-0005-0000-0000-0000D1070000}"/>
    <cellStyle name="Heading 4 11 4" xfId="2035" xr:uid="{00000000-0005-0000-0000-0000D2070000}"/>
    <cellStyle name="Heading 4 11 5" xfId="2036" xr:uid="{00000000-0005-0000-0000-0000D3070000}"/>
    <cellStyle name="Heading 4 11 6" xfId="2037" xr:uid="{00000000-0005-0000-0000-0000D4070000}"/>
    <cellStyle name="Heading 4 2" xfId="182" xr:uid="{00000000-0005-0000-0000-0000D5070000}"/>
    <cellStyle name="Heading 4 2 2" xfId="2038" xr:uid="{00000000-0005-0000-0000-0000D6070000}"/>
    <cellStyle name="Heading 4 2 3" xfId="2039" xr:uid="{00000000-0005-0000-0000-0000D7070000}"/>
    <cellStyle name="Heading 4 2 3 2" xfId="5196" xr:uid="{755D6595-FAA7-4E2D-866C-F1AFC4C5C641}"/>
    <cellStyle name="Heading 4 2 3 3" xfId="5394" xr:uid="{EC2811E2-3938-4E51-8309-D4C000CAAA40}"/>
    <cellStyle name="Heading 4 2 4" xfId="2040" xr:uid="{00000000-0005-0000-0000-0000D8070000}"/>
    <cellStyle name="Heading 4 2 4 2" xfId="5135" xr:uid="{FB3E4775-95D1-490F-BB30-01B3FBF02361}"/>
    <cellStyle name="Heading 4 2 4 3" xfId="5515" xr:uid="{6667E6FE-E9D6-42DC-81B1-93202CB4D013}"/>
    <cellStyle name="Heading 4 2 5" xfId="2041" xr:uid="{00000000-0005-0000-0000-0000D9070000}"/>
    <cellStyle name="Heading 4 2 5 2" xfId="5195" xr:uid="{E7FF3136-4D56-4E1E-B9DD-C58551385B87}"/>
    <cellStyle name="Heading 4 2 5 3" xfId="5285" xr:uid="{A8B39670-0525-4720-8B19-23CE9F3D2A6A}"/>
    <cellStyle name="Heading 4 2 6" xfId="2042" xr:uid="{00000000-0005-0000-0000-0000DA070000}"/>
    <cellStyle name="Heading 4 2 6 2" xfId="5134" xr:uid="{F8487971-16F8-4872-A67D-0535CEEC5480}"/>
    <cellStyle name="Heading 4 2 6 3" xfId="5126" xr:uid="{011F3007-69DC-49A2-B562-8AC3D1CA4E37}"/>
    <cellStyle name="Heading 4 2 7" xfId="5281" xr:uid="{4D896494-CA43-4450-8356-3D6EB100E9C7}"/>
    <cellStyle name="Heading 4 2 8" xfId="5283" xr:uid="{4A8B8257-1F2A-4861-9644-068268AA40A0}"/>
    <cellStyle name="Heading 4 3" xfId="183" xr:uid="{00000000-0005-0000-0000-0000DB070000}"/>
    <cellStyle name="Heading 4 3 2" xfId="2044" xr:uid="{00000000-0005-0000-0000-0000DC070000}"/>
    <cellStyle name="Heading 4 3 3" xfId="2045" xr:uid="{00000000-0005-0000-0000-0000DD070000}"/>
    <cellStyle name="Heading 4 3 4" xfId="2046" xr:uid="{00000000-0005-0000-0000-0000DE070000}"/>
    <cellStyle name="Heading 4 3 5" xfId="2047" xr:uid="{00000000-0005-0000-0000-0000DF070000}"/>
    <cellStyle name="Heading 4 3 6" xfId="2048" xr:uid="{00000000-0005-0000-0000-0000E0070000}"/>
    <cellStyle name="Heading 4 3 7" xfId="2049" xr:uid="{00000000-0005-0000-0000-0000E1070000}"/>
    <cellStyle name="Heading 4 3 7 2" xfId="5194" xr:uid="{34040551-0420-4027-B578-72AB24344AF5}"/>
    <cellStyle name="Heading 4 3 7 3" xfId="5551" xr:uid="{07A7304A-2877-4B5E-8EA9-C5D9B14D70B1}"/>
    <cellStyle name="Heading 4 3 8" xfId="2043" xr:uid="{00000000-0005-0000-0000-0000E2070000}"/>
    <cellStyle name="Heading 4 3 9" xfId="4747" xr:uid="{2FB8F3DF-3498-425F-9D12-1A60CC797AED}"/>
    <cellStyle name="Heading 4 4" xfId="184" xr:uid="{00000000-0005-0000-0000-0000E3070000}"/>
    <cellStyle name="Heading 4 4 2" xfId="2051" xr:uid="{00000000-0005-0000-0000-0000E4070000}"/>
    <cellStyle name="Heading 4 4 2 2" xfId="5193" xr:uid="{4410250C-4542-474D-8353-CD068C434C83}"/>
    <cellStyle name="Heading 4 4 2 3" xfId="5282" xr:uid="{8C7DED48-D378-450A-AD8A-467F06A884EC}"/>
    <cellStyle name="Heading 4 4 3" xfId="2052" xr:uid="{00000000-0005-0000-0000-0000E5070000}"/>
    <cellStyle name="Heading 4 4 4" xfId="2053" xr:uid="{00000000-0005-0000-0000-0000E6070000}"/>
    <cellStyle name="Heading 4 4 5" xfId="2054" xr:uid="{00000000-0005-0000-0000-0000E7070000}"/>
    <cellStyle name="Heading 4 4 6" xfId="2055" xr:uid="{00000000-0005-0000-0000-0000E8070000}"/>
    <cellStyle name="Heading 4 4 7" xfId="2056" xr:uid="{00000000-0005-0000-0000-0000E9070000}"/>
    <cellStyle name="Heading 4 4 8" xfId="2050" xr:uid="{00000000-0005-0000-0000-0000EA070000}"/>
    <cellStyle name="Heading 4 5" xfId="185" xr:uid="{00000000-0005-0000-0000-0000EB070000}"/>
    <cellStyle name="Heading 4 5 2" xfId="2057" xr:uid="{00000000-0005-0000-0000-0000EC070000}"/>
    <cellStyle name="Heading 4 5 3" xfId="2058" xr:uid="{00000000-0005-0000-0000-0000ED070000}"/>
    <cellStyle name="Heading 4 5 4" xfId="2059" xr:uid="{00000000-0005-0000-0000-0000EE070000}"/>
    <cellStyle name="Heading 4 5 5" xfId="2060" xr:uid="{00000000-0005-0000-0000-0000EF070000}"/>
    <cellStyle name="Heading 4 5 6" xfId="2061" xr:uid="{00000000-0005-0000-0000-0000F0070000}"/>
    <cellStyle name="Heading 4 6" xfId="186" xr:uid="{00000000-0005-0000-0000-0000F1070000}"/>
    <cellStyle name="Heading 4 6 2" xfId="2062" xr:uid="{00000000-0005-0000-0000-0000F2070000}"/>
    <cellStyle name="Heading 4 6 3" xfId="2063" xr:uid="{00000000-0005-0000-0000-0000F3070000}"/>
    <cellStyle name="Heading 4 6 4" xfId="2064" xr:uid="{00000000-0005-0000-0000-0000F4070000}"/>
    <cellStyle name="Heading 4 6 5" xfId="2065" xr:uid="{00000000-0005-0000-0000-0000F5070000}"/>
    <cellStyle name="Heading 4 6 6" xfId="2066" xr:uid="{00000000-0005-0000-0000-0000F6070000}"/>
    <cellStyle name="Heading 4 7" xfId="187" xr:uid="{00000000-0005-0000-0000-0000F7070000}"/>
    <cellStyle name="Heading 4 7 2" xfId="2067" xr:uid="{00000000-0005-0000-0000-0000F8070000}"/>
    <cellStyle name="Heading 4 7 3" xfId="2068" xr:uid="{00000000-0005-0000-0000-0000F9070000}"/>
    <cellStyle name="Heading 4 7 4" xfId="2069" xr:uid="{00000000-0005-0000-0000-0000FA070000}"/>
    <cellStyle name="Heading 4 7 5" xfId="2070" xr:uid="{00000000-0005-0000-0000-0000FB070000}"/>
    <cellStyle name="Heading 4 7 6" xfId="2071" xr:uid="{00000000-0005-0000-0000-0000FC070000}"/>
    <cellStyle name="Heading 4 8 2" xfId="2072" xr:uid="{00000000-0005-0000-0000-0000FD070000}"/>
    <cellStyle name="Heading 4 8 3" xfId="2073" xr:uid="{00000000-0005-0000-0000-0000FE070000}"/>
    <cellStyle name="Heading 4 8 4" xfId="2074" xr:uid="{00000000-0005-0000-0000-0000FF070000}"/>
    <cellStyle name="Heading 4 8 5" xfId="2075" xr:uid="{00000000-0005-0000-0000-000000080000}"/>
    <cellStyle name="Heading 4 8 6" xfId="2076" xr:uid="{00000000-0005-0000-0000-000001080000}"/>
    <cellStyle name="Heading 4 9 2" xfId="2077" xr:uid="{00000000-0005-0000-0000-000002080000}"/>
    <cellStyle name="Heading 4 9 3" xfId="2078" xr:uid="{00000000-0005-0000-0000-000003080000}"/>
    <cellStyle name="Heading 4 9 4" xfId="2079" xr:uid="{00000000-0005-0000-0000-000004080000}"/>
    <cellStyle name="Heading 4 9 5" xfId="2080" xr:uid="{00000000-0005-0000-0000-000005080000}"/>
    <cellStyle name="Heading 4 9 6" xfId="2081" xr:uid="{00000000-0005-0000-0000-000006080000}"/>
    <cellStyle name="HEADING1" xfId="188" xr:uid="{00000000-0005-0000-0000-000007080000}"/>
    <cellStyle name="HEADING2" xfId="189" xr:uid="{00000000-0005-0000-0000-000008080000}"/>
    <cellStyle name="Hyperlink" xfId="2" builtinId="8"/>
    <cellStyle name="Hyperlink 10" xfId="5514" xr:uid="{B671DDF0-2582-40E9-A8BE-64656BB3C17C}"/>
    <cellStyle name="Hyperlink 11" xfId="5396" xr:uid="{58306A3B-1363-4600-B2F9-3DF42D54A5AC}"/>
    <cellStyle name="Hyperlink 12" xfId="5628" xr:uid="{E685B23C-8E80-4BCE-A509-C694B867B936}"/>
    <cellStyle name="Hyperlink 13" xfId="5092" xr:uid="{E8DD3DF8-78F7-4B4A-8A82-76C2A805173D}"/>
    <cellStyle name="Hyperlink 14" xfId="5513" xr:uid="{16C062AF-5B7A-473D-8118-5E94A7C227CB}"/>
    <cellStyle name="Hyperlink 15" xfId="5395" xr:uid="{2017DEF6-B7E8-4742-9926-7415884E021A}"/>
    <cellStyle name="Hyperlink 16" xfId="5627" xr:uid="{D65D8DD8-7D1D-4107-A33C-0951F0A31940}"/>
    <cellStyle name="Hyperlink 2" xfId="15" xr:uid="{00000000-0005-0000-0000-000002000000}"/>
    <cellStyle name="Hyperlink 2 2" xfId="191" xr:uid="{00000000-0005-0000-0000-00000B080000}"/>
    <cellStyle name="Hyperlink 2 2 2" xfId="192" xr:uid="{00000000-0005-0000-0000-00000C080000}"/>
    <cellStyle name="Hyperlink 2 2 3" xfId="2082" xr:uid="{00000000-0005-0000-0000-00000D080000}"/>
    <cellStyle name="Hyperlink 2 2 3 2" xfId="2979" xr:uid="{00000000-0005-0000-0000-000067080000}"/>
    <cellStyle name="Hyperlink 2 2 3 2 2" xfId="3695" xr:uid="{F28A4423-52B1-42E6-9A2C-3A86268C0D8E}"/>
    <cellStyle name="Hyperlink 2 2 3 2 3" xfId="3948" xr:uid="{DD243667-CD2B-4FA8-828B-FF128EBC1BC4}"/>
    <cellStyle name="Hyperlink 2 2 3 3" xfId="3967" xr:uid="{46617881-998D-4A87-BC7E-C36BF0DD7CA6}"/>
    <cellStyle name="Hyperlink 2 2 4" xfId="2970" xr:uid="{00000000-0005-0000-0000-000068080000}"/>
    <cellStyle name="Hyperlink 2 2 4 2" xfId="3686" xr:uid="{E0A01C1E-9654-4A67-83EE-15E84A5CBEB0}"/>
    <cellStyle name="Hyperlink 2 2 4 3" xfId="3932" xr:uid="{81F0F6E3-66F5-4D09-808A-8E165B265CAF}"/>
    <cellStyle name="Hyperlink 2 3" xfId="2083" xr:uid="{00000000-0005-0000-0000-00000E080000}"/>
    <cellStyle name="Hyperlink 2 3 2" xfId="3949" xr:uid="{ACE15BA2-4E34-4941-B175-768A9D459594}"/>
    <cellStyle name="Hyperlink 2 3 3" xfId="3875" xr:uid="{46145843-2718-40BB-8755-CE282CAE48D7}"/>
    <cellStyle name="Hyperlink 2 4" xfId="2084" xr:uid="{00000000-0005-0000-0000-00000F080000}"/>
    <cellStyle name="Hyperlink 2 4 2" xfId="2980" xr:uid="{00000000-0005-0000-0000-00006B080000}"/>
    <cellStyle name="Hyperlink 2 4 2 2" xfId="3696" xr:uid="{C076B09E-02A0-4BB2-92B7-4E99ED5D78E2}"/>
    <cellStyle name="Hyperlink 2 4 3" xfId="6869" xr:uid="{C296CF1C-7BCB-429E-9FB7-50B55B6461C6}"/>
    <cellStyle name="Hyperlink 2 4 4" xfId="3950" xr:uid="{C05080D0-7478-4ABD-AD6E-A8F845BC126E}"/>
    <cellStyle name="Hyperlink 2 5" xfId="190" xr:uid="{00000000-0005-0000-0000-000010080000}"/>
    <cellStyle name="Hyperlink 2 6" xfId="2862" xr:uid="{00000000-0005-0000-0000-000011080000}"/>
    <cellStyle name="Hyperlink 2 6 2" xfId="4079" xr:uid="{97761E48-A7A4-46FD-822D-A31E9D065DBC}"/>
    <cellStyle name="Hyperlink 2 6 3" xfId="5393" xr:uid="{58DDFE55-EF0B-44EF-80A6-2B84B2A247C9}"/>
    <cellStyle name="Hyperlink 2 6 4" xfId="3905" xr:uid="{7D148177-1919-40C4-83C3-EA4EF87FB061}"/>
    <cellStyle name="Hyperlink 2 7" xfId="5014" xr:uid="{46349897-3CCD-40C0-A077-E86F2F8D4779}"/>
    <cellStyle name="Hyperlink 2 7 2" xfId="5512" xr:uid="{F42DE521-E008-47DE-8D61-AF612B7752CB}"/>
    <cellStyle name="Hyperlink 2 8" xfId="5392" xr:uid="{D816C7EB-5F26-41C5-AA08-D98C011A634D}"/>
    <cellStyle name="Hyperlink 2 9" xfId="5122" xr:uid="{657EE887-2C6D-4197-8A99-B2F6FF1EA8E0}"/>
    <cellStyle name="Hyperlink 3" xfId="193" xr:uid="{00000000-0005-0000-0000-000012080000}"/>
    <cellStyle name="Hyperlink 3 2" xfId="194" xr:uid="{00000000-0005-0000-0000-000013080000}"/>
    <cellStyle name="Hyperlink 3 3" xfId="2085" xr:uid="{00000000-0005-0000-0000-000014080000}"/>
    <cellStyle name="Hyperlink 30" xfId="2086" xr:uid="{00000000-0005-0000-0000-000015080000}"/>
    <cellStyle name="Hyperlink 4" xfId="3871" xr:uid="{80DAAD72-C992-429C-9985-24C0FE0A5A1C}"/>
    <cellStyle name="In 000s (Convert to 000s)" xfId="195" xr:uid="{00000000-0005-0000-0000-000016080000}"/>
    <cellStyle name="In 000s (Convert to 000s) 2" xfId="6368" xr:uid="{714B9669-3FE4-467C-B817-69FF0742D5CB}"/>
    <cellStyle name="In 000s (Convert to 000s) 3" xfId="6806" xr:uid="{E31C4B71-D712-4603-83FC-62AD378F24D7}"/>
    <cellStyle name="Input 10 2" xfId="2087" xr:uid="{00000000-0005-0000-0000-000017080000}"/>
    <cellStyle name="Input 10 2 2" xfId="2657" xr:uid="{00000000-0005-0000-0000-000018080000}"/>
    <cellStyle name="Input 10 2 2 2" xfId="3196" xr:uid="{00000000-0005-0000-0000-000075080000}"/>
    <cellStyle name="Input 10 2 3" xfId="5837" xr:uid="{FE573D70-17FF-4110-8539-5CA8F306A219}"/>
    <cellStyle name="Input 10 2 4" xfId="5815" xr:uid="{047061D3-DBAF-412F-8FAD-337A74F5F9C8}"/>
    <cellStyle name="Input 10 3" xfId="2088" xr:uid="{00000000-0005-0000-0000-000019080000}"/>
    <cellStyle name="Input 10 3 2" xfId="2658" xr:uid="{00000000-0005-0000-0000-00001A080000}"/>
    <cellStyle name="Input 10 3 2 2" xfId="3195" xr:uid="{00000000-0005-0000-0000-000078080000}"/>
    <cellStyle name="Input 10 3 3" xfId="6268" xr:uid="{B1F758D6-EF11-4BEA-B6B8-4966F862DB63}"/>
    <cellStyle name="Input 10 3 4" xfId="5816" xr:uid="{1F3FF3DD-9DB8-4740-AA5C-890C7EE86CD9}"/>
    <cellStyle name="Input 10 4" xfId="2089" xr:uid="{00000000-0005-0000-0000-00001B080000}"/>
    <cellStyle name="Input 10 4 2" xfId="2659" xr:uid="{00000000-0005-0000-0000-00001C080000}"/>
    <cellStyle name="Input 10 4 2 2" xfId="3194" xr:uid="{00000000-0005-0000-0000-00007B080000}"/>
    <cellStyle name="Input 10 4 3" xfId="6267" xr:uid="{75F99409-BC76-4D1F-9841-F609D63C3643}"/>
    <cellStyle name="Input 10 4 4" xfId="6039" xr:uid="{B7BFBDD8-3045-4286-B43D-D20E9FE5493A}"/>
    <cellStyle name="Input 10 5" xfId="2090" xr:uid="{00000000-0005-0000-0000-00001D080000}"/>
    <cellStyle name="Input 10 5 2" xfId="2660" xr:uid="{00000000-0005-0000-0000-00001E080000}"/>
    <cellStyle name="Input 10 5 2 2" xfId="3193" xr:uid="{00000000-0005-0000-0000-00007E080000}"/>
    <cellStyle name="Input 10 5 3" xfId="6266" xr:uid="{6ECE0731-C865-4C23-A5C2-9D2C65619040}"/>
    <cellStyle name="Input 10 5 4" xfId="6087" xr:uid="{CBC38E65-6B9E-449B-B451-1A3272A24444}"/>
    <cellStyle name="Input 10 6" xfId="2091" xr:uid="{00000000-0005-0000-0000-00001F080000}"/>
    <cellStyle name="Input 10 6 2" xfId="2661" xr:uid="{00000000-0005-0000-0000-000020080000}"/>
    <cellStyle name="Input 10 6 2 2" xfId="3192" xr:uid="{00000000-0005-0000-0000-000081080000}"/>
    <cellStyle name="Input 10 6 3" xfId="6265" xr:uid="{16AA5A71-73BE-4E2C-90F5-F8A696B23BEA}"/>
    <cellStyle name="Input 10 6 4" xfId="6242" xr:uid="{2ECBA1C5-612D-438E-9053-5C397C7A7B3C}"/>
    <cellStyle name="Input 11 2" xfId="2092" xr:uid="{00000000-0005-0000-0000-000021080000}"/>
    <cellStyle name="Input 11 2 2" xfId="2662" xr:uid="{00000000-0005-0000-0000-000022080000}"/>
    <cellStyle name="Input 11 2 2 2" xfId="3191" xr:uid="{00000000-0005-0000-0000-000084080000}"/>
    <cellStyle name="Input 11 2 3" xfId="6215" xr:uid="{762A8CFE-ADD9-4498-9C29-39DE8AD84F62}"/>
    <cellStyle name="Input 11 2 4" xfId="5766" xr:uid="{C777E277-8F3F-4E9D-84FD-889A2636893E}"/>
    <cellStyle name="Input 11 3" xfId="2093" xr:uid="{00000000-0005-0000-0000-000023080000}"/>
    <cellStyle name="Input 11 3 2" xfId="2663" xr:uid="{00000000-0005-0000-0000-000024080000}"/>
    <cellStyle name="Input 11 3 2 2" xfId="3190" xr:uid="{00000000-0005-0000-0000-000087080000}"/>
    <cellStyle name="Input 11 3 3" xfId="5838" xr:uid="{17CE13CD-BA2F-4529-84DE-FF1B8D2BC209}"/>
    <cellStyle name="Input 11 3 4" xfId="5839" xr:uid="{0F54F95F-4D38-4D07-937A-59EFA9EC7334}"/>
    <cellStyle name="Input 11 4" xfId="2094" xr:uid="{00000000-0005-0000-0000-000025080000}"/>
    <cellStyle name="Input 11 4 2" xfId="2664" xr:uid="{00000000-0005-0000-0000-000026080000}"/>
    <cellStyle name="Input 11 4 2 2" xfId="3189" xr:uid="{00000000-0005-0000-0000-00008A080000}"/>
    <cellStyle name="Input 11 4 3" xfId="6264" xr:uid="{010A37CB-3715-4932-B781-9FDE09028CDF}"/>
    <cellStyle name="Input 11 4 4" xfId="6040" xr:uid="{BC4554EC-677A-4296-AB54-DF89336427EB}"/>
    <cellStyle name="Input 11 5" xfId="2095" xr:uid="{00000000-0005-0000-0000-000027080000}"/>
    <cellStyle name="Input 11 5 2" xfId="2665" xr:uid="{00000000-0005-0000-0000-000028080000}"/>
    <cellStyle name="Input 11 5 2 2" xfId="3188" xr:uid="{00000000-0005-0000-0000-00008D080000}"/>
    <cellStyle name="Input 11 5 3" xfId="5940" xr:uid="{7B363330-225F-4696-B683-E12F44F64A0B}"/>
    <cellStyle name="Input 11 5 4" xfId="6041" xr:uid="{D0389027-0BF9-4A8B-9591-67C70EB8794A}"/>
    <cellStyle name="Input 11 6" xfId="2096" xr:uid="{00000000-0005-0000-0000-000029080000}"/>
    <cellStyle name="Input 11 6 2" xfId="2666" xr:uid="{00000000-0005-0000-0000-00002A080000}"/>
    <cellStyle name="Input 11 6 2 2" xfId="3187" xr:uid="{00000000-0005-0000-0000-000090080000}"/>
    <cellStyle name="Input 11 6 3" xfId="5939" xr:uid="{319918CE-7564-481E-B69F-4541CAE2E801}"/>
    <cellStyle name="Input 11 6 4" xfId="6088" xr:uid="{9DA77C17-8AAD-42EB-841E-8ECF20EF7EA8}"/>
    <cellStyle name="Input 2" xfId="196" xr:uid="{00000000-0005-0000-0000-00002B080000}"/>
    <cellStyle name="Input 2 2" xfId="2097" xr:uid="{00000000-0005-0000-0000-00002C080000}"/>
    <cellStyle name="Input 2 2 2" xfId="2667" xr:uid="{00000000-0005-0000-0000-00002D080000}"/>
    <cellStyle name="Input 2 2 2 2" xfId="3186" xr:uid="{00000000-0005-0000-0000-000094080000}"/>
    <cellStyle name="Input 2 2 3" xfId="5938" xr:uid="{67894EDA-989E-4C72-8E89-CA0645846FCD}"/>
    <cellStyle name="Input 2 2 4" xfId="5773" xr:uid="{763B4B9E-20E4-4163-A189-5C4E243EDEAB}"/>
    <cellStyle name="Input 2 3" xfId="2098" xr:uid="{00000000-0005-0000-0000-00002E080000}"/>
    <cellStyle name="Input 2 3 2" xfId="2668" xr:uid="{00000000-0005-0000-0000-00002F080000}"/>
    <cellStyle name="Input 2 3 2 2" xfId="3185" xr:uid="{00000000-0005-0000-0000-000097080000}"/>
    <cellStyle name="Input 2 3 3" xfId="5937" xr:uid="{3FF3CE16-FD6F-4F75-B08F-B74F84929E33}"/>
    <cellStyle name="Input 2 3 4" xfId="5814" xr:uid="{569D6970-AF61-4CAF-8B02-EE7417E48B1E}"/>
    <cellStyle name="Input 2 3 5" xfId="5151" xr:uid="{7AF6000B-82E8-4793-9A1A-D5743E0EADA2}"/>
    <cellStyle name="Input 2 3 6" xfId="5576" xr:uid="{C1F9EB5E-24A4-4B6C-8D51-9216C3385408}"/>
    <cellStyle name="Input 2 4" xfId="2099" xr:uid="{00000000-0005-0000-0000-000030080000}"/>
    <cellStyle name="Input 2 4 2" xfId="2669" xr:uid="{00000000-0005-0000-0000-000031080000}"/>
    <cellStyle name="Input 2 4 2 2" xfId="3184" xr:uid="{00000000-0005-0000-0000-00009A080000}"/>
    <cellStyle name="Input 2 4 3" xfId="6252" xr:uid="{F6A0DEDB-2AD5-4E2A-88A3-3C82053275EB}"/>
    <cellStyle name="Input 2 4 4" xfId="6043" xr:uid="{95B751C2-2BE2-440A-97C9-739726053414}"/>
    <cellStyle name="Input 2 4 5" xfId="5133" xr:uid="{3AC0B5D3-2A67-41BD-B0D0-9272EF6DFB26}"/>
    <cellStyle name="Input 2 4 6" xfId="5391" xr:uid="{CEAE7AB8-3A85-43BF-BFE2-1363351D6C9E}"/>
    <cellStyle name="Input 2 5" xfId="2100" xr:uid="{00000000-0005-0000-0000-000032080000}"/>
    <cellStyle name="Input 2 5 2" xfId="2670" xr:uid="{00000000-0005-0000-0000-000033080000}"/>
    <cellStyle name="Input 2 5 2 2" xfId="3183" xr:uid="{00000000-0005-0000-0000-00009D080000}"/>
    <cellStyle name="Input 2 5 3" xfId="6214" xr:uid="{69D024C4-BAC7-46CB-B0C3-6EC0A29C1901}"/>
    <cellStyle name="Input 2 5 4" xfId="6044" xr:uid="{AFD2DAA0-7092-480E-A208-281B17790994}"/>
    <cellStyle name="Input 2 5 5" xfId="5539" xr:uid="{93D05F97-2ECD-46B3-900F-5830954FEEF7}"/>
    <cellStyle name="Input 2 5 6" xfId="5161" xr:uid="{25D60833-560C-4568-8512-AF98419D14F2}"/>
    <cellStyle name="Input 2 6" xfId="2101" xr:uid="{00000000-0005-0000-0000-000034080000}"/>
    <cellStyle name="Input 2 6 2" xfId="2671" xr:uid="{00000000-0005-0000-0000-000035080000}"/>
    <cellStyle name="Input 2 6 2 2" xfId="3182" xr:uid="{00000000-0005-0000-0000-0000A0080000}"/>
    <cellStyle name="Input 2 6 3" xfId="5935" xr:uid="{7A71EE37-AB4A-4937-8BDD-655FBE27DE8C}"/>
    <cellStyle name="Input 2 6 4" xfId="5852" xr:uid="{001CA213-5FA3-455D-A737-80FBCF812C5A}"/>
    <cellStyle name="Input 2 6 5" xfId="5192" xr:uid="{8992ADC8-66CC-43A9-811C-5C4A14307B91}"/>
    <cellStyle name="Input 2 6 6" xfId="5280" xr:uid="{DCD518C6-2E8F-4D97-84DA-6A0ACD13E4E7}"/>
    <cellStyle name="Input 2 7" xfId="2560" xr:uid="{00000000-0005-0000-0000-000036080000}"/>
    <cellStyle name="Input 2 7 2" xfId="3293" xr:uid="{00000000-0005-0000-0000-0000A2080000}"/>
    <cellStyle name="Input 2 8" xfId="5642" xr:uid="{B14F4FB0-7D08-440C-A37D-8AD1911C6916}"/>
    <cellStyle name="Input 2 8 2" xfId="5843" xr:uid="{96C0AE59-FE40-4D8D-82BC-55A0B7280D8E}"/>
    <cellStyle name="Input 2 9" xfId="6169" xr:uid="{07FEBB63-53AC-4846-826F-B138536C6C67}"/>
    <cellStyle name="Input 3" xfId="197" xr:uid="{00000000-0005-0000-0000-000037080000}"/>
    <cellStyle name="Input 3 10" xfId="5842" xr:uid="{E73DDD80-7D5A-43D8-B66B-D3B515E6D817}"/>
    <cellStyle name="Input 3 11" xfId="6083" xr:uid="{CA06D40D-0EAA-48D9-A27D-DCE7A3470EC8}"/>
    <cellStyle name="Input 3 12" xfId="5665" xr:uid="{F7A2F333-D5F6-435B-BFEA-BBD1D6906431}"/>
    <cellStyle name="Input 3 2" xfId="2103" xr:uid="{00000000-0005-0000-0000-000038080000}"/>
    <cellStyle name="Input 3 2 2" xfId="2673" xr:uid="{00000000-0005-0000-0000-000039080000}"/>
    <cellStyle name="Input 3 2 2 2" xfId="3180" xr:uid="{00000000-0005-0000-0000-0000A6080000}"/>
    <cellStyle name="Input 3 2 3" xfId="5933" xr:uid="{66521F9E-63CA-4E59-9F59-75BD31FF73E5}"/>
    <cellStyle name="Input 3 2 4" xfId="6046" xr:uid="{76682DF3-E537-4E73-8190-ABB22363FDA0}"/>
    <cellStyle name="Input 3 3" xfId="2104" xr:uid="{00000000-0005-0000-0000-00003A080000}"/>
    <cellStyle name="Input 3 3 2" xfId="2674" xr:uid="{00000000-0005-0000-0000-00003B080000}"/>
    <cellStyle name="Input 3 3 2 2" xfId="3179" xr:uid="{00000000-0005-0000-0000-0000A9080000}"/>
    <cellStyle name="Input 3 3 3" xfId="5932" xr:uid="{AA6EA462-1F6C-405E-93DD-F361D68E3B3C}"/>
    <cellStyle name="Input 3 3 4" xfId="5774" xr:uid="{CDE6B0A8-5E86-480B-B583-5EF39E1B0178}"/>
    <cellStyle name="Input 3 4" xfId="2105" xr:uid="{00000000-0005-0000-0000-00003C080000}"/>
    <cellStyle name="Input 3 4 2" xfId="2675" xr:uid="{00000000-0005-0000-0000-00003D080000}"/>
    <cellStyle name="Input 3 4 2 2" xfId="3178" xr:uid="{00000000-0005-0000-0000-0000AC080000}"/>
    <cellStyle name="Input 3 4 3" xfId="5931" xr:uid="{656EDB02-8D99-4C30-8AA3-2F31F5534CE2}"/>
    <cellStyle name="Input 3 4 4" xfId="6042" xr:uid="{E12712BB-0444-409D-A5CD-C8EB137AD257}"/>
    <cellStyle name="Input 3 5" xfId="2106" xr:uid="{00000000-0005-0000-0000-00003E080000}"/>
    <cellStyle name="Input 3 5 2" xfId="2676" xr:uid="{00000000-0005-0000-0000-00003F080000}"/>
    <cellStyle name="Input 3 5 2 2" xfId="3177" xr:uid="{00000000-0005-0000-0000-0000AF080000}"/>
    <cellStyle name="Input 3 5 3" xfId="6263" xr:uid="{14B89B93-90B0-4AC4-AC00-1FA5DAB7D7F3}"/>
    <cellStyle name="Input 3 5 4" xfId="6163" xr:uid="{68B076AF-51EA-4BC3-830A-1009A6434109}"/>
    <cellStyle name="Input 3 6" xfId="2107" xr:uid="{00000000-0005-0000-0000-000040080000}"/>
    <cellStyle name="Input 3 6 2" xfId="2677" xr:uid="{00000000-0005-0000-0000-000041080000}"/>
    <cellStyle name="Input 3 6 2 2" xfId="3176" xr:uid="{00000000-0005-0000-0000-0000B2080000}"/>
    <cellStyle name="Input 3 6 3" xfId="5936" xr:uid="{ACEFAC19-B54C-4C74-9051-CA9ECD1D4AF3}"/>
    <cellStyle name="Input 3 6 4" xfId="6047" xr:uid="{FCD37B24-66DF-49C2-96A0-B7D57D65A0DD}"/>
    <cellStyle name="Input 3 7" xfId="2108" xr:uid="{00000000-0005-0000-0000-000042080000}"/>
    <cellStyle name="Input 3 7 2" xfId="2678" xr:uid="{00000000-0005-0000-0000-000043080000}"/>
    <cellStyle name="Input 3 7 2 2" xfId="3175" xr:uid="{00000000-0005-0000-0000-0000B5080000}"/>
    <cellStyle name="Input 3 7 3" xfId="6213" xr:uid="{99EAC096-6AA5-4790-A697-4FDB332947C8}"/>
    <cellStyle name="Input 3 7 4" xfId="5849" xr:uid="{08B69870-754A-4DA9-B8AC-65713FEFAEE7}"/>
    <cellStyle name="Input 3 7 5" xfId="5191" xr:uid="{C7D95685-0FD0-4316-B88E-7E395CC3762D}"/>
    <cellStyle name="Input 3 7 6" xfId="5125" xr:uid="{D08416E6-ABEA-4B06-ABD9-D400D661FB55}"/>
    <cellStyle name="Input 3 8" xfId="2102" xr:uid="{00000000-0005-0000-0000-000044080000}"/>
    <cellStyle name="Input 3 8 2" xfId="2672" xr:uid="{00000000-0005-0000-0000-000045080000}"/>
    <cellStyle name="Input 3 8 2 2" xfId="3181" xr:uid="{00000000-0005-0000-0000-0000B8080000}"/>
    <cellStyle name="Input 3 8 3" xfId="5934" xr:uid="{7279A80A-DE3C-4322-AE72-0AC230636EFB}"/>
    <cellStyle name="Input 3 8 4" xfId="6045" xr:uid="{1FC0A7A1-0769-4A71-9B84-93EDFCDE990F}"/>
    <cellStyle name="Input 3 9" xfId="2561" xr:uid="{00000000-0005-0000-0000-000046080000}"/>
    <cellStyle name="Input 3 9 2" xfId="3292" xr:uid="{00000000-0005-0000-0000-0000BA080000}"/>
    <cellStyle name="Input 4" xfId="198" xr:uid="{00000000-0005-0000-0000-000047080000}"/>
    <cellStyle name="Input 4 10" xfId="6200" xr:uid="{D7016325-901D-4D52-97DF-995F76222473}"/>
    <cellStyle name="Input 4 11" xfId="6084" xr:uid="{D4061EA0-8C3A-4F92-93F3-504056AC6368}"/>
    <cellStyle name="Input 4 2" xfId="2110" xr:uid="{00000000-0005-0000-0000-000048080000}"/>
    <cellStyle name="Input 4 2 2" xfId="2680" xr:uid="{00000000-0005-0000-0000-000049080000}"/>
    <cellStyle name="Input 4 2 2 2" xfId="3173" xr:uid="{00000000-0005-0000-0000-0000BE080000}"/>
    <cellStyle name="Input 4 2 3" xfId="5928" xr:uid="{F9954C02-F655-456A-A4EA-17EDFBAF4AF2}"/>
    <cellStyle name="Input 4 2 4" xfId="6050" xr:uid="{EC8C4A13-6AF8-45B2-9B4B-722DCCA288F6}"/>
    <cellStyle name="Input 4 2 5" xfId="5190" xr:uid="{8FA745AA-4921-46FF-8507-EBBA8621D07B}"/>
    <cellStyle name="Input 4 2 6" xfId="5279" xr:uid="{57955373-696F-40CD-B992-7E25C964876C}"/>
    <cellStyle name="Input 4 3" xfId="2111" xr:uid="{00000000-0005-0000-0000-00004A080000}"/>
    <cellStyle name="Input 4 3 2" xfId="2681" xr:uid="{00000000-0005-0000-0000-00004B080000}"/>
    <cellStyle name="Input 4 3 2 2" xfId="3172" xr:uid="{00000000-0005-0000-0000-0000C1080000}"/>
    <cellStyle name="Input 4 3 3" xfId="5927" xr:uid="{C30801E8-AEAB-47C7-A545-66EEF098E4D8}"/>
    <cellStyle name="Input 4 3 4" xfId="6051" xr:uid="{F9BE8F9F-6FB3-4A63-B3B0-1CD917C16EB1}"/>
    <cellStyle name="Input 4 4" xfId="2112" xr:uid="{00000000-0005-0000-0000-00004C080000}"/>
    <cellStyle name="Input 4 4 2" xfId="2682" xr:uid="{00000000-0005-0000-0000-00004D080000}"/>
    <cellStyle name="Input 4 4 2 2" xfId="3171" xr:uid="{00000000-0005-0000-0000-0000C4080000}"/>
    <cellStyle name="Input 4 4 3" xfId="5926" xr:uid="{890C9DE6-D168-4F16-9328-294BAFB88998}"/>
    <cellStyle name="Input 4 4 4" xfId="5910" xr:uid="{EE4726BD-93A1-4341-A3F9-346672CD3B88}"/>
    <cellStyle name="Input 4 5" xfId="2113" xr:uid="{00000000-0005-0000-0000-00004E080000}"/>
    <cellStyle name="Input 4 5 2" xfId="2683" xr:uid="{00000000-0005-0000-0000-00004F080000}"/>
    <cellStyle name="Input 4 5 2 2" xfId="3170" xr:uid="{00000000-0005-0000-0000-0000C7080000}"/>
    <cellStyle name="Input 4 5 3" xfId="6262" xr:uid="{1176DC78-FCCA-4F21-84D8-F32150B8988B}"/>
    <cellStyle name="Input 4 5 4" xfId="6177" xr:uid="{F2A709CD-1F56-4C1A-9AE3-A020CB0A9BDB}"/>
    <cellStyle name="Input 4 6" xfId="2114" xr:uid="{00000000-0005-0000-0000-000050080000}"/>
    <cellStyle name="Input 4 6 2" xfId="2684" xr:uid="{00000000-0005-0000-0000-000051080000}"/>
    <cellStyle name="Input 4 6 2 2" xfId="3169" xr:uid="{00000000-0005-0000-0000-0000CA080000}"/>
    <cellStyle name="Input 4 6 3" xfId="5924" xr:uid="{7EA13789-B041-44A8-842C-F358E4F9DF78}"/>
    <cellStyle name="Input 4 6 4" xfId="6307" xr:uid="{17DC61B2-F410-41CB-9D5B-03AC2E2194CB}"/>
    <cellStyle name="Input 4 7" xfId="2115" xr:uid="{00000000-0005-0000-0000-000052080000}"/>
    <cellStyle name="Input 4 7 2" xfId="2685" xr:uid="{00000000-0005-0000-0000-000053080000}"/>
    <cellStyle name="Input 4 7 2 2" xfId="3168" xr:uid="{00000000-0005-0000-0000-0000CD080000}"/>
    <cellStyle name="Input 4 7 3" xfId="5836" xr:uid="{623D5428-CAC2-4290-86F6-395D68CF0B5C}"/>
    <cellStyle name="Input 4 7 4" xfId="5911" xr:uid="{89DDA598-9795-4743-9E26-3242A44CB35F}"/>
    <cellStyle name="Input 4 8" xfId="2109" xr:uid="{00000000-0005-0000-0000-000054080000}"/>
    <cellStyle name="Input 4 8 2" xfId="2679" xr:uid="{00000000-0005-0000-0000-000055080000}"/>
    <cellStyle name="Input 4 8 2 2" xfId="3174" xr:uid="{00000000-0005-0000-0000-0000D0080000}"/>
    <cellStyle name="Input 4 8 3" xfId="5929" xr:uid="{5B402378-3BDF-4E1D-8793-A6477EBCE232}"/>
    <cellStyle name="Input 4 8 4" xfId="6049" xr:uid="{AC0A0686-1C51-4444-8B38-C56181E9D81F}"/>
    <cellStyle name="Input 4 9" xfId="2562" xr:uid="{00000000-0005-0000-0000-000056080000}"/>
    <cellStyle name="Input 4 9 2" xfId="3291" xr:uid="{00000000-0005-0000-0000-0000D2080000}"/>
    <cellStyle name="Input 5" xfId="199" xr:uid="{00000000-0005-0000-0000-000057080000}"/>
    <cellStyle name="Input 5 2" xfId="2116" xr:uid="{00000000-0005-0000-0000-000058080000}"/>
    <cellStyle name="Input 5 2 2" xfId="2686" xr:uid="{00000000-0005-0000-0000-000059080000}"/>
    <cellStyle name="Input 5 2 2 2" xfId="3167" xr:uid="{00000000-0005-0000-0000-0000D6080000}"/>
    <cellStyle name="Input 5 2 3" xfId="5835" xr:uid="{41858DD1-1087-4E4B-8F09-6361B3CB1514}"/>
    <cellStyle name="Input 5 2 4" xfId="6260" xr:uid="{F0E8EC39-D32A-4171-9134-7D5D42235A11}"/>
    <cellStyle name="Input 5 3" xfId="2117" xr:uid="{00000000-0005-0000-0000-00005A080000}"/>
    <cellStyle name="Input 5 3 2" xfId="2687" xr:uid="{00000000-0005-0000-0000-00005B080000}"/>
    <cellStyle name="Input 5 3 2 2" xfId="3166" xr:uid="{00000000-0005-0000-0000-0000D9080000}"/>
    <cellStyle name="Input 5 3 3" xfId="5756" xr:uid="{AD2483E2-84D0-4D2C-92CE-7A7CD7EC5FB1}"/>
    <cellStyle name="Input 5 3 4" xfId="5918" xr:uid="{F511C028-3B6F-4712-937B-B7B8179F00DD}"/>
    <cellStyle name="Input 5 4" xfId="2118" xr:uid="{00000000-0005-0000-0000-00005C080000}"/>
    <cellStyle name="Input 5 4 2" xfId="2688" xr:uid="{00000000-0005-0000-0000-00005D080000}"/>
    <cellStyle name="Input 5 4 2 2" xfId="3165" xr:uid="{00000000-0005-0000-0000-0000DC080000}"/>
    <cellStyle name="Input 5 4 3" xfId="6183" xr:uid="{569F3EBA-6EF1-429A-A9E4-EDA8FE582E32}"/>
    <cellStyle name="Input 5 4 4" xfId="5731" xr:uid="{89551195-EB02-48CB-B356-EAB4D10DBFEB}"/>
    <cellStyle name="Input 5 5" xfId="2119" xr:uid="{00000000-0005-0000-0000-00005E080000}"/>
    <cellStyle name="Input 5 5 2" xfId="2689" xr:uid="{00000000-0005-0000-0000-00005F080000}"/>
    <cellStyle name="Input 5 5 2 2" xfId="3164" xr:uid="{00000000-0005-0000-0000-0000DF080000}"/>
    <cellStyle name="Input 5 5 3" xfId="6182" xr:uid="{884B2037-575F-4D15-8A7D-9845D7E11BDB}"/>
    <cellStyle name="Input 5 5 4" xfId="5730" xr:uid="{E55AA72F-05F8-4521-B2B9-5B69ADFA87DF}"/>
    <cellStyle name="Input 5 6" xfId="2120" xr:uid="{00000000-0005-0000-0000-000060080000}"/>
    <cellStyle name="Input 5 6 2" xfId="2690" xr:uid="{00000000-0005-0000-0000-000061080000}"/>
    <cellStyle name="Input 5 6 2 2" xfId="3163" xr:uid="{00000000-0005-0000-0000-0000E2080000}"/>
    <cellStyle name="Input 5 6 3" xfId="6181" xr:uid="{E8392A5D-2DC8-40D5-8325-68776BA63172}"/>
    <cellStyle name="Input 5 6 4" xfId="5868" xr:uid="{3B4DD3AF-9953-4397-A1FE-CEEE3CE95E9A}"/>
    <cellStyle name="Input 5 7" xfId="2563" xr:uid="{00000000-0005-0000-0000-000062080000}"/>
    <cellStyle name="Input 5 7 2" xfId="3290" xr:uid="{00000000-0005-0000-0000-0000E4080000}"/>
    <cellStyle name="Input 5 8" xfId="5841" xr:uid="{3124AF55-2B88-4A5A-A321-CC0A66F72302}"/>
    <cellStyle name="Input 5 9" xfId="6085" xr:uid="{33B89B3D-060F-4339-AB31-ACFEA0C1567D}"/>
    <cellStyle name="Input 6" xfId="200" xr:uid="{00000000-0005-0000-0000-000063080000}"/>
    <cellStyle name="Input 6 2" xfId="2121" xr:uid="{00000000-0005-0000-0000-000064080000}"/>
    <cellStyle name="Input 6 2 2" xfId="2691" xr:uid="{00000000-0005-0000-0000-000065080000}"/>
    <cellStyle name="Input 6 2 2 2" xfId="3162" xr:uid="{00000000-0005-0000-0000-0000E8080000}"/>
    <cellStyle name="Input 6 2 3" xfId="5930" xr:uid="{46F6151B-6627-4FBC-8CDD-A436F3C972DE}"/>
    <cellStyle name="Input 6 2 4" xfId="5912" xr:uid="{367A5D5F-4915-4990-A776-ADAD08C53B62}"/>
    <cellStyle name="Input 6 3" xfId="2122" xr:uid="{00000000-0005-0000-0000-000066080000}"/>
    <cellStyle name="Input 6 3 2" xfId="2692" xr:uid="{00000000-0005-0000-0000-000067080000}"/>
    <cellStyle name="Input 6 3 2 2" xfId="3161" xr:uid="{00000000-0005-0000-0000-0000EB080000}"/>
    <cellStyle name="Input 6 3 3" xfId="6212" xr:uid="{8E0E999A-04C4-433B-8D7C-54C43CC24C6A}"/>
    <cellStyle name="Input 6 3 4" xfId="5768" xr:uid="{F9B68A55-F74B-46F7-A732-323D5968A887}"/>
    <cellStyle name="Input 6 4" xfId="2123" xr:uid="{00000000-0005-0000-0000-000068080000}"/>
    <cellStyle name="Input 6 4 2" xfId="2693" xr:uid="{00000000-0005-0000-0000-000069080000}"/>
    <cellStyle name="Input 6 4 2 2" xfId="3160" xr:uid="{00000000-0005-0000-0000-0000EE080000}"/>
    <cellStyle name="Input 6 4 3" xfId="5923" xr:uid="{6A514C5E-5937-4D27-9E9C-55BFAEA6E52B}"/>
    <cellStyle name="Input 6 4 4" xfId="6053" xr:uid="{FD8CD67F-B245-4A56-840D-8CC389532092}"/>
    <cellStyle name="Input 6 5" xfId="2124" xr:uid="{00000000-0005-0000-0000-00006A080000}"/>
    <cellStyle name="Input 6 5 2" xfId="2694" xr:uid="{00000000-0005-0000-0000-00006B080000}"/>
    <cellStyle name="Input 6 5 2 2" xfId="3159" xr:uid="{00000000-0005-0000-0000-0000F1080000}"/>
    <cellStyle name="Input 6 5 3" xfId="6180" xr:uid="{C714F04F-2BE3-439F-B4ED-8D0019451094}"/>
    <cellStyle name="Input 6 5 4" xfId="6054" xr:uid="{94F3D171-A4E7-47B8-A2C9-A97375F0F1DB}"/>
    <cellStyle name="Input 6 6" xfId="2125" xr:uid="{00000000-0005-0000-0000-00006C080000}"/>
    <cellStyle name="Input 6 6 2" xfId="2695" xr:uid="{00000000-0005-0000-0000-00006D080000}"/>
    <cellStyle name="Input 6 6 2 2" xfId="3158" xr:uid="{00000000-0005-0000-0000-0000F4080000}"/>
    <cellStyle name="Input 6 6 3" xfId="6179" xr:uid="{018611F8-4CE9-4A29-AA39-33352833D036}"/>
    <cellStyle name="Input 6 6 4" xfId="5943" xr:uid="{30D56441-37BF-46D2-BFD0-7EE69C84DE97}"/>
    <cellStyle name="Input 6 7" xfId="2564" xr:uid="{00000000-0005-0000-0000-00006E080000}"/>
    <cellStyle name="Input 6 7 2" xfId="3289" xr:uid="{00000000-0005-0000-0000-0000F6080000}"/>
    <cellStyle name="Input 6 8" xfId="6092" xr:uid="{677A9CF2-1ED1-45F3-9CAE-43AEF164AD17}"/>
    <cellStyle name="Input 6 9" xfId="6276" xr:uid="{163842C6-EC79-4EBA-9853-1A1AAFBB2BE0}"/>
    <cellStyle name="Input 7" xfId="201" xr:uid="{00000000-0005-0000-0000-00006F080000}"/>
    <cellStyle name="Input 7 2" xfId="2126" xr:uid="{00000000-0005-0000-0000-000070080000}"/>
    <cellStyle name="Input 7 2 2" xfId="2696" xr:uid="{00000000-0005-0000-0000-000071080000}"/>
    <cellStyle name="Input 7 2 2 2" xfId="3157" xr:uid="{00000000-0005-0000-0000-0000FA080000}"/>
    <cellStyle name="Input 7 2 3" xfId="5922" xr:uid="{41F22F31-802A-4ED3-B4C6-F1D39AF8433C}"/>
    <cellStyle name="Input 7 2 4" xfId="6048" xr:uid="{D5E381A7-BA94-47CC-A310-BDD2C022D9A3}"/>
    <cellStyle name="Input 7 3" xfId="2127" xr:uid="{00000000-0005-0000-0000-000072080000}"/>
    <cellStyle name="Input 7 3 2" xfId="2697" xr:uid="{00000000-0005-0000-0000-000073080000}"/>
    <cellStyle name="Input 7 3 2 2" xfId="3156" xr:uid="{00000000-0005-0000-0000-0000FD080000}"/>
    <cellStyle name="Input 7 3 3" xfId="5921" xr:uid="{A38BE836-1164-4EBA-9D70-24D92DDDD6CD}"/>
    <cellStyle name="Input 7 3 4" xfId="5850" xr:uid="{3438DA0C-3431-433A-B8F9-D97F88FD05EA}"/>
    <cellStyle name="Input 7 4" xfId="2128" xr:uid="{00000000-0005-0000-0000-000074080000}"/>
    <cellStyle name="Input 7 4 2" xfId="2698" xr:uid="{00000000-0005-0000-0000-000075080000}"/>
    <cellStyle name="Input 7 4 2 2" xfId="3155" xr:uid="{00000000-0005-0000-0000-000000090000}"/>
    <cellStyle name="Input 7 4 3" xfId="5751" xr:uid="{7F5845A9-5DBD-4EB4-9BF6-076508ABCDE0}"/>
    <cellStyle name="Input 7 4 4" xfId="6056" xr:uid="{CEC3109F-3DDD-48C6-B0EB-B3A1D4085CE4}"/>
    <cellStyle name="Input 7 5" xfId="2129" xr:uid="{00000000-0005-0000-0000-000076080000}"/>
    <cellStyle name="Input 7 5 2" xfId="2699" xr:uid="{00000000-0005-0000-0000-000077080000}"/>
    <cellStyle name="Input 7 5 2 2" xfId="3154" xr:uid="{00000000-0005-0000-0000-000003090000}"/>
    <cellStyle name="Input 7 5 3" xfId="5920" xr:uid="{CDA4B3CB-956C-4670-80B0-6C072AB02F91}"/>
    <cellStyle name="Input 7 5 4" xfId="6167" xr:uid="{01F7B89F-34C8-4A94-BCFE-4328983FD442}"/>
    <cellStyle name="Input 7 6" xfId="2130" xr:uid="{00000000-0005-0000-0000-000078080000}"/>
    <cellStyle name="Input 7 6 2" xfId="2700" xr:uid="{00000000-0005-0000-0000-000079080000}"/>
    <cellStyle name="Input 7 6 2 2" xfId="3153" xr:uid="{00000000-0005-0000-0000-000006090000}"/>
    <cellStyle name="Input 7 6 3" xfId="5919" xr:uid="{0C973FA3-ACC0-4F9E-BA72-DF9089F061E5}"/>
    <cellStyle name="Input 7 6 4" xfId="6057" xr:uid="{FF12C567-2E04-47BE-8FD4-F6487F50701F}"/>
    <cellStyle name="Input 7 7" xfId="2565" xr:uid="{00000000-0005-0000-0000-00007A080000}"/>
    <cellStyle name="Input 7 7 2" xfId="3288" xr:uid="{00000000-0005-0000-0000-000008090000}"/>
    <cellStyle name="Input 7 8" xfId="5741" xr:uid="{536BB9FC-CFCC-4DD7-95EF-CF68CC046F46}"/>
    <cellStyle name="Input 7 9" xfId="5990" xr:uid="{B30B4C77-24B0-4843-87C4-4B94488F9043}"/>
    <cellStyle name="Input 8 2" xfId="2131" xr:uid="{00000000-0005-0000-0000-00007B080000}"/>
    <cellStyle name="Input 8 2 2" xfId="2701" xr:uid="{00000000-0005-0000-0000-00007C080000}"/>
    <cellStyle name="Input 8 2 2 2" xfId="3152" xr:uid="{00000000-0005-0000-0000-00000B090000}"/>
    <cellStyle name="Input 8 2 3" xfId="6211" xr:uid="{CFF425E2-7631-4A3B-823F-8809450AC470}"/>
    <cellStyle name="Input 8 2 4" xfId="6058" xr:uid="{A313AD33-497C-48E8-94B3-58698F8028DB}"/>
    <cellStyle name="Input 8 3" xfId="2132" xr:uid="{00000000-0005-0000-0000-00007D080000}"/>
    <cellStyle name="Input 8 3 2" xfId="2702" xr:uid="{00000000-0005-0000-0000-00007E080000}"/>
    <cellStyle name="Input 8 3 2 2" xfId="3151" xr:uid="{00000000-0005-0000-0000-00000E090000}"/>
    <cellStyle name="Input 8 3 3" xfId="5925" xr:uid="{0C0D2341-6BAC-44F6-AB2F-58A085524934}"/>
    <cellStyle name="Input 8 3 4" xfId="6052" xr:uid="{77883262-661C-40D0-B9A9-D522F14FC3DD}"/>
    <cellStyle name="Input 8 4" xfId="2133" xr:uid="{00000000-0005-0000-0000-00007F080000}"/>
    <cellStyle name="Input 8 4 2" xfId="2703" xr:uid="{00000000-0005-0000-0000-000080080000}"/>
    <cellStyle name="Input 8 4 2 2" xfId="3150" xr:uid="{00000000-0005-0000-0000-000011090000}"/>
    <cellStyle name="Input 8 4 3" xfId="6261" xr:uid="{0435158E-95E7-48DA-BD9F-FE5EFADE00AE}"/>
    <cellStyle name="Input 8 4 4" xfId="5732" xr:uid="{B0DC7390-8A5D-4DA6-B7E3-7B6D661571C3}"/>
    <cellStyle name="Input 8 5" xfId="2134" xr:uid="{00000000-0005-0000-0000-000081080000}"/>
    <cellStyle name="Input 8 5 2" xfId="2704" xr:uid="{00000000-0005-0000-0000-000082080000}"/>
    <cellStyle name="Input 8 5 2 2" xfId="3149" xr:uid="{00000000-0005-0000-0000-000014090000}"/>
    <cellStyle name="Input 8 5 3" xfId="5917" xr:uid="{AD3FEABF-66FA-40A6-B2C6-027261436489}"/>
    <cellStyle name="Input 8 5 4" xfId="5775" xr:uid="{B32398B4-3A36-4D35-990E-D87AC7A4D12E}"/>
    <cellStyle name="Input 8 6" xfId="2135" xr:uid="{00000000-0005-0000-0000-000083080000}"/>
    <cellStyle name="Input 8 6 2" xfId="2705" xr:uid="{00000000-0005-0000-0000-000084080000}"/>
    <cellStyle name="Input 8 6 2 2" xfId="3148" xr:uid="{00000000-0005-0000-0000-000017090000}"/>
    <cellStyle name="Input 8 6 3" xfId="5916" xr:uid="{9D596ED5-FBB7-4F34-80F6-3E611013D645}"/>
    <cellStyle name="Input 8 6 4" xfId="5844" xr:uid="{6F24A66A-563A-4DA5-A522-5292B15EFD6E}"/>
    <cellStyle name="Input 9 2" xfId="2136" xr:uid="{00000000-0005-0000-0000-000085080000}"/>
    <cellStyle name="Input 9 2 2" xfId="2706" xr:uid="{00000000-0005-0000-0000-000086080000}"/>
    <cellStyle name="Input 9 2 2 2" xfId="3147" xr:uid="{00000000-0005-0000-0000-00001A090000}"/>
    <cellStyle name="Input 9 2 3" xfId="5915" xr:uid="{EA945FEF-73D2-4C52-8B00-2B115DDE8B09}"/>
    <cellStyle name="Input 9 2 4" xfId="6269" xr:uid="{3B5E8795-7D70-4EE2-AF93-1A829CD62BB7}"/>
    <cellStyle name="Input 9 3" xfId="2137" xr:uid="{00000000-0005-0000-0000-000087080000}"/>
    <cellStyle name="Input 9 3 2" xfId="2707" xr:uid="{00000000-0005-0000-0000-000088080000}"/>
    <cellStyle name="Input 9 3 2 2" xfId="3146" xr:uid="{00000000-0005-0000-0000-00001D090000}"/>
    <cellStyle name="Input 9 3 3" xfId="6210" xr:uid="{E5C767F0-0245-4501-AD2B-4430090E98A9}"/>
    <cellStyle name="Input 9 3 4" xfId="6055" xr:uid="{CFC949F4-6C63-47B7-BD0F-5F0D8572AA9B}"/>
    <cellStyle name="Input 9 4" xfId="2138" xr:uid="{00000000-0005-0000-0000-000089080000}"/>
    <cellStyle name="Input 9 4 2" xfId="2708" xr:uid="{00000000-0005-0000-0000-00008A080000}"/>
    <cellStyle name="Input 9 4 2 2" xfId="3145" xr:uid="{00000000-0005-0000-0000-000020090000}"/>
    <cellStyle name="Input 9 4 3" xfId="5914" xr:uid="{CB29F82C-B950-4485-A955-E370CFA26437}"/>
    <cellStyle name="Input 9 4 4" xfId="5851" xr:uid="{64A636DB-0D84-4175-99B1-296D4FD97001}"/>
    <cellStyle name="Input 9 5" xfId="2139" xr:uid="{00000000-0005-0000-0000-00008B080000}"/>
    <cellStyle name="Input 9 5 2" xfId="2709" xr:uid="{00000000-0005-0000-0000-00008C080000}"/>
    <cellStyle name="Input 9 5 2 2" xfId="3144" xr:uid="{00000000-0005-0000-0000-000023090000}"/>
    <cellStyle name="Input 9 5 3" xfId="6178" xr:uid="{9DD04E1D-BE59-4BAA-AD93-434722BEB77F}"/>
    <cellStyle name="Input 9 5 4" xfId="5776" xr:uid="{822582B7-C9E0-47E1-AE13-94720C284A51}"/>
    <cellStyle name="Input 9 6" xfId="2140" xr:uid="{00000000-0005-0000-0000-00008D080000}"/>
    <cellStyle name="Input 9 6 2" xfId="2710" xr:uid="{00000000-0005-0000-0000-00008E080000}"/>
    <cellStyle name="Input 9 6 2 2" xfId="3143" xr:uid="{00000000-0005-0000-0000-000026090000}"/>
    <cellStyle name="Input 9 6 3" xfId="5913" xr:uid="{6F4CA08B-5AB9-45CA-99D9-031E3AE79489}"/>
    <cellStyle name="Input 9 6 4" xfId="6293" xr:uid="{6022E018-97FC-41D0-A10F-29E91E971921}"/>
    <cellStyle name="Linked Cell 10 2" xfId="2141" xr:uid="{00000000-0005-0000-0000-00008F080000}"/>
    <cellStyle name="Linked Cell 10 3" xfId="2142" xr:uid="{00000000-0005-0000-0000-000090080000}"/>
    <cellStyle name="Linked Cell 10 4" xfId="2143" xr:uid="{00000000-0005-0000-0000-000091080000}"/>
    <cellStyle name="Linked Cell 10 5" xfId="2144" xr:uid="{00000000-0005-0000-0000-000092080000}"/>
    <cellStyle name="Linked Cell 10 6" xfId="2145" xr:uid="{00000000-0005-0000-0000-000093080000}"/>
    <cellStyle name="Linked Cell 11 2" xfId="2146" xr:uid="{00000000-0005-0000-0000-000094080000}"/>
    <cellStyle name="Linked Cell 11 3" xfId="2147" xr:uid="{00000000-0005-0000-0000-000095080000}"/>
    <cellStyle name="Linked Cell 11 4" xfId="2148" xr:uid="{00000000-0005-0000-0000-000096080000}"/>
    <cellStyle name="Linked Cell 11 5" xfId="2149" xr:uid="{00000000-0005-0000-0000-000097080000}"/>
    <cellStyle name="Linked Cell 11 6" xfId="2150" xr:uid="{00000000-0005-0000-0000-000098080000}"/>
    <cellStyle name="Linked Cell 2" xfId="202" xr:uid="{00000000-0005-0000-0000-000099080000}"/>
    <cellStyle name="Linked Cell 2 2" xfId="2151" xr:uid="{00000000-0005-0000-0000-00009A080000}"/>
    <cellStyle name="Linked Cell 2 3" xfId="2152" xr:uid="{00000000-0005-0000-0000-00009B080000}"/>
    <cellStyle name="Linked Cell 2 3 2" xfId="5189" xr:uid="{DA36DBFD-4E19-4CC6-86E6-C4E772831A7E}"/>
    <cellStyle name="Linked Cell 2 3 3" xfId="5390" xr:uid="{26388946-E0EF-4813-AC53-5C852075F783}"/>
    <cellStyle name="Linked Cell 2 4" xfId="2153" xr:uid="{00000000-0005-0000-0000-00009C080000}"/>
    <cellStyle name="Linked Cell 2 4 2" xfId="5152" xr:uid="{70E9C469-0743-4D89-B18D-0611368186C9}"/>
    <cellStyle name="Linked Cell 2 4 3" xfId="5625" xr:uid="{EE61CB99-91DA-4C9D-AC55-66A4E3944CE4}"/>
    <cellStyle name="Linked Cell 2 5" xfId="2154" xr:uid="{00000000-0005-0000-0000-00009D080000}"/>
    <cellStyle name="Linked Cell 2 5 2" xfId="5073" xr:uid="{3D5BBA7F-EDB9-4702-9957-F28EAC15F452}"/>
    <cellStyle name="Linked Cell 2 5 3" xfId="5607" xr:uid="{C9F81D51-0496-48D2-894A-B5EFF95B2F92}"/>
    <cellStyle name="Linked Cell 2 6" xfId="2155" xr:uid="{00000000-0005-0000-0000-00009E080000}"/>
    <cellStyle name="Linked Cell 2 6 2" xfId="5119" xr:uid="{75DD5FDF-CC43-4DB0-8429-EC792B79B963}"/>
    <cellStyle name="Linked Cell 2 6 3" xfId="5278" xr:uid="{472BBD3E-25FE-4F9A-AC11-5AD99B4AACCA}"/>
    <cellStyle name="Linked Cell 2 7" xfId="5606" xr:uid="{C1AC16CA-1DF2-4643-A276-778C86B16FAB}"/>
    <cellStyle name="Linked Cell 2 8" xfId="5277" xr:uid="{8BDF3DED-945C-4F4E-A067-EB961B552CF6}"/>
    <cellStyle name="Linked Cell 3" xfId="203" xr:uid="{00000000-0005-0000-0000-00009F080000}"/>
    <cellStyle name="Linked Cell 3 2" xfId="2157" xr:uid="{00000000-0005-0000-0000-0000A0080000}"/>
    <cellStyle name="Linked Cell 3 3" xfId="2158" xr:uid="{00000000-0005-0000-0000-0000A1080000}"/>
    <cellStyle name="Linked Cell 3 4" xfId="2159" xr:uid="{00000000-0005-0000-0000-0000A2080000}"/>
    <cellStyle name="Linked Cell 3 5" xfId="2160" xr:uid="{00000000-0005-0000-0000-0000A3080000}"/>
    <cellStyle name="Linked Cell 3 6" xfId="2161" xr:uid="{00000000-0005-0000-0000-0000A4080000}"/>
    <cellStyle name="Linked Cell 3 7" xfId="2162" xr:uid="{00000000-0005-0000-0000-0000A5080000}"/>
    <cellStyle name="Linked Cell 3 7 2" xfId="5153" xr:uid="{70915255-642A-47A1-8743-53836D9D3F06}"/>
    <cellStyle name="Linked Cell 3 7 3" xfId="5605" xr:uid="{74301D07-1EFE-4469-9360-BC5AE1ED3753}"/>
    <cellStyle name="Linked Cell 3 8" xfId="2156" xr:uid="{00000000-0005-0000-0000-0000A6080000}"/>
    <cellStyle name="Linked Cell 3 9" xfId="4748" xr:uid="{08C96B0F-D2BE-4BD5-B591-B1107290C3FF}"/>
    <cellStyle name="Linked Cell 4" xfId="204" xr:uid="{00000000-0005-0000-0000-0000A7080000}"/>
    <cellStyle name="Linked Cell 4 2" xfId="2164" xr:uid="{00000000-0005-0000-0000-0000A8080000}"/>
    <cellStyle name="Linked Cell 4 2 2" xfId="5188" xr:uid="{0523102C-CF29-41F1-AE13-D5E0635554C0}"/>
    <cellStyle name="Linked Cell 4 2 3" xfId="5160" xr:uid="{F75DE5C0-46AC-4050-8D5F-A49C125B8FC5}"/>
    <cellStyle name="Linked Cell 4 3" xfId="2165" xr:uid="{00000000-0005-0000-0000-0000A9080000}"/>
    <cellStyle name="Linked Cell 4 4" xfId="2166" xr:uid="{00000000-0005-0000-0000-0000AA080000}"/>
    <cellStyle name="Linked Cell 4 5" xfId="2167" xr:uid="{00000000-0005-0000-0000-0000AB080000}"/>
    <cellStyle name="Linked Cell 4 6" xfId="2168" xr:uid="{00000000-0005-0000-0000-0000AC080000}"/>
    <cellStyle name="Linked Cell 4 7" xfId="2169" xr:uid="{00000000-0005-0000-0000-0000AD080000}"/>
    <cellStyle name="Linked Cell 4 8" xfId="2163" xr:uid="{00000000-0005-0000-0000-0000AE080000}"/>
    <cellStyle name="Linked Cell 5" xfId="205" xr:uid="{00000000-0005-0000-0000-0000AF080000}"/>
    <cellStyle name="Linked Cell 5 2" xfId="2170" xr:uid="{00000000-0005-0000-0000-0000B0080000}"/>
    <cellStyle name="Linked Cell 5 3" xfId="2171" xr:uid="{00000000-0005-0000-0000-0000B1080000}"/>
    <cellStyle name="Linked Cell 5 4" xfId="2172" xr:uid="{00000000-0005-0000-0000-0000B2080000}"/>
    <cellStyle name="Linked Cell 5 5" xfId="2173" xr:uid="{00000000-0005-0000-0000-0000B3080000}"/>
    <cellStyle name="Linked Cell 5 6" xfId="2174" xr:uid="{00000000-0005-0000-0000-0000B4080000}"/>
    <cellStyle name="Linked Cell 6" xfId="206" xr:uid="{00000000-0005-0000-0000-0000B5080000}"/>
    <cellStyle name="Linked Cell 6 2" xfId="2175" xr:uid="{00000000-0005-0000-0000-0000B6080000}"/>
    <cellStyle name="Linked Cell 6 3" xfId="2176" xr:uid="{00000000-0005-0000-0000-0000B7080000}"/>
    <cellStyle name="Linked Cell 6 4" xfId="2177" xr:uid="{00000000-0005-0000-0000-0000B8080000}"/>
    <cellStyle name="Linked Cell 6 5" xfId="2178" xr:uid="{00000000-0005-0000-0000-0000B9080000}"/>
    <cellStyle name="Linked Cell 6 6" xfId="2179" xr:uid="{00000000-0005-0000-0000-0000BA080000}"/>
    <cellStyle name="Linked Cell 7" xfId="207" xr:uid="{00000000-0005-0000-0000-0000BB080000}"/>
    <cellStyle name="Linked Cell 7 2" xfId="2180" xr:uid="{00000000-0005-0000-0000-0000BC080000}"/>
    <cellStyle name="Linked Cell 7 3" xfId="2181" xr:uid="{00000000-0005-0000-0000-0000BD080000}"/>
    <cellStyle name="Linked Cell 7 4" xfId="2182" xr:uid="{00000000-0005-0000-0000-0000BE080000}"/>
    <cellStyle name="Linked Cell 7 5" xfId="2183" xr:uid="{00000000-0005-0000-0000-0000BF080000}"/>
    <cellStyle name="Linked Cell 7 6" xfId="2184" xr:uid="{00000000-0005-0000-0000-0000C0080000}"/>
    <cellStyle name="Linked Cell 8 2" xfId="2185" xr:uid="{00000000-0005-0000-0000-0000C1080000}"/>
    <cellStyle name="Linked Cell 8 3" xfId="2186" xr:uid="{00000000-0005-0000-0000-0000C2080000}"/>
    <cellStyle name="Linked Cell 8 4" xfId="2187" xr:uid="{00000000-0005-0000-0000-0000C3080000}"/>
    <cellStyle name="Linked Cell 8 5" xfId="2188" xr:uid="{00000000-0005-0000-0000-0000C4080000}"/>
    <cellStyle name="Linked Cell 8 6" xfId="2189" xr:uid="{00000000-0005-0000-0000-0000C5080000}"/>
    <cellStyle name="Linked Cell 9 2" xfId="2190" xr:uid="{00000000-0005-0000-0000-0000C6080000}"/>
    <cellStyle name="Linked Cell 9 3" xfId="2191" xr:uid="{00000000-0005-0000-0000-0000C7080000}"/>
    <cellStyle name="Linked Cell 9 4" xfId="2192" xr:uid="{00000000-0005-0000-0000-0000C8080000}"/>
    <cellStyle name="Linked Cell 9 5" xfId="2193" xr:uid="{00000000-0005-0000-0000-0000C9080000}"/>
    <cellStyle name="Linked Cell 9 6" xfId="2194" xr:uid="{00000000-0005-0000-0000-0000CA080000}"/>
    <cellStyle name="Neutral 10 2" xfId="2195" xr:uid="{00000000-0005-0000-0000-0000CB080000}"/>
    <cellStyle name="Neutral 10 3" xfId="2196" xr:uid="{00000000-0005-0000-0000-0000CC080000}"/>
    <cellStyle name="Neutral 10 4" xfId="2197" xr:uid="{00000000-0005-0000-0000-0000CD080000}"/>
    <cellStyle name="Neutral 10 5" xfId="2198" xr:uid="{00000000-0005-0000-0000-0000CE080000}"/>
    <cellStyle name="Neutral 10 6" xfId="2199" xr:uid="{00000000-0005-0000-0000-0000CF080000}"/>
    <cellStyle name="Neutral 11 2" xfId="2200" xr:uid="{00000000-0005-0000-0000-0000D0080000}"/>
    <cellStyle name="Neutral 11 3" xfId="2201" xr:uid="{00000000-0005-0000-0000-0000D1080000}"/>
    <cellStyle name="Neutral 11 4" xfId="2202" xr:uid="{00000000-0005-0000-0000-0000D2080000}"/>
    <cellStyle name="Neutral 11 5" xfId="2203" xr:uid="{00000000-0005-0000-0000-0000D3080000}"/>
    <cellStyle name="Neutral 11 6" xfId="2204" xr:uid="{00000000-0005-0000-0000-0000D4080000}"/>
    <cellStyle name="Neutral 2" xfId="208" xr:uid="{00000000-0005-0000-0000-0000D5080000}"/>
    <cellStyle name="Neutral 2 2" xfId="2205" xr:uid="{00000000-0005-0000-0000-0000D6080000}"/>
    <cellStyle name="Neutral 2 3" xfId="2206" xr:uid="{00000000-0005-0000-0000-0000D7080000}"/>
    <cellStyle name="Neutral 2 3 2" xfId="5671" xr:uid="{B2B6713C-4138-41F4-AAAF-06951060F3B5}"/>
    <cellStyle name="Neutral 2 3 3" xfId="5389" xr:uid="{9D675804-B998-4061-9595-250C989117FC}"/>
    <cellStyle name="Neutral 2 4" xfId="2207" xr:uid="{00000000-0005-0000-0000-0000D8080000}"/>
    <cellStyle name="Neutral 2 4 2" xfId="5672" xr:uid="{4221D596-76F7-497E-B970-12381889D9E9}"/>
    <cellStyle name="Neutral 2 4 3" xfId="5511" xr:uid="{A2FA3B15-9E72-4E68-BFA3-ED7F30B3BC3A}"/>
    <cellStyle name="Neutral 2 5" xfId="2208" xr:uid="{00000000-0005-0000-0000-0000D9080000}"/>
    <cellStyle name="Neutral 2 5 2" xfId="5673" xr:uid="{90A300CB-C1FF-40A3-A03A-4F6BE2ABBD97}"/>
    <cellStyle name="Neutral 2 5 3" xfId="5124" xr:uid="{6891BD78-142B-4EEA-A45B-9AED6B9996AF}"/>
    <cellStyle name="Neutral 2 6" xfId="2209" xr:uid="{00000000-0005-0000-0000-0000DA080000}"/>
    <cellStyle name="Neutral 2 6 2" xfId="5674" xr:uid="{62ACB5FD-4645-4BED-AE1D-37BA855F06B5}"/>
    <cellStyle name="Neutral 2 6 3" xfId="5159" xr:uid="{5BA5359B-E0A5-482F-ABFF-97F11BAE6E55}"/>
    <cellStyle name="Neutral 2 7" xfId="5123" xr:uid="{E5D2F4CE-CE86-46CF-BA20-D71887AF060C}"/>
    <cellStyle name="Neutral 2 8" xfId="5639" xr:uid="{6585F0B7-21F5-416C-932B-018344F0640E}"/>
    <cellStyle name="Neutral 3" xfId="209" xr:uid="{00000000-0005-0000-0000-0000DB080000}"/>
    <cellStyle name="Neutral 3 2" xfId="2211" xr:uid="{00000000-0005-0000-0000-0000DC080000}"/>
    <cellStyle name="Neutral 3 3" xfId="2212" xr:uid="{00000000-0005-0000-0000-0000DD080000}"/>
    <cellStyle name="Neutral 3 4" xfId="2213" xr:uid="{00000000-0005-0000-0000-0000DE080000}"/>
    <cellStyle name="Neutral 3 5" xfId="2214" xr:uid="{00000000-0005-0000-0000-0000DF080000}"/>
    <cellStyle name="Neutral 3 6" xfId="2215" xr:uid="{00000000-0005-0000-0000-0000E0080000}"/>
    <cellStyle name="Neutral 3 7" xfId="2216" xr:uid="{00000000-0005-0000-0000-0000E1080000}"/>
    <cellStyle name="Neutral 3 7 2" xfId="5675" xr:uid="{088E6608-5886-4691-8F86-C7FF0A14101D}"/>
    <cellStyle name="Neutral 3 7 3" xfId="5158" xr:uid="{1ED4D97B-A26A-430F-B1E3-433E90F97368}"/>
    <cellStyle name="Neutral 3 8" xfId="2210" xr:uid="{00000000-0005-0000-0000-0000E2080000}"/>
    <cellStyle name="Neutral 3 9" xfId="4749" xr:uid="{5FD4703D-8BC6-4590-9D62-C4EFA2E7D1F8}"/>
    <cellStyle name="Neutral 4" xfId="210" xr:uid="{00000000-0005-0000-0000-0000E3080000}"/>
    <cellStyle name="Neutral 4 2" xfId="2218" xr:uid="{00000000-0005-0000-0000-0000E4080000}"/>
    <cellStyle name="Neutral 4 2 2" xfId="5676" xr:uid="{BF57D7BD-7E94-466E-9363-1C65158D19F1}"/>
    <cellStyle name="Neutral 4 2 3" xfId="5276" xr:uid="{E849C6A9-4D20-4C79-948D-998E068C53EA}"/>
    <cellStyle name="Neutral 4 3" xfId="2219" xr:uid="{00000000-0005-0000-0000-0000E5080000}"/>
    <cellStyle name="Neutral 4 4" xfId="2220" xr:uid="{00000000-0005-0000-0000-0000E6080000}"/>
    <cellStyle name="Neutral 4 5" xfId="2221" xr:uid="{00000000-0005-0000-0000-0000E7080000}"/>
    <cellStyle name="Neutral 4 6" xfId="2222" xr:uid="{00000000-0005-0000-0000-0000E8080000}"/>
    <cellStyle name="Neutral 4 7" xfId="2223" xr:uid="{00000000-0005-0000-0000-0000E9080000}"/>
    <cellStyle name="Neutral 4 8" xfId="2217" xr:uid="{00000000-0005-0000-0000-0000EA080000}"/>
    <cellStyle name="Neutral 5" xfId="211" xr:uid="{00000000-0005-0000-0000-0000EB080000}"/>
    <cellStyle name="Neutral 5 2" xfId="2224" xr:uid="{00000000-0005-0000-0000-0000EC080000}"/>
    <cellStyle name="Neutral 5 3" xfId="2225" xr:uid="{00000000-0005-0000-0000-0000ED080000}"/>
    <cellStyle name="Neutral 5 4" xfId="2226" xr:uid="{00000000-0005-0000-0000-0000EE080000}"/>
    <cellStyle name="Neutral 5 5" xfId="2227" xr:uid="{00000000-0005-0000-0000-0000EF080000}"/>
    <cellStyle name="Neutral 5 6" xfId="2228" xr:uid="{00000000-0005-0000-0000-0000F0080000}"/>
    <cellStyle name="Neutral 6" xfId="212" xr:uid="{00000000-0005-0000-0000-0000F1080000}"/>
    <cellStyle name="Neutral 6 2" xfId="2229" xr:uid="{00000000-0005-0000-0000-0000F2080000}"/>
    <cellStyle name="Neutral 6 3" xfId="2230" xr:uid="{00000000-0005-0000-0000-0000F3080000}"/>
    <cellStyle name="Neutral 6 4" xfId="2231" xr:uid="{00000000-0005-0000-0000-0000F4080000}"/>
    <cellStyle name="Neutral 6 5" xfId="2232" xr:uid="{00000000-0005-0000-0000-0000F5080000}"/>
    <cellStyle name="Neutral 6 6" xfId="2233" xr:uid="{00000000-0005-0000-0000-0000F6080000}"/>
    <cellStyle name="Neutral 7" xfId="213" xr:uid="{00000000-0005-0000-0000-0000F7080000}"/>
    <cellStyle name="Neutral 7 2" xfId="2234" xr:uid="{00000000-0005-0000-0000-0000F8080000}"/>
    <cellStyle name="Neutral 7 3" xfId="2235" xr:uid="{00000000-0005-0000-0000-0000F9080000}"/>
    <cellStyle name="Neutral 7 4" xfId="2236" xr:uid="{00000000-0005-0000-0000-0000FA080000}"/>
    <cellStyle name="Neutral 7 5" xfId="2237" xr:uid="{00000000-0005-0000-0000-0000FB080000}"/>
    <cellStyle name="Neutral 7 6" xfId="2238" xr:uid="{00000000-0005-0000-0000-0000FC080000}"/>
    <cellStyle name="Neutral 8 2" xfId="2239" xr:uid="{00000000-0005-0000-0000-0000FD080000}"/>
    <cellStyle name="Neutral 8 3" xfId="2240" xr:uid="{00000000-0005-0000-0000-0000FE080000}"/>
    <cellStyle name="Neutral 8 4" xfId="2241" xr:uid="{00000000-0005-0000-0000-0000FF080000}"/>
    <cellStyle name="Neutral 8 5" xfId="2242" xr:uid="{00000000-0005-0000-0000-000000090000}"/>
    <cellStyle name="Neutral 8 6" xfId="2243" xr:uid="{00000000-0005-0000-0000-000001090000}"/>
    <cellStyle name="Neutral 9 2" xfId="2244" xr:uid="{00000000-0005-0000-0000-000002090000}"/>
    <cellStyle name="Neutral 9 3" xfId="2245" xr:uid="{00000000-0005-0000-0000-000003090000}"/>
    <cellStyle name="Neutral 9 4" xfId="2246" xr:uid="{00000000-0005-0000-0000-000004090000}"/>
    <cellStyle name="Neutral 9 5" xfId="2247" xr:uid="{00000000-0005-0000-0000-000005090000}"/>
    <cellStyle name="Neutral 9 6" xfId="2248" xr:uid="{00000000-0005-0000-0000-000006090000}"/>
    <cellStyle name="No Border" xfId="214" xr:uid="{00000000-0005-0000-0000-000007090000}"/>
    <cellStyle name="Normal" xfId="0" builtinId="0"/>
    <cellStyle name="Normal 10" xfId="3528" xr:uid="{6F1D1E75-CA02-4F61-8F08-F3C4EE8CC440}"/>
    <cellStyle name="Normal 10 2" xfId="2249" xr:uid="{00000000-0005-0000-0000-000009090000}"/>
    <cellStyle name="Normal 10 2 2" xfId="4809" xr:uid="{561B6C64-F40A-450E-A710-BBC33ED01336}"/>
    <cellStyle name="Normal 10 3" xfId="4398" xr:uid="{BF448208-1A28-4903-A4B5-468764FBE54E}"/>
    <cellStyle name="Normal 10 4" xfId="4011" xr:uid="{63A368BB-9FC6-4B64-A8F8-07F834312876}"/>
    <cellStyle name="Normal 11" xfId="5624" xr:uid="{0AEC8243-F65C-42F7-9AA1-058AC7BD49CC}"/>
    <cellStyle name="Normal 11 2" xfId="2250" xr:uid="{00000000-0005-0000-0000-00000A090000}"/>
    <cellStyle name="Normal 11 2 2" xfId="4892" xr:uid="{92B7A75E-744E-4E98-AF3C-402A4BB62DB6}"/>
    <cellStyle name="Normal 12" xfId="3887" xr:uid="{45590161-B2ED-4C74-9D62-8CB8CFFFD1C7}"/>
    <cellStyle name="Normal 12 2" xfId="4040" xr:uid="{442F9665-40DF-491C-B2F2-7797791EB4FE}"/>
    <cellStyle name="Normal 12 2 2" xfId="5454" xr:uid="{07E80568-4BF8-4329-910A-917E45D8F2B0}"/>
    <cellStyle name="Normal 12 3" xfId="5617" xr:uid="{263B4E1F-1389-4838-8E22-8F959A3EE16F}"/>
    <cellStyle name="Normal 13" xfId="3891" xr:uid="{C3BBB5EB-5A1B-4FE1-9BA6-928E1FC9410E}"/>
    <cellStyle name="Normal 13 2" xfId="4037" xr:uid="{E0864F6C-5D8C-4650-AEE9-946F6197FEBB}"/>
    <cellStyle name="Normal 13 2 2" xfId="5113" xr:uid="{1394D8E9-960C-4015-8ACB-11BC07468015}"/>
    <cellStyle name="Normal 13 3" xfId="5473" xr:uid="{CCA58740-98A8-4EA5-B535-196FB97F2C72}"/>
    <cellStyle name="Normal 14" xfId="5616" xr:uid="{AA2F675E-C758-4C6D-9A41-E8E1D534ED78}"/>
    <cellStyle name="Normal 14 2" xfId="5453" xr:uid="{6A673479-8C86-4BE4-94D0-6703A09357D1}"/>
    <cellStyle name="Normal 15" xfId="6490" xr:uid="{BA66C626-C5E6-4B77-98A2-1D861C007249}"/>
    <cellStyle name="Normal 15 2" xfId="7291" xr:uid="{3E2A8763-0FFE-4533-B162-C69E90D4EFFC}"/>
    <cellStyle name="Normal 15 2 2" xfId="8803" xr:uid="{1251BDA8-D32C-4A6B-A4ED-D1D911C71E93}"/>
    <cellStyle name="Normal 15 3" xfId="8053" xr:uid="{118E604B-FB14-4B7C-B014-F7E67EBE70FA}"/>
    <cellStyle name="Normal 16" xfId="7339" xr:uid="{3BFCDE16-8E84-4425-AC0F-29C842A5C351}"/>
    <cellStyle name="Normal 16 2" xfId="8100" xr:uid="{D8CE6253-3BDF-4731-9B7D-0E5201D276BF}"/>
    <cellStyle name="Normal 17" xfId="7344" xr:uid="{31821CE8-3FC6-4A42-A251-9F7545CF2CD9}"/>
    <cellStyle name="Normal 17 2" xfId="8099" xr:uid="{3B9C8B56-636E-475A-9855-E050C21D9BB1}"/>
    <cellStyle name="Normal 2" xfId="3" xr:uid="{00000000-0005-0000-0000-000004000000}"/>
    <cellStyle name="Normal 2 10" xfId="5388" xr:uid="{CE776D93-B075-4F2A-A368-F06C9D7B9A3D}"/>
    <cellStyle name="Normal 2 12" xfId="5615" xr:uid="{B38EB10D-7352-4B31-847E-00BA61EDBEED}"/>
    <cellStyle name="Normal 2 2" xfId="215" xr:uid="{00000000-0005-0000-0000-00000C090000}"/>
    <cellStyle name="Normal 2 2 2" xfId="2252" xr:uid="{00000000-0005-0000-0000-00000D090000}"/>
    <cellStyle name="Normal 2 2 2 2" xfId="2981" xr:uid="{00000000-0005-0000-0000-0000A6090000}"/>
    <cellStyle name="Normal 2 2 2 2 2" xfId="3697" xr:uid="{C6A1C021-FC99-4C9B-8D2E-B3E7B819C95F}"/>
    <cellStyle name="Normal 2 2 2 3" xfId="6870" xr:uid="{3288217C-3919-48EC-9236-CD9FE76E2CC2}"/>
    <cellStyle name="Normal 2 2 2 4" xfId="3951" xr:uid="{F9652184-0DB9-4DFA-AAE8-FBA7745A42A3}"/>
    <cellStyle name="Normal 2 2 3" xfId="2251" xr:uid="{00000000-0005-0000-0000-00000E090000}"/>
    <cellStyle name="Normal 2 2 3 2" xfId="4893" xr:uid="{A7CEE7D3-D0F5-434D-9E73-78B372275CD6}"/>
    <cellStyle name="Normal 2 2 4" xfId="2971" xr:uid="{00000000-0005-0000-0000-0000A8090000}"/>
    <cellStyle name="Normal 2 2 4 2" xfId="3687" xr:uid="{CA6AEAD1-EB1A-43B5-B81C-2CF445206ACA}"/>
    <cellStyle name="Normal 2 2 4 3" xfId="3933" xr:uid="{7C7D2B76-58CA-48B2-96DD-5DD4CECF7559}"/>
    <cellStyle name="Normal 2 2 6" xfId="4088" xr:uid="{AAE3F023-1698-4B25-8BFF-C7042DC49C29}"/>
    <cellStyle name="Normal 2 2 6 2" xfId="6506" xr:uid="{A13D90AF-D914-4AE9-9F6D-DBD5E5A0B7D0}"/>
    <cellStyle name="Normal 2 2 6 2 2" xfId="8714" xr:uid="{4285B1A2-2BE2-4847-A2D2-034B9121F09E}"/>
    <cellStyle name="Normal 2 2 6 3" xfId="7202" xr:uid="{05568658-5DAC-4EA3-9D57-30DA0DB35EF4}"/>
    <cellStyle name="Normal 2 2 6 4" xfId="7347" xr:uid="{7295051C-1639-4138-8B18-33B0360331F3}"/>
    <cellStyle name="Normal 2 2 6 5" xfId="7964" xr:uid="{29155DE4-B765-4ED8-9095-4604B5931D4C}"/>
    <cellStyle name="Normal 2 2 6 6" xfId="6400" xr:uid="{F3C75595-F93C-4FAA-BE63-DA4866C3F3CD}"/>
    <cellStyle name="Normal 2 2 7" xfId="4091" xr:uid="{01E22C50-9FAF-4F1C-A127-F52D78D9F13D}"/>
    <cellStyle name="Normal 2 2 7 2" xfId="4140" xr:uid="{8C17C0C7-2B87-4199-9798-12CC19EEF327}"/>
    <cellStyle name="Normal 2 2 7 2 2" xfId="8719" xr:uid="{C7485865-CB55-475C-98C2-ABCF770532D5}"/>
    <cellStyle name="Normal 2 2 7 2 3" xfId="6515" xr:uid="{C756F0EB-6844-4145-B55C-5A04BD26F08A}"/>
    <cellStyle name="Normal 2 2 7 3" xfId="7207" xr:uid="{029C3BFB-2B09-43DD-99D6-13EA601BC090}"/>
    <cellStyle name="Normal 2 2 7 4" xfId="7345" xr:uid="{4C82EC6A-2D55-45CB-A6A0-A639C979CAC8}"/>
    <cellStyle name="Normal 2 2 7 5" xfId="7969" xr:uid="{C319A5AA-3005-40F6-960C-CBC5581CEEE5}"/>
    <cellStyle name="Normal 2 2 7 6" xfId="6406" xr:uid="{A9FA71D1-B035-49DC-9538-412208028878}"/>
    <cellStyle name="Normal 2 3" xfId="2253" xr:uid="{00000000-0005-0000-0000-00000F090000}"/>
    <cellStyle name="Normal 2 3 2" xfId="3952" xr:uid="{D3F45316-AF82-4F34-A89F-44B5210BC4E0}"/>
    <cellStyle name="Normal 2 3 2 2" xfId="4894" xr:uid="{341FC517-D891-449B-81B0-8D7324BFA94E}"/>
    <cellStyle name="Normal 2 3 3" xfId="4039" xr:uid="{7CF1781B-571D-484A-85A7-42678D675F8D}"/>
    <cellStyle name="Normal 2 3 3 2" xfId="4944" xr:uid="{5BC9D5D7-6633-43B5-9266-7109A73EEDED}"/>
    <cellStyle name="Normal 2 3 3 2 2" xfId="6938" xr:uid="{E8FFCEBE-839F-4B92-83F9-023EBB885AC4}"/>
    <cellStyle name="Normal 2 3 3 2 2 2" xfId="8457" xr:uid="{28D6FE16-A86B-435E-A00A-38CE623A8B82}"/>
    <cellStyle name="Normal 2 3 3 2 3" xfId="7707" xr:uid="{A54150C0-6E80-496D-9748-248BCC5EFFB9}"/>
    <cellStyle name="Normal 2 3 3 3" xfId="4993" xr:uid="{63C98906-38E0-4DC6-B414-32C5ECF93C0E}"/>
    <cellStyle name="Normal 2 3 3 3 2" xfId="6987" xr:uid="{6DBFACA5-82B3-445E-8126-4EF5722269B4}"/>
    <cellStyle name="Normal 2 3 3 3 2 2" xfId="8506" xr:uid="{A9C221D9-9DD9-416F-B087-01ED59A46169}"/>
    <cellStyle name="Normal 2 3 3 3 3" xfId="7756" xr:uid="{2E14758C-C561-45FF-BEB5-29EE837A9B50}"/>
    <cellStyle name="Normal 2 3 3 4" xfId="5623" xr:uid="{090ED848-F3E5-4EC4-9C49-5A38F32537C5}"/>
    <cellStyle name="Normal 2 3 3 5" xfId="6890" xr:uid="{815F3D22-0DA2-49E4-8E90-5C5E62FEE550}"/>
    <cellStyle name="Normal 2 3 3 5 2" xfId="8411" xr:uid="{C3839886-30B6-4B6C-B79E-17B95796599A}"/>
    <cellStyle name="Normal 2 3 3 6" xfId="7661" xr:uid="{CE2C424A-D5E7-4DDA-AF84-18696F815782}"/>
    <cellStyle name="Normal 2 3 3 7" xfId="4825" xr:uid="{383CC587-F5E7-4D07-904D-F902C93BB775}"/>
    <cellStyle name="Normal 2 3 4" xfId="4921" xr:uid="{0B5CD86E-5F73-44AB-84B5-0812921B23A6}"/>
    <cellStyle name="Normal 2 3 4 2" xfId="6915" xr:uid="{2ED84D85-F9E6-4A5D-913A-434A6260B2BF}"/>
    <cellStyle name="Normal 2 3 4 2 2" xfId="8434" xr:uid="{447B939D-2E98-489D-BE85-355B3254235C}"/>
    <cellStyle name="Normal 2 3 4 3" xfId="7684" xr:uid="{A2060B75-3BFC-437B-A86A-1556063EB33F}"/>
    <cellStyle name="Normal 2 3 5" xfId="4970" xr:uid="{29244E1A-5A5B-4700-B64D-95DA69334607}"/>
    <cellStyle name="Normal 2 3 5 2" xfId="6964" xr:uid="{F1AD5EE6-4278-46DC-85D5-FBCDBC3FCB32}"/>
    <cellStyle name="Normal 2 3 5 2 2" xfId="8483" xr:uid="{CC738436-A144-4262-89B0-477AEDAE61F8}"/>
    <cellStyle name="Normal 2 3 5 3" xfId="7733" xr:uid="{515A17C3-9E95-4835-96C0-1690D6B729C9}"/>
    <cellStyle name="Normal 2 3 6" xfId="6857" xr:uid="{E42CB58A-9871-411E-A092-CA2148155E23}"/>
    <cellStyle name="Normal 2 3 6 2" xfId="8388" xr:uid="{E077D965-6BC3-458E-B15A-14310344A215}"/>
    <cellStyle name="Normal 2 3 6 3" xfId="7638" xr:uid="{F784034B-9150-4D8E-A743-610AE06805E3}"/>
    <cellStyle name="Normal 2 3 7" xfId="4736" xr:uid="{BE7BB59C-4DF7-45EC-9CAB-9F98D6D0B491}"/>
    <cellStyle name="Normal 2 3 8" xfId="3888" xr:uid="{E5B76BAD-97F5-42F3-8D2D-5317A9AE0FD5}"/>
    <cellStyle name="Normal 2 4" xfId="2254" xr:uid="{00000000-0005-0000-0000-000010090000}"/>
    <cellStyle name="Normal 2 4 2" xfId="3953" xr:uid="{477CE2EE-24C2-42C9-9EB3-FD14BCD725D3}"/>
    <cellStyle name="Normal 2 4 3" xfId="4036" xr:uid="{DA39F96A-2DA3-4F6E-B996-3763352AB538}"/>
    <cellStyle name="Normal 2 4 3 2" xfId="7204" xr:uid="{ED202EC7-1DCC-43BE-86EA-4683919914E2}"/>
    <cellStyle name="Normal 2 4 3 2 2" xfId="8716" xr:uid="{534E341D-7000-43AA-860E-713467543F1E}"/>
    <cellStyle name="Normal 2 4 3 3" xfId="7966" xr:uid="{ACC1B7DC-42CC-441D-8CAC-EDCB5C743ADB}"/>
    <cellStyle name="Normal 2 4 3 4" xfId="6402" xr:uid="{DDB2F5EF-591A-4014-B053-637E9F9FF51F}"/>
    <cellStyle name="Normal 2 4 4" xfId="6509" xr:uid="{5DD79CCE-5152-4186-9823-7CD930680D4F}"/>
    <cellStyle name="Normal 2 4 5" xfId="7350" xr:uid="{9A90A3F0-EEC4-4FAD-B201-72592807D4F9}"/>
    <cellStyle name="Normal 2 4 6" xfId="3892" xr:uid="{0BF4420B-1EE0-4E2E-8518-329C17D6E80A}"/>
    <cellStyle name="Normal 2 48" xfId="4085" xr:uid="{2111B2F0-539E-466A-BD27-B9D5ED4909F2}"/>
    <cellStyle name="Normal 2 48 2" xfId="6508" xr:uid="{2AEC0723-A568-42A9-96FF-E34DF2F4BE77}"/>
    <cellStyle name="Normal 2 48 2 2" xfId="8717" xr:uid="{FA2E03B6-C0C0-4D25-B3A3-7370FF981D0C}"/>
    <cellStyle name="Normal 2 48 3" xfId="7205" xr:uid="{0F481AFB-FF7B-44B1-85AC-A7BB5DD63096}"/>
    <cellStyle name="Normal 2 48 4" xfId="7349" xr:uid="{403AABC6-0D7B-4B7A-A320-985F836A4D99}"/>
    <cellStyle name="Normal 2 48 5" xfId="7967" xr:uid="{93CD7004-AB75-48D1-85DC-03CAF7E7DDA6}"/>
    <cellStyle name="Normal 2 48 6" xfId="6404" xr:uid="{B9C50ACC-4845-4F03-B68A-28D3AFE59957}"/>
    <cellStyle name="Normal 2 5" xfId="2255" xr:uid="{00000000-0005-0000-0000-000011090000}"/>
    <cellStyle name="Normal 2 5 2" xfId="3954" xr:uid="{2A8EC8C1-8265-4218-892E-5BAA61E1D2E6}"/>
    <cellStyle name="Normal 2 5 3" xfId="4027" xr:uid="{9351AAB6-6BFC-4ABD-A8C2-C56FEC5B26C2}"/>
    <cellStyle name="Normal 2 5 4" xfId="3898" xr:uid="{4F803FE9-CF34-4B05-9D1C-66D0408636D0}"/>
    <cellStyle name="Normal 2 6" xfId="2256" xr:uid="{00000000-0005-0000-0000-000012090000}"/>
    <cellStyle name="Normal 2 6 2" xfId="4895" xr:uid="{EE4BE6A3-7DA9-465D-9348-A4596EEED244}"/>
    <cellStyle name="Normal 2 7" xfId="3902" xr:uid="{8917AEE0-27B9-471D-AE88-1B4EF0B55BB8}"/>
    <cellStyle name="Normal 2 7 2" xfId="5510" xr:uid="{3A36E9AC-7CC9-450A-B340-D43F67669757}"/>
    <cellStyle name="Normal 2 7 2 2" xfId="7078" xr:uid="{97579FC1-A0AD-4B85-B953-7F6737D8D5E9}"/>
    <cellStyle name="Normal 2 7 2 2 2" xfId="8596" xr:uid="{31AFF6DF-B89B-43A4-BFC7-EF4B72F3E16A}"/>
    <cellStyle name="Normal 2 7 2 3" xfId="7846" xr:uid="{4CE3F8A1-8EB5-465C-A2AF-3F0C2795DBC0}"/>
    <cellStyle name="Normal 2 8" xfId="4059" xr:uid="{E56F1F4B-B3CA-4F23-B97E-CA85FF49B953}"/>
    <cellStyle name="Normal 2 8 2" xfId="5010" xr:uid="{0E564DAB-D6C7-410A-92A6-C23F24BFD847}"/>
    <cellStyle name="Normal 2 8 2 2" xfId="7004" xr:uid="{F148D222-2C53-489E-9016-7856E2E3847F}"/>
    <cellStyle name="Normal 2 8 2 2 2" xfId="8523" xr:uid="{2A10D5B5-1F30-4BF6-9770-1AAC255643A2}"/>
    <cellStyle name="Normal 2 8 2 3" xfId="7773" xr:uid="{1CC00D1E-C2C7-4106-AED6-FA3D0B1682ED}"/>
    <cellStyle name="Normal 2 8 3" xfId="6398" xr:uid="{2B6D5F0A-8C9D-428F-BE79-EF94BAADFCCC}"/>
    <cellStyle name="Normal 2 8 3 2" xfId="7200" xr:uid="{A69881BA-E35C-4E79-BBCE-6EF7FAE2425E}"/>
    <cellStyle name="Normal 2 8 3 2 2" xfId="8712" xr:uid="{3821605C-C337-4050-9FDD-3339EC9C29DC}"/>
    <cellStyle name="Normal 2 8 3 3" xfId="7962" xr:uid="{B71328DE-A499-4ECA-AE1B-0ED8764C3707}"/>
    <cellStyle name="Normal 2 8 4" xfId="6955" xr:uid="{CA03DC24-0BD9-417B-B81F-5DC7F9F6059E}"/>
    <cellStyle name="Normal 2 8 4 2" xfId="8474" xr:uid="{9DFAFDE4-EC1E-4937-8ADF-E426E5DD5BB7}"/>
    <cellStyle name="Normal 2 8 5" xfId="7724" xr:uid="{B155199C-AAF8-467A-944B-A627E5C1FE3C}"/>
    <cellStyle name="Normal 2 8 6" xfId="4961" xr:uid="{86965D75-70CB-4291-87F6-28EC48223AE6}"/>
    <cellStyle name="Normal 2 9" xfId="4721" xr:uid="{06F8FBA1-6BCD-4D87-89A2-F4D9C367BFF3}"/>
    <cellStyle name="Normal 2 9 2" xfId="7340" xr:uid="{884E0887-4E9E-4164-B298-B6F9F4578CC9}"/>
    <cellStyle name="Normal 2_SF&amp;QC Sec-1" xfId="3978" xr:uid="{BB37298C-EF7F-4D22-B479-3312C453CABB}"/>
    <cellStyle name="Normal 20" xfId="5387" xr:uid="{D3907464-6B95-426D-AF46-1467B10E5A6F}"/>
    <cellStyle name="Normal 21" xfId="5177" xr:uid="{193B2A22-924B-4274-88F8-B6AD388B99DA}"/>
    <cellStyle name="Normal 3" xfId="4" xr:uid="{00000000-0005-0000-0000-000005000000}"/>
    <cellStyle name="Normal 3 10" xfId="2843" xr:uid="{00000000-0005-0000-0000-000014090000}"/>
    <cellStyle name="Normal 3 10 10" xfId="5038" xr:uid="{1CA92634-93CF-4F2E-A9A1-F3E427CB2E62}"/>
    <cellStyle name="Normal 3 10 11" xfId="3903" xr:uid="{013B8D41-BC7A-4328-BE6D-EB56D26FCA54}"/>
    <cellStyle name="Normal 3 10 2" xfId="2890" xr:uid="{00000000-0005-0000-0000-000014090000}"/>
    <cellStyle name="Normal 3 10 2 2" xfId="2991" xr:uid="{00000000-0005-0000-0000-0000AF090000}"/>
    <cellStyle name="Normal 3 10 2 2 2" xfId="3707" xr:uid="{6DC4729F-A273-49FA-80AB-A8E51857A906}"/>
    <cellStyle name="Normal 3 10 2 2 2 2" xfId="8262" xr:uid="{967711FF-2A32-4862-8B03-D11F9B0E0BA8}"/>
    <cellStyle name="Normal 3 10 2 2 2 3" xfId="4559" xr:uid="{61377620-8B15-4DCA-A98C-B02CBCE2E6C8}"/>
    <cellStyle name="Normal 3 10 2 2 3" xfId="7512" xr:uid="{23F691F7-D47C-4BEE-9000-BB57CB0542F2}"/>
    <cellStyle name="Normal 3 10 2 2 4" xfId="6703" xr:uid="{17D08AA3-128D-4AB2-8B5B-D38FD3BF786F}"/>
    <cellStyle name="Normal 3 10 2 2 5" xfId="4283" xr:uid="{13040C79-E769-48E4-A571-B1925E4FD8E0}"/>
    <cellStyle name="Normal 3 10 2 3" xfId="3606" xr:uid="{3475951E-5490-403A-B9E1-41F6F6A873A5}"/>
    <cellStyle name="Normal 3 10 2 3 2" xfId="8607" xr:uid="{83E45034-27E9-4098-AEF8-D7B3FAF3002E}"/>
    <cellStyle name="Normal 3 10 2 3 3" xfId="7857" xr:uid="{275F6DFD-E6F3-4080-BD97-B2CEDEF757F1}"/>
    <cellStyle name="Normal 3 10 2 3 4" xfId="7091" xr:uid="{04B5AB96-6F67-4092-80A4-BB4EFA50F225}"/>
    <cellStyle name="Normal 3 10 2 3 5" xfId="4474" xr:uid="{D88D5645-E4BE-4DD4-BB0B-A7B3903BB3A7}"/>
    <cellStyle name="Normal 3 10 2 4" xfId="4198" xr:uid="{BC93354F-DFCE-4377-9E3A-4D4731DD326F}"/>
    <cellStyle name="Normal 3 10 2 4 2" xfId="8177" xr:uid="{9B8ABDCE-62C8-43CE-B93D-46DAF9607363}"/>
    <cellStyle name="Normal 3 10 2 4 3" xfId="6618" xr:uid="{11968972-9250-46A0-A691-19378A01EE37}"/>
    <cellStyle name="Normal 3 10 2 5" xfId="7427" xr:uid="{8A92D4C0-D159-472B-B6F3-96768D09B31D}"/>
    <cellStyle name="Normal 3 10 2 6" xfId="5644" xr:uid="{59411DA6-1A7F-4B53-B398-1F1E01536EDA}"/>
    <cellStyle name="Normal 3 10 2 7" xfId="4060" xr:uid="{32A5BB7B-A8BC-4E13-8E2D-C050DBF55137}"/>
    <cellStyle name="Normal 3 10 3" xfId="3435" xr:uid="{00000000-0005-0000-0000-0000B0090000}"/>
    <cellStyle name="Normal 3 10 3 2" xfId="3747" xr:uid="{ABD5DAE8-A006-44E8-942B-B0E97E918DCD}"/>
    <cellStyle name="Normal 3 10 3 2 2" xfId="8744" xr:uid="{F148C23E-FEC3-4BCE-8D33-30A67BAD8A7A}"/>
    <cellStyle name="Normal 3 10 3 2 3" xfId="7994" xr:uid="{51C18BA2-4361-405A-8C74-0C90F1134CDA}"/>
    <cellStyle name="Normal 3 10 3 2 4" xfId="7232" xr:uid="{5A338349-46F0-4554-B2D9-DE28E0EE712B}"/>
    <cellStyle name="Normal 3 10 3 2 5" xfId="4599" xr:uid="{0AD3BCF0-33C2-4B79-A3FC-369AAA9F4D6F}"/>
    <cellStyle name="Normal 3 10 3 3" xfId="6744" xr:uid="{3CF2B5B9-9C4E-436D-B9E9-0F35F179D3EC}"/>
    <cellStyle name="Normal 3 10 3 3 2" xfId="8302" xr:uid="{43C1C473-C1D9-45A4-B2E1-FB9A7D06E3E8}"/>
    <cellStyle name="Normal 3 10 3 4" xfId="7552" xr:uid="{7ABEDC88-CF9F-43C1-9624-5B77B8875C65}"/>
    <cellStyle name="Normal 3 10 3 5" xfId="6431" xr:uid="{53B66088-A2B6-4754-92D5-B736827D762D}"/>
    <cellStyle name="Normal 3 10 3 6" xfId="4323" xr:uid="{BC35FFA9-C848-4461-AD7B-26E3FAB2A227}"/>
    <cellStyle name="Normal 3 10 4" xfId="2935" xr:uid="{00000000-0005-0000-0000-0000AE090000}"/>
    <cellStyle name="Normal 3 10 4 2" xfId="3651" xr:uid="{0ECD9359-267D-44B9-A726-BE9C9ED4B4E7}"/>
    <cellStyle name="Normal 3 10 4 2 2" xfId="8785" xr:uid="{6AC9E5CE-C118-4572-98D6-CE4BC6875F77}"/>
    <cellStyle name="Normal 3 10 4 2 3" xfId="8035" xr:uid="{4884902C-D5C6-48F4-B13A-1FDE8971CB8D}"/>
    <cellStyle name="Normal 3 10 4 2 4" xfId="7273" xr:uid="{DAC16D0D-DB54-4B78-9480-AD828A5F244C}"/>
    <cellStyle name="Normal 3 10 4 2 5" xfId="4519" xr:uid="{62FB3CCD-8BDF-4550-B68C-724E5BF22079}"/>
    <cellStyle name="Normal 3 10 4 3" xfId="6663" xr:uid="{9F41F967-7112-4B6D-A1B4-055EB28EB7EF}"/>
    <cellStyle name="Normal 3 10 4 3 2" xfId="8222" xr:uid="{1B70AA27-A9C5-4B85-9D87-5C82D2106E34}"/>
    <cellStyle name="Normal 3 10 4 4" xfId="7472" xr:uid="{C535EE60-6FBF-4BB3-8319-4FA0A5E6DAAB}"/>
    <cellStyle name="Normal 3 10 4 5" xfId="6472" xr:uid="{930DBE53-3BB5-490C-985C-56D17DECB753}"/>
    <cellStyle name="Normal 3 10 4 6" xfId="4243" xr:uid="{397ABEA6-4545-4395-95DE-EAF6C71458B8}"/>
    <cellStyle name="Normal 3 10 5" xfId="3506" xr:uid="{A6AC5343-E4E5-4DE1-9641-40EBC8448854}"/>
    <cellStyle name="Normal 3 10 5 2" xfId="3800" xr:uid="{ED75D8E4-09F3-4BDD-B118-F8526FEB16ED}"/>
    <cellStyle name="Normal 3 10 5 2 2" xfId="8829" xr:uid="{895C1BEA-0001-4EFC-91F4-D372912E99FE}"/>
    <cellStyle name="Normal 3 10 5 2 3" xfId="7317" xr:uid="{26A908C4-2E74-4DCC-B6D9-466391043F24}"/>
    <cellStyle name="Normal 3 10 5 2 4" xfId="4652" xr:uid="{521AB6C7-4596-4D4C-A91B-6CC395FC60C2}"/>
    <cellStyle name="Normal 3 10 5 3" xfId="8079" xr:uid="{8C0F84B7-2E54-42EE-9EDB-D18C7DC6A145}"/>
    <cellStyle name="Normal 3 10 5 4" xfId="6523" xr:uid="{78F59B04-9BA2-4B92-86E1-1E3197505472}"/>
    <cellStyle name="Normal 3 10 5 5" xfId="4376" xr:uid="{18AFB353-27F2-4BCE-BF40-761D2CE950BA}"/>
    <cellStyle name="Normal 3 10 6" xfId="3561" xr:uid="{82D3BB04-25BF-480E-ACE0-52F134E21D11}"/>
    <cellStyle name="Normal 3 10 6 2" xfId="8550" xr:uid="{66625547-A986-4FFE-ABEB-23981D00F091}"/>
    <cellStyle name="Normal 3 10 6 3" xfId="7800" xr:uid="{9DB57ACE-0E92-48A5-8C1F-05F6CE44BE65}"/>
    <cellStyle name="Normal 3 10 6 4" xfId="7031" xr:uid="{1E796F9A-E268-4598-8A4F-EED4552D845D}"/>
    <cellStyle name="Normal 3 10 6 5" xfId="4429" xr:uid="{A998C23E-095F-41C3-A0BE-E2F9336503B3}"/>
    <cellStyle name="Normal 3 10 7" xfId="3847" xr:uid="{F0DDF45A-CF86-4838-AABF-E656F7B78957}"/>
    <cellStyle name="Normal 3 10 7 2" xfId="8361" xr:uid="{035AFF3C-B67C-47D0-BFCB-EE91E044A74C}"/>
    <cellStyle name="Normal 3 10 7 3" xfId="7611" xr:uid="{3EF89C5F-2F2A-48B8-94E9-6CA601184BF9}"/>
    <cellStyle name="Normal 3 10 7 4" xfId="6822" xr:uid="{DA0C2BA0-E2D7-4DE4-B5B2-597FD3CB38CF}"/>
    <cellStyle name="Normal 3 10 7 5" xfId="4699" xr:uid="{A5595608-5976-4E90-846C-773D881481E8}"/>
    <cellStyle name="Normal 3 10 8" xfId="4153" xr:uid="{0DB88888-6ED1-44BC-A902-9A1639A3398D}"/>
    <cellStyle name="Normal 3 10 8 2" xfId="8132" xr:uid="{55314A16-4860-4A93-9D0A-0FA296A59CB2}"/>
    <cellStyle name="Normal 3 10 8 3" xfId="6573" xr:uid="{912FE66E-9531-45B5-BE48-0A9A0D252253}"/>
    <cellStyle name="Normal 3 10 9" xfId="7382" xr:uid="{9D48AD03-A34F-4991-9B7F-A1CC6FDD7240}"/>
    <cellStyle name="Normal 3 11" xfId="2863" xr:uid="{00000000-0005-0000-0000-000015090000}"/>
    <cellStyle name="Normal 3 11 10" xfId="5057" xr:uid="{85F2F814-7817-4322-AF6B-AD24D4F19DD8}"/>
    <cellStyle name="Normal 3 11 11" xfId="3968" xr:uid="{D87AB8B5-4E9A-4731-962A-29E060D181B5}"/>
    <cellStyle name="Normal 3 11 2" xfId="2909" xr:uid="{00000000-0005-0000-0000-000015090000}"/>
    <cellStyle name="Normal 3 11 2 2" xfId="3010" xr:uid="{00000000-0005-0000-0000-0000B2090000}"/>
    <cellStyle name="Normal 3 11 2 2 2" xfId="3726" xr:uid="{A99A73B9-46C7-4B72-BE96-7B2C7B24D7FD}"/>
    <cellStyle name="Normal 3 11 2 2 2 2" xfId="8281" xr:uid="{89092669-E0F5-45A7-B3A5-6735618617E1}"/>
    <cellStyle name="Normal 3 11 2 2 2 3" xfId="4578" xr:uid="{BD59AA8F-3DB5-4730-87FB-0A466D170B34}"/>
    <cellStyle name="Normal 3 11 2 2 3" xfId="7531" xr:uid="{A796AAEF-9328-4F5B-9041-AAEC71AD18D9}"/>
    <cellStyle name="Normal 3 11 2 2 4" xfId="6722" xr:uid="{6E3A6F37-43B2-4F8F-808D-969941EAEF4F}"/>
    <cellStyle name="Normal 3 11 2 2 5" xfId="4302" xr:uid="{839C83DD-2B21-4898-9E94-A8319AECEA92}"/>
    <cellStyle name="Normal 3 11 2 3" xfId="3625" xr:uid="{C546AAD0-4097-478B-AB3B-927A5B197059}"/>
    <cellStyle name="Normal 3 11 2 3 2" xfId="8626" xr:uid="{99A02DCE-8FEF-4E04-8ADA-22617AB0312A}"/>
    <cellStyle name="Normal 3 11 2 3 3" xfId="7876" xr:uid="{EB66C4BB-7F37-42AF-81A6-0853EF943978}"/>
    <cellStyle name="Normal 3 11 2 3 4" xfId="7110" xr:uid="{7AF29814-33F3-455C-8F4E-72916BD1EC8A}"/>
    <cellStyle name="Normal 3 11 2 3 5" xfId="4493" xr:uid="{FC566C8E-8065-4BE6-9D10-9564B4C4CBD7}"/>
    <cellStyle name="Normal 3 11 2 4" xfId="4217" xr:uid="{1B0889CE-AD7E-496A-B385-A0A9F0E353E1}"/>
    <cellStyle name="Normal 3 11 2 4 2" xfId="8196" xr:uid="{9E173DCC-5DCE-4A13-A0D6-0F6CFC4D1537}"/>
    <cellStyle name="Normal 3 11 2 4 3" xfId="6637" xr:uid="{82F94EEB-4DD8-4F5A-B13C-81E1B0349D42}"/>
    <cellStyle name="Normal 3 11 2 5" xfId="7446" xr:uid="{DC7926CA-1C8A-4177-8A82-D3F50E2AE209}"/>
    <cellStyle name="Normal 3 11 2 6" xfId="5664" xr:uid="{C47F1CC7-9AEE-4B31-84BD-17EB88E60FFB}"/>
    <cellStyle name="Normal 3 11 2 7" xfId="4080" xr:uid="{EE461D62-D102-4EDA-AAFC-B5972BE0A5BA}"/>
    <cellStyle name="Normal 3 11 3" xfId="3454" xr:uid="{00000000-0005-0000-0000-0000B3090000}"/>
    <cellStyle name="Normal 3 11 3 2" xfId="3766" xr:uid="{B6953A9E-DD6D-4BE0-B364-1BABB959653B}"/>
    <cellStyle name="Normal 3 11 3 2 2" xfId="8762" xr:uid="{17E324F5-7C42-447D-B964-A96384863DA7}"/>
    <cellStyle name="Normal 3 11 3 2 3" xfId="8012" xr:uid="{61210B61-DC3A-45B2-8B55-FA32C36A0DD9}"/>
    <cellStyle name="Normal 3 11 3 2 4" xfId="7250" xr:uid="{2AAC3F07-5C07-43D3-B660-D990F54F478B}"/>
    <cellStyle name="Normal 3 11 3 2 5" xfId="4618" xr:uid="{4E9D4B06-7050-4736-BC35-DA75C013A755}"/>
    <cellStyle name="Normal 3 11 3 3" xfId="6763" xr:uid="{51ED67A7-B46A-49BD-86C9-F1F05CEBF0F5}"/>
    <cellStyle name="Normal 3 11 3 3 2" xfId="8321" xr:uid="{479FDB69-FA26-4746-99C1-BFEFC1D24E22}"/>
    <cellStyle name="Normal 3 11 3 4" xfId="7571" xr:uid="{8D720790-FBF7-428C-B484-F01D88548A9A}"/>
    <cellStyle name="Normal 3 11 3 5" xfId="6449" xr:uid="{8F7E7340-98A3-489A-A9C5-4349CC73DDE4}"/>
    <cellStyle name="Normal 3 11 3 6" xfId="4342" xr:uid="{5D3A3A80-64A4-4D65-B997-2B0616650501}"/>
    <cellStyle name="Normal 3 11 4" xfId="2954" xr:uid="{00000000-0005-0000-0000-0000B1090000}"/>
    <cellStyle name="Normal 3 11 4 2" xfId="3670" xr:uid="{D731F154-0BC6-4B63-A095-25DC367DCFBD}"/>
    <cellStyle name="Normal 3 11 4 2 2" xfId="8802" xr:uid="{CC89D13A-CA2B-4417-9299-0E13F8D418AF}"/>
    <cellStyle name="Normal 3 11 4 2 3" xfId="8052" xr:uid="{3B9D470C-DC85-4A00-B701-D74E153D0542}"/>
    <cellStyle name="Normal 3 11 4 2 4" xfId="7290" xr:uid="{F07C2206-B0AC-4273-BD8D-9139096260C9}"/>
    <cellStyle name="Normal 3 11 4 2 5" xfId="4538" xr:uid="{250A66FD-2D28-41E1-AD81-3A1ACE6243D3}"/>
    <cellStyle name="Normal 3 11 4 3" xfId="6682" xr:uid="{4DA7A925-AB81-495F-9FF5-0AEF3F1CECE5}"/>
    <cellStyle name="Normal 3 11 4 3 2" xfId="8241" xr:uid="{23CF1F5F-6B87-4A88-9D83-88B6682D0C2F}"/>
    <cellStyle name="Normal 3 11 4 4" xfId="7491" xr:uid="{A584F615-EF45-4A10-803C-C1A9E8FD5015}"/>
    <cellStyle name="Normal 3 11 4 5" xfId="6489" xr:uid="{B906EB41-BAA9-4642-8093-CC20DF5DE752}"/>
    <cellStyle name="Normal 3 11 4 6" xfId="4262" xr:uid="{15F3B7DA-D77E-4CDA-8D9E-9E020A86335F}"/>
    <cellStyle name="Normal 3 11 5" xfId="3525" xr:uid="{0113A0BB-0304-4CDD-8B2A-424CF25AFD4F}"/>
    <cellStyle name="Normal 3 11 5 2" xfId="3819" xr:uid="{DAAA4A06-006B-4383-85B8-F5CB228AA9DF}"/>
    <cellStyle name="Normal 3 11 5 2 2" xfId="8848" xr:uid="{058EF6D2-D3A5-432A-815C-BB73EC1AFF27}"/>
    <cellStyle name="Normal 3 11 5 2 3" xfId="7336" xr:uid="{3865E2AF-A4FB-4F60-AF7A-A1962085D3DF}"/>
    <cellStyle name="Normal 3 11 5 2 4" xfId="4671" xr:uid="{E5C657AA-398F-41EF-BD2C-2C12D580C132}"/>
    <cellStyle name="Normal 3 11 5 3" xfId="8098" xr:uid="{0E4BAADD-0B1F-4411-95B3-794D3C39AA7D}"/>
    <cellStyle name="Normal 3 11 5 4" xfId="6542" xr:uid="{B0024249-C559-40EF-AD82-93003D7471F1}"/>
    <cellStyle name="Normal 3 11 5 5" xfId="4395" xr:uid="{5FE5F853-100D-4766-8241-F3F52E4937C9}"/>
    <cellStyle name="Normal 3 11 6" xfId="3580" xr:uid="{AC4223CF-D745-44C6-89F7-270FF16EB43A}"/>
    <cellStyle name="Normal 3 11 6 2" xfId="8569" xr:uid="{62E634C8-4E08-46C4-BCB8-1FCD6065F61F}"/>
    <cellStyle name="Normal 3 11 6 3" xfId="7819" xr:uid="{E2E4B390-4A57-41FA-88A6-92D0B2037A1D}"/>
    <cellStyle name="Normal 3 11 6 4" xfId="7050" xr:uid="{B72230F8-9BDA-4138-8353-45111D8D15BA}"/>
    <cellStyle name="Normal 3 11 6 5" xfId="4448" xr:uid="{8F5B0B26-52C9-43C5-AD4C-513B36919771}"/>
    <cellStyle name="Normal 3 11 7" xfId="3866" xr:uid="{82CD2452-4F9B-4430-B923-2C21AFBE27E5}"/>
    <cellStyle name="Normal 3 11 7 2" xfId="8380" xr:uid="{5D871BF4-BCF9-4869-A5CE-0B44695A51F7}"/>
    <cellStyle name="Normal 3 11 7 3" xfId="7630" xr:uid="{8042D8DA-4579-46DD-B59F-21A64B469A76}"/>
    <cellStyle name="Normal 3 11 7 4" xfId="6841" xr:uid="{EEAA22BA-71FE-4E7F-8CF5-25E7486882C0}"/>
    <cellStyle name="Normal 3 11 7 5" xfId="4718" xr:uid="{EBB7AA07-40FA-4876-AADC-EF199486D8F3}"/>
    <cellStyle name="Normal 3 11 8" xfId="4172" xr:uid="{8EAAA1F4-FF8F-48D6-A36B-015196A503F1}"/>
    <cellStyle name="Normal 3 11 8 2" xfId="8151" xr:uid="{C6329D97-2D8A-48A4-8963-C677D31F7209}"/>
    <cellStyle name="Normal 3 11 8 3" xfId="6592" xr:uid="{41BDE87C-F99C-481F-A9A6-593DF35FB6E3}"/>
    <cellStyle name="Normal 3 11 9" xfId="7401" xr:uid="{C2851AD6-59EB-4A8B-98E8-C7A593B3ADF7}"/>
    <cellStyle name="Normal 3 12" xfId="24" xr:uid="{00000000-0005-0000-0000-000016090000}"/>
    <cellStyle name="Normal 3 12 10" xfId="5018" xr:uid="{06F5869B-34B0-4FCA-8FC7-7654C954AE5D}"/>
    <cellStyle name="Normal 3 12 11" xfId="3990" xr:uid="{BEF87EBC-3DDE-4D47-B359-9BEC322D5967}"/>
    <cellStyle name="Normal 3 12 2" xfId="2870" xr:uid="{00000000-0005-0000-0000-000016090000}"/>
    <cellStyle name="Normal 3 12 2 2" xfId="3586" xr:uid="{FD70CB82-2CF0-4B5E-96D7-54262489BBF2}"/>
    <cellStyle name="Normal 3 12 2 2 2" xfId="8575" xr:uid="{3A9B8673-A2D6-48C1-B588-58833C4497D9}"/>
    <cellStyle name="Normal 3 12 2 2 3" xfId="7825" xr:uid="{445C3CD8-096C-48D1-A6ED-2299444B96B1}"/>
    <cellStyle name="Normal 3 12 2 2 4" xfId="7056" xr:uid="{84EC484B-6C21-43F0-B444-3E620C320FF0}"/>
    <cellStyle name="Normal 3 12 2 2 5" xfId="4454" xr:uid="{FA3F4296-339E-4382-926B-D599ADD0C98D}"/>
    <cellStyle name="Normal 3 12 2 3" xfId="4178" xr:uid="{A50691B2-DC78-42B8-AFCE-109C2206929C}"/>
    <cellStyle name="Normal 3 12 2 3 2" xfId="8157" xr:uid="{7537D826-814E-4DFB-88DA-C587AF6B5D74}"/>
    <cellStyle name="Normal 3 12 2 3 3" xfId="6598" xr:uid="{E7B4B744-2287-4FDA-BE06-57E685B1938B}"/>
    <cellStyle name="Normal 3 12 2 4" xfId="7407" xr:uid="{00CDA600-FB20-419D-9148-DFE6936E00CA}"/>
    <cellStyle name="Normal 3 12 2 5" xfId="5064" xr:uid="{775AC082-09BB-4B5F-9CF4-A15AF71EF988}"/>
    <cellStyle name="Normal 3 12 2 6" xfId="4017" xr:uid="{B07A9E81-A7E6-4D77-9B0A-7266805D56EF}"/>
    <cellStyle name="Normal 3 12 3" xfId="2915" xr:uid="{00000000-0005-0000-0000-0000B4090000}"/>
    <cellStyle name="Normal 3 12 3 2" xfId="3631" xr:uid="{E1BAAE36-87C2-4571-9048-4F12B95FA70B}"/>
    <cellStyle name="Normal 3 12 3 2 2" xfId="8725" xr:uid="{6ED3C834-6C4D-4906-B554-4184F1CF708E}"/>
    <cellStyle name="Normal 3 12 3 2 3" xfId="7975" xr:uid="{3BB2456C-FF1A-4A10-A0A0-C4BDE723EA64}"/>
    <cellStyle name="Normal 3 12 3 2 4" xfId="7213" xr:uid="{704680AD-5EA2-4770-96A9-697FDC2FBE06}"/>
    <cellStyle name="Normal 3 12 3 2 5" xfId="4499" xr:uid="{83FD6460-481B-43A9-A61D-D569B8183032}"/>
    <cellStyle name="Normal 3 12 3 3" xfId="6643" xr:uid="{84D566DD-1FC6-4A38-B698-8ACB3973DD6F}"/>
    <cellStyle name="Normal 3 12 3 3 2" xfId="8202" xr:uid="{3AD15C43-73B7-4BBE-AEEE-2FA453B5FF9C}"/>
    <cellStyle name="Normal 3 12 3 4" xfId="7452" xr:uid="{BDDD207F-800F-4A5C-AD80-576133B9B5E0}"/>
    <cellStyle name="Normal 3 12 3 5" xfId="6412" xr:uid="{3D2D4F6D-9AC0-4D41-ACA3-88D12A20E216}"/>
    <cellStyle name="Normal 3 12 3 6" xfId="4223" xr:uid="{521FFAE9-5190-4DEA-BEEA-8E1179BDFB78}"/>
    <cellStyle name="Normal 3 12 4" xfId="3486" xr:uid="{F2F03E89-886A-4683-B498-7BD6D18A7FB3}"/>
    <cellStyle name="Normal 3 12 4 2" xfId="3780" xr:uid="{46F3026B-76CD-4448-99A0-B4A24EDE6ED6}"/>
    <cellStyle name="Normal 3 12 4 2 2" xfId="8767" xr:uid="{10BB0EAC-6D7C-4D5A-B816-EEC94A0CA5AD}"/>
    <cellStyle name="Normal 3 12 4 2 3" xfId="7255" xr:uid="{F1E3FE44-E544-4730-B3A3-4EDC386A3FA6}"/>
    <cellStyle name="Normal 3 12 4 2 4" xfId="4632" xr:uid="{059228CA-BCC3-4D36-853A-F544D9397DC8}"/>
    <cellStyle name="Normal 3 12 4 3" xfId="8017" xr:uid="{ABE637FC-731C-4AF3-9A8E-77365E897D24}"/>
    <cellStyle name="Normal 3 12 4 4" xfId="6454" xr:uid="{FCE06D8C-A9AC-45C1-BC15-B6AF37F00AF2}"/>
    <cellStyle name="Normal 3 12 4 5" xfId="4356" xr:uid="{7D8DE704-F91A-44D6-8878-0B4B1FBED627}"/>
    <cellStyle name="Normal 3 12 5" xfId="3541" xr:uid="{F315BE9D-548F-4044-9D3F-5D338973E181}"/>
    <cellStyle name="Normal 3 12 5 2" xfId="7297" xr:uid="{73591075-8653-4B5E-9007-04CB0ECC4525}"/>
    <cellStyle name="Normal 3 12 5 2 2" xfId="8809" xr:uid="{E78A9380-0976-4171-A01E-B7239C30475E}"/>
    <cellStyle name="Normal 3 12 5 3" xfId="8059" xr:uid="{5CF55613-98A2-47E3-A5DA-237C2E894EFE}"/>
    <cellStyle name="Normal 3 12 5 4" xfId="6496" xr:uid="{92FB37DB-E756-47B1-B50E-5D626191A551}"/>
    <cellStyle name="Normal 3 12 5 5" xfId="4409" xr:uid="{7C5B2001-0A07-4DE2-A3DC-5E6D2D27CA53}"/>
    <cellStyle name="Normal 3 12 6" xfId="3827" xr:uid="{595739A4-2D18-4A53-96E4-6CC61D3AEBB3}"/>
    <cellStyle name="Normal 3 12 6 2" xfId="8530" xr:uid="{0A44316F-0555-4B75-A88D-9926495266EA}"/>
    <cellStyle name="Normal 3 12 6 3" xfId="7780" xr:uid="{7479401E-2CDD-4095-B35C-B62D2CBD869B}"/>
    <cellStyle name="Normal 3 12 6 4" xfId="7011" xr:uid="{4F0FEA5C-13F9-4D37-BC30-8D91D9A7532F}"/>
    <cellStyle name="Normal 3 12 6 5" xfId="4679" xr:uid="{336BCF1D-A98A-49CA-8EEA-A67A390D317B}"/>
    <cellStyle name="Normal 3 12 7" xfId="4129" xr:uid="{AA25A00C-0A18-499D-85BA-09623250FA2A}"/>
    <cellStyle name="Normal 3 12 7 2" xfId="8341" xr:uid="{B707756D-14B4-4AA8-8156-D06835E8697E}"/>
    <cellStyle name="Normal 3 12 7 3" xfId="7591" xr:uid="{AF5AE4CB-BB58-40F4-84B5-986F59D75AA1}"/>
    <cellStyle name="Normal 3 12 7 4" xfId="6784" xr:uid="{96172B5B-9A94-467E-A812-EEA90003AB05}"/>
    <cellStyle name="Normal 3 12 8" xfId="6553" xr:uid="{1D5F6AED-7609-4EE1-8891-9AEB8527D7F6}"/>
    <cellStyle name="Normal 3 12 8 2" xfId="8112" xr:uid="{072FD9DA-6D84-4BCB-9962-8C46102E19A4}"/>
    <cellStyle name="Normal 3 12 9" xfId="7362" xr:uid="{30796F9C-B185-4ECA-BE14-B0D4FEFDD980}"/>
    <cellStyle name="Normal 3 13" xfId="19" xr:uid="{00000000-0005-0000-0000-000013090000}"/>
    <cellStyle name="Normal 3 13 2" xfId="2955" xr:uid="{00000000-0005-0000-0000-0000B5090000}"/>
    <cellStyle name="Normal 3 13 2 2" xfId="3671" xr:uid="{8EE43127-1948-4101-A87F-1BFD97DB55FD}"/>
    <cellStyle name="Normal 3 13 2 2 2" xfId="8662" xr:uid="{0847ED17-1FDE-41B9-A6E6-2CCB8A438A52}"/>
    <cellStyle name="Normal 3 13 2 2 3" xfId="7912" xr:uid="{11188064-C9A3-4561-A60E-724331FCA8D4}"/>
    <cellStyle name="Normal 3 13 2 2 4" xfId="7149" xr:uid="{D6A85AB2-97B5-4C8B-B031-44B75B25EB22}"/>
    <cellStyle name="Normal 3 13 2 2 5" xfId="4539" xr:uid="{3757662A-AB0D-4E15-B1CE-B7D3FCA26937}"/>
    <cellStyle name="Normal 3 13 2 3" xfId="6683" xr:uid="{5B125A67-2F86-489A-9C27-B689CDB81AB9}"/>
    <cellStyle name="Normal 3 13 2 3 2" xfId="8242" xr:uid="{4E7AB7B3-5DB4-420C-B7BC-D77B7768FCD8}"/>
    <cellStyle name="Normal 3 13 2 4" xfId="7492" xr:uid="{B8701C36-764C-4FC2-95F1-FF5FB88FD90D}"/>
    <cellStyle name="Normal 3 13 2 5" xfId="6328" xr:uid="{CD9FFDDA-5E29-4EFC-B7DF-72E926E46F4E}"/>
    <cellStyle name="Normal 3 13 2 6" xfId="4263" xr:uid="{8C2323E5-5EC2-417F-98A1-38CD4D10C371}"/>
    <cellStyle name="Normal 3 13 3" xfId="3536" xr:uid="{F2BD4537-60E3-47FE-851F-561E8D839408}"/>
    <cellStyle name="Normal 3 13 3 2" xfId="8525" xr:uid="{FC8F3C43-B16D-4941-BC10-180A6D096DEC}"/>
    <cellStyle name="Normal 3 13 3 3" xfId="7775" xr:uid="{5E803D54-EDA2-4483-8147-706F7E467039}"/>
    <cellStyle name="Normal 3 13 3 4" xfId="7006" xr:uid="{E174C98B-F7CC-4775-841E-A246CF1BE0D3}"/>
    <cellStyle name="Normal 3 13 3 5" xfId="4404" xr:uid="{03070EEA-B122-4DD5-9461-D4562236AE00}"/>
    <cellStyle name="Normal 3 13 4" xfId="4124" xr:uid="{8B6A668E-AAE7-413F-8ED3-E7B335CB34EA}"/>
    <cellStyle name="Normal 3 13 4 2" xfId="8107" xr:uid="{D4FEF468-B810-45DB-A4FB-8E1376EE0230}"/>
    <cellStyle name="Normal 3 13 4 3" xfId="6548" xr:uid="{31F7F0CA-D124-4923-8EDE-59BC4FCAB5CA}"/>
    <cellStyle name="Normal 3 13 5" xfId="7357" xr:uid="{C10F317A-28E6-4885-91F4-5F089569FDED}"/>
    <cellStyle name="Normal 3 13 6" xfId="5012" xr:uid="{E4E058BF-B9E4-4F86-A2BB-4A94681B2365}"/>
    <cellStyle name="Normal 3 13 7" xfId="4012" xr:uid="{B1B45171-6607-4A75-A6F0-3AD91CC71121}"/>
    <cellStyle name="Normal 3 14" xfId="2865" xr:uid="{00000000-0005-0000-0000-000013090000}"/>
    <cellStyle name="Normal 3 14 2" xfId="3011" xr:uid="{00000000-0005-0000-0000-0000B6090000}"/>
    <cellStyle name="Normal 3 14 2 2" xfId="3727" xr:uid="{99F996A2-8DDE-41A5-A0D0-E5F310156749}"/>
    <cellStyle name="Normal 3 14 2 2 2" xfId="8282" xr:uid="{A8D815C4-3FE8-4D65-B45E-5075249D1989}"/>
    <cellStyle name="Normal 3 14 2 2 3" xfId="4579" xr:uid="{2544364F-407F-4A2C-BE84-3EB2E5FDF97A}"/>
    <cellStyle name="Normal 3 14 2 3" xfId="7532" xr:uid="{1C501D47-00E0-4D00-A9B3-1651E75F51EB}"/>
    <cellStyle name="Normal 3 14 2 4" xfId="6723" xr:uid="{C7001B80-BEEC-44FF-BAFC-568C853B5C15}"/>
    <cellStyle name="Normal 3 14 2 5" xfId="4303" xr:uid="{D1D13BC9-ADEA-4859-AC4E-227428DF3C1D}"/>
    <cellStyle name="Normal 3 14 3" xfId="3581" xr:uid="{C6851A5F-8A76-41B6-BC3B-46A035D7723D}"/>
    <cellStyle name="Normal 3 14 3 2" xfId="8570" xr:uid="{11ADD6B7-37C7-400E-888F-5B363DE5A558}"/>
    <cellStyle name="Normal 3 14 3 3" xfId="7820" xr:uid="{905A3B8D-DAAC-413D-A544-72566C195AB8}"/>
    <cellStyle name="Normal 3 14 3 4" xfId="7051" xr:uid="{28EE903C-8B6B-46B9-ADFA-94FF138AA94C}"/>
    <cellStyle name="Normal 3 14 3 5" xfId="4449" xr:uid="{D8DACB85-A6AB-4D15-8EEF-D144EEA81E87}"/>
    <cellStyle name="Normal 3 14 4" xfId="6593" xr:uid="{A85D2448-D962-41F4-872D-77B276DBE5B1}"/>
    <cellStyle name="Normal 3 14 4 2" xfId="8152" xr:uid="{9E00D7F2-F846-4D3F-8779-D4F4147E3389}"/>
    <cellStyle name="Normal 3 14 5" xfId="7402" xr:uid="{5F14FBDE-5FBC-48A7-80CD-BB9A5765436A}"/>
    <cellStyle name="Normal 3 14 6" xfId="5059" xr:uid="{5105CD4F-EC35-49C4-B78D-2101A137E80B}"/>
    <cellStyle name="Normal 3 14 7" xfId="4173" xr:uid="{4731944F-0252-455B-9DB7-5EFDF60ADEB4}"/>
    <cellStyle name="Normal 3 15" xfId="3475" xr:uid="{00000000-0005-0000-0000-0000B7090000}"/>
    <cellStyle name="Normal 3 15 2" xfId="3769" xr:uid="{3B553C1F-5642-454D-93AF-F4AF5B434DED}"/>
    <cellStyle name="Normal 3 15 2 2" xfId="8678" xr:uid="{41B5CAF5-2577-43B0-85D7-CB750F88F388}"/>
    <cellStyle name="Normal 3 15 2 3" xfId="7928" xr:uid="{9F6A7CF0-EF02-44F9-AFF2-CF26FF02932F}"/>
    <cellStyle name="Normal 3 15 2 4" xfId="7165" xr:uid="{6608B119-50E1-40B2-856D-8C5494D2B37B}"/>
    <cellStyle name="Normal 3 15 2 5" xfId="4621" xr:uid="{5D76E447-922C-454A-87C2-AF440839B8F0}"/>
    <cellStyle name="Normal 3 15 3" xfId="6766" xr:uid="{7A648B95-2FCC-41DC-94ED-B02563E3EBD7}"/>
    <cellStyle name="Normal 3 15 3 2" xfId="8324" xr:uid="{8C36A18F-9BC7-4197-BBC7-D602C56B4FA9}"/>
    <cellStyle name="Normal 3 15 4" xfId="7574" xr:uid="{AF9DDE2A-4887-4D74-BF7E-E5435549FE59}"/>
    <cellStyle name="Normal 3 15 5" xfId="6345" xr:uid="{85C2E6C9-236D-43AF-A496-D282242098B7}"/>
    <cellStyle name="Normal 3 15 6" xfId="4345" xr:uid="{C2F51EB0-311B-40D3-800A-87A61ADFCC4E}"/>
    <cellStyle name="Normal 3 16" xfId="3476" xr:uid="{00000000-0005-0000-0000-000003000000}"/>
    <cellStyle name="Normal 3 16 2" xfId="3770" xr:uid="{2E75DC18-A05D-4328-90F1-852D8846A926}"/>
    <cellStyle name="Normal 3 16 2 2" xfId="8721" xr:uid="{3785A701-C0D6-407A-AB80-6A6CC11BFC6E}"/>
    <cellStyle name="Normal 3 16 2 3" xfId="7971" xr:uid="{85FA2400-C95A-408F-B626-354E81B77959}"/>
    <cellStyle name="Normal 3 16 2 4" xfId="7209" xr:uid="{E4103775-9782-4CBB-86E5-5A818087EA89}"/>
    <cellStyle name="Normal 3 16 2 5" xfId="4622" xr:uid="{E53F708E-2CAC-40CD-A6AB-0FCB3FA2E3EA}"/>
    <cellStyle name="Normal 3 16 3" xfId="6767" xr:uid="{016C38F0-5C07-4ABD-A6E0-F815730344D2}"/>
    <cellStyle name="Normal 3 16 3 2" xfId="8325" xr:uid="{216E9092-958E-4AD9-9C99-267C3996802A}"/>
    <cellStyle name="Normal 3 16 4" xfId="7575" xr:uid="{AB30F3B1-9950-4E6A-BB9C-0E9927335542}"/>
    <cellStyle name="Normal 3 16 5" xfId="6408" xr:uid="{E107CE16-A0AC-4CC0-9A6B-2B6C6D0748E6}"/>
    <cellStyle name="Normal 3 16 6" xfId="4346" xr:uid="{E0560782-7BAA-4241-9429-6BDEF2C067D3}"/>
    <cellStyle name="Normal 3 17" xfId="2910" xr:uid="{00000000-0005-0000-0000-0000AD090000}"/>
    <cellStyle name="Normal 3 17 2" xfId="3626" xr:uid="{B851EFDC-B660-40FA-A2A3-08295DB0A1A0}"/>
    <cellStyle name="Normal 3 17 2 2" xfId="8763" xr:uid="{51B32557-AE1A-4A65-BEB9-76A5AE5B1DEC}"/>
    <cellStyle name="Normal 3 17 2 3" xfId="8013" xr:uid="{42D3FEE8-1AC8-476C-A5DC-81C2AC0C1CE4}"/>
    <cellStyle name="Normal 3 17 2 4" xfId="7251" xr:uid="{B3DA4D5C-0B51-4B88-8413-C66553E813D1}"/>
    <cellStyle name="Normal 3 17 2 5" xfId="4494" xr:uid="{DD1BC585-62C2-41FC-9B93-6963D9F300F9}"/>
    <cellStyle name="Normal 3 17 3" xfId="6638" xr:uid="{3A31CE23-5B21-4A56-9C57-4CF4F633443C}"/>
    <cellStyle name="Normal 3 17 3 2" xfId="8197" xr:uid="{320A15C0-CC64-4899-BC30-5EF765CE71EC}"/>
    <cellStyle name="Normal 3 17 4" xfId="7447" xr:uid="{FD43CF89-998B-4096-8333-CCE72AA85C3E}"/>
    <cellStyle name="Normal 3 17 5" xfId="6450" xr:uid="{2DD38237-AFC3-4857-83F6-AC455F4660D0}"/>
    <cellStyle name="Normal 3 17 6" xfId="4218" xr:uid="{6D09E990-EB2D-4737-990E-DF5674EA1ECC}"/>
    <cellStyle name="Normal 3 18" xfId="3481" xr:uid="{959F5A6E-024E-4565-98FA-106E14E8AD9D}"/>
    <cellStyle name="Normal 3 18 2" xfId="3775" xr:uid="{6878D9D5-5240-46E7-A0AD-343304A0BC50}"/>
    <cellStyle name="Normal 3 18 2 2" xfId="8804" xr:uid="{E4F4FEA2-D5D4-4559-AF77-AA508C9A6CE0}"/>
    <cellStyle name="Normal 3 18 2 3" xfId="8054" xr:uid="{3E2194E1-2F8D-4A88-A163-66C553646E90}"/>
    <cellStyle name="Normal 3 18 2 4" xfId="7292" xr:uid="{EF9C0F7C-A147-47D4-86AF-571D4357CD89}"/>
    <cellStyle name="Normal 3 18 2 5" xfId="4627" xr:uid="{5004B417-3FC3-40C8-B3F6-CD4E905062F2}"/>
    <cellStyle name="Normal 3 18 3" xfId="6773" xr:uid="{AF78D2FB-5D2C-47EA-9042-D44F4C47853B}"/>
    <cellStyle name="Normal 3 18 3 2" xfId="8331" xr:uid="{0C367FA1-F761-4AA5-9C75-71CC5C382506}"/>
    <cellStyle name="Normal 3 18 4" xfId="7581" xr:uid="{A336952A-EFC4-4698-B63A-964FEFF34A79}"/>
    <cellStyle name="Normal 3 18 5" xfId="6491" xr:uid="{8A104F92-717E-4D58-B058-FE0DB499C6C8}"/>
    <cellStyle name="Normal 3 18 6" xfId="4351" xr:uid="{0B261722-F661-4269-976A-5B97CEB1035D}"/>
    <cellStyle name="Normal 3 19" xfId="3531" xr:uid="{168F532D-81CC-4926-89E5-427D84552A59}"/>
    <cellStyle name="Normal 3 19 2" xfId="8336" xr:uid="{76E672E1-A4F8-4D86-8021-1B5F014106A1}"/>
    <cellStyle name="Normal 3 19 3" xfId="7586" xr:uid="{727D8681-31C0-42A4-9352-BF19521A9362}"/>
    <cellStyle name="Normal 3 19 4" xfId="6779" xr:uid="{4D4227FA-4FE5-4AEB-949B-EAAE86C8FAA8}"/>
    <cellStyle name="Normal 3 19 5" xfId="4399" xr:uid="{14A567D5-2200-4147-832D-C9EC8AB67D81}"/>
    <cellStyle name="Normal 3 2" xfId="14" xr:uid="{00000000-0005-0000-0000-000006000000}"/>
    <cellStyle name="Normal 3 2 10" xfId="3477" xr:uid="{00000000-0005-0000-0000-000004000000}"/>
    <cellStyle name="Normal 3 2 10 2" xfId="3771" xr:uid="{179A841F-02D6-4DC7-BA84-94BCD655B8E9}"/>
    <cellStyle name="Normal 3 2 10 2 2" xfId="8586" xr:uid="{BF4F6931-E97A-40D8-BF9A-77EC2BA1E6AD}"/>
    <cellStyle name="Normal 3 2 10 2 3" xfId="7836" xr:uid="{5630CF03-1FFA-4D03-AA7E-E4C3F7A2597D}"/>
    <cellStyle name="Normal 3 2 10 2 4" xfId="7067" xr:uid="{66D4C110-9C64-4361-90A7-6EAE7DCE54B3}"/>
    <cellStyle name="Normal 3 2 10 2 5" xfId="4623" xr:uid="{8B3FD94D-DE0B-4BB3-9B4A-82187CE0AA1C}"/>
    <cellStyle name="Normal 3 2 10 3" xfId="6768" xr:uid="{97ED649A-5923-4A1B-8B48-025FD76CE555}"/>
    <cellStyle name="Normal 3 2 10 3 2" xfId="8326" xr:uid="{D9C10799-09AC-40FA-9763-9D7715CA7184}"/>
    <cellStyle name="Normal 3 2 10 4" xfId="7576" xr:uid="{83293FA1-29B7-4804-8869-E65D3F23EA03}"/>
    <cellStyle name="Normal 3 2 10 5" xfId="5266" xr:uid="{EF43CCA2-F5F4-4479-88E1-6A3D937BF545}"/>
    <cellStyle name="Normal 3 2 10 6" xfId="4347" xr:uid="{66BEBBD2-5BC5-4FFF-B5CA-B137BE615019}"/>
    <cellStyle name="Normal 3 2 11" xfId="2911" xr:uid="{00000000-0005-0000-0000-0000B8090000}"/>
    <cellStyle name="Normal 3 2 11 2" xfId="3627" xr:uid="{2C53E19A-2C70-4BAC-AA5D-DF8A4E5B382D}"/>
    <cellStyle name="Normal 3 2 11 2 2" xfId="8679" xr:uid="{D5C5B2B9-ECD2-4144-833F-F39920727BB6}"/>
    <cellStyle name="Normal 3 2 11 2 3" xfId="7929" xr:uid="{646B63AF-F711-4578-AC19-16177F857C24}"/>
    <cellStyle name="Normal 3 2 11 2 4" xfId="7166" xr:uid="{834C63F9-AC71-4296-9F54-14BC18890A46}"/>
    <cellStyle name="Normal 3 2 11 2 5" xfId="4495" xr:uid="{A7C33E80-B3D3-459D-B7DD-3C07A8FD2838}"/>
    <cellStyle name="Normal 3 2 11 3" xfId="6639" xr:uid="{9609BC45-9FC2-4B09-9961-5793DE872B4A}"/>
    <cellStyle name="Normal 3 2 11 3 2" xfId="8198" xr:uid="{1F7CC186-A981-4E2A-8592-1C78B3CAB79E}"/>
    <cellStyle name="Normal 3 2 11 4" xfId="7448" xr:uid="{37328898-7767-4173-BAD3-1297234A96F6}"/>
    <cellStyle name="Normal 3 2 11 5" xfId="6346" xr:uid="{DDB1C0B2-C2AF-4C9A-B208-5C798E1D9E21}"/>
    <cellStyle name="Normal 3 2 11 6" xfId="4219" xr:uid="{583C56B8-6DA6-420C-A616-8666D9025D04}"/>
    <cellStyle name="Normal 3 2 12" xfId="3482" xr:uid="{EAE01E1C-A5E2-49E9-980F-0574CFE49F39}"/>
    <cellStyle name="Normal 3 2 12 2" xfId="3776" xr:uid="{E5EF6848-712C-4D25-BEDA-685235310482}"/>
    <cellStyle name="Normal 3 2 12 2 2" xfId="8722" xr:uid="{4351C14F-BA96-4223-B05D-1C9CE1BBD49D}"/>
    <cellStyle name="Normal 3 2 12 2 3" xfId="7972" xr:uid="{647AA5E7-9A64-4275-9DFC-FB3F2938BDE8}"/>
    <cellStyle name="Normal 3 2 12 2 4" xfId="7210" xr:uid="{77ED4AB8-42F3-48F7-85FE-7778566FAE50}"/>
    <cellStyle name="Normal 3 2 12 2 5" xfId="4628" xr:uid="{68A82333-F2BB-4697-8429-59B14E18945D}"/>
    <cellStyle name="Normal 3 2 12 3" xfId="6776" xr:uid="{41819F9A-8EEA-4934-96F3-D4D3870D0527}"/>
    <cellStyle name="Normal 3 2 12 3 2" xfId="8333" xr:uid="{A2A03515-83D7-44F5-9E66-DEB549770EA7}"/>
    <cellStyle name="Normal 3 2 12 4" xfId="7583" xr:uid="{9188752D-D152-4E24-9A7D-960B61779C83}"/>
    <cellStyle name="Normal 3 2 12 5" xfId="6409" xr:uid="{AD0E2E65-4527-4955-B0CF-2B3BF089389A}"/>
    <cellStyle name="Normal 3 2 12 6" xfId="4352" xr:uid="{6E541573-B7A4-4883-ABA5-200473170A9C}"/>
    <cellStyle name="Normal 3 2 13" xfId="3532" xr:uid="{3261A909-CAAA-4A54-95C3-B5E1DEC05A8D}"/>
    <cellStyle name="Normal 3 2 13 2" xfId="7252" xr:uid="{D159A4A0-D342-43A8-A7A1-08A135CDEB29}"/>
    <cellStyle name="Normal 3 2 13 2 2" xfId="8764" xr:uid="{82907868-A986-4F29-8965-E3B4A6FF22EE}"/>
    <cellStyle name="Normal 3 2 13 3" xfId="8014" xr:uid="{8C7725D9-FBC5-4C4D-9A70-B6C87CD2D140}"/>
    <cellStyle name="Normal 3 2 13 4" xfId="6451" xr:uid="{6D577A22-65A6-49C4-8E8B-7F46AA201ABE}"/>
    <cellStyle name="Normal 3 2 13 5" xfId="4400" xr:uid="{DBE9840E-93D4-4CD9-B479-D28957507AFA}"/>
    <cellStyle name="Normal 3 2 14" xfId="3823" xr:uid="{1B365905-CB44-46B4-920F-3C14F64D0B58}"/>
    <cellStyle name="Normal 3 2 14 2" xfId="7293" xr:uid="{E6DF57BA-523F-498C-9B74-BBD79B787B46}"/>
    <cellStyle name="Normal 3 2 14 2 2" xfId="8805" xr:uid="{B4B493DE-017B-4263-9EE6-0E24693DA2C5}"/>
    <cellStyle name="Normal 3 2 14 3" xfId="8055" xr:uid="{0A9613B8-99C4-42C1-A423-AE016BD018B1}"/>
    <cellStyle name="Normal 3 2 14 4" xfId="6492" xr:uid="{D2460B0A-B109-4B1D-AF5F-2C54FD42378C}"/>
    <cellStyle name="Normal 3 2 14 5" xfId="4675" xr:uid="{8199BF0B-8A6C-43B1-A6E5-A66EBD730D90}"/>
    <cellStyle name="Normal 3 2 15" xfId="4120" xr:uid="{4CA3B788-06BB-484A-B9AF-5267B863BAC6}"/>
    <cellStyle name="Normal 3 2 15 2" xfId="8386" xr:uid="{DEC82433-2583-4AD5-8CC8-ECBB16E328D8}"/>
    <cellStyle name="Normal 3 2 15 3" xfId="7636" xr:uid="{51D4E761-5207-4B13-B649-8A684B108623}"/>
    <cellStyle name="Normal 3 2 15 4" xfId="6855" xr:uid="{834D739F-259A-4E81-B6D4-4C3AA22DB118}"/>
    <cellStyle name="Normal 3 2 16" xfId="6780" xr:uid="{4E98F5DC-CBD0-4B70-9E75-11C9922C4563}"/>
    <cellStyle name="Normal 3 2 16 2" xfId="8337" xr:uid="{4597A31D-DBB0-4576-B71E-5FFBB31E9662}"/>
    <cellStyle name="Normal 3 2 16 3" xfId="7587" xr:uid="{1628335C-D6FA-4CE0-8F5E-ACB62AD7C6DF}"/>
    <cellStyle name="Normal 3 2 17" xfId="6544" xr:uid="{A34F5B68-6E98-4482-B85F-CAE3F8B985CD}"/>
    <cellStyle name="Normal 3 2 17 2" xfId="8103" xr:uid="{288FF5AE-9052-497A-AFEE-AC03BD62A9D4}"/>
    <cellStyle name="Normal 3 2 18" xfId="7353" xr:uid="{7ADF146E-6030-422F-9A1B-81FC0437BBB4}"/>
    <cellStyle name="Normal 3 2 19" xfId="4734" xr:uid="{F8E16238-D089-4CE6-90CD-0B9590E6065C}"/>
    <cellStyle name="Normal 3 2 2" xfId="18" xr:uid="{00000000-0005-0000-0000-000007000000}"/>
    <cellStyle name="Normal 3 2 2 10" xfId="3882" xr:uid="{A152F82A-8C6C-4976-A8CD-91AE3898E02D}"/>
    <cellStyle name="Normal 3 2 2 2" xfId="216" xr:uid="{00000000-0005-0000-0000-000019090000}"/>
    <cellStyle name="Normal 3 2 2 3" xfId="23" xr:uid="{00000000-0005-0000-0000-000018090000}"/>
    <cellStyle name="Normal 3 2 2 3 2" xfId="3480" xr:uid="{00000000-0005-0000-0000-000005000000}"/>
    <cellStyle name="Normal 3 2 2 3 2 2" xfId="3774" xr:uid="{72055DB1-1EFE-43B3-B3A3-AECFF5B03C9F}"/>
    <cellStyle name="Normal 3 2 2 3 2 2 2" xfId="8682" xr:uid="{10954899-49FA-4CBD-B07F-E1312CC809DE}"/>
    <cellStyle name="Normal 3 2 2 3 2 2 3" xfId="7932" xr:uid="{70A111E7-81D6-4717-A380-7BDDD261AD0A}"/>
    <cellStyle name="Normal 3 2 2 3 2 2 4" xfId="7169" xr:uid="{C56CA5C2-19A5-4A02-9751-B9711560A84B}"/>
    <cellStyle name="Normal 3 2 2 3 2 2 5" xfId="4626" xr:uid="{97B7CF46-FCDE-46CD-938F-D9A392555139}"/>
    <cellStyle name="Normal 3 2 2 3 2 3" xfId="6771" xr:uid="{9C198ED5-4AE2-4957-B0F0-FD9EDDBE72C5}"/>
    <cellStyle name="Normal 3 2 2 3 2 3 2" xfId="8329" xr:uid="{AFAE0747-B169-4BC9-9CD7-A62BC611DC3E}"/>
    <cellStyle name="Normal 3 2 2 3 2 4" xfId="7579" xr:uid="{93544C7C-0008-4D79-B826-31A64692B255}"/>
    <cellStyle name="Normal 3 2 2 3 2 5" xfId="6349" xr:uid="{8F6F837D-9F73-4402-837D-9BB12DB1C8FB}"/>
    <cellStyle name="Normal 3 2 2 3 2 6" xfId="4350" xr:uid="{FBF1FA85-10D1-451D-8B4F-454FDE94C062}"/>
    <cellStyle name="Normal 3 2 2 3 3" xfId="3540" xr:uid="{0B4D4289-6434-4B08-94F4-799737D369B8}"/>
    <cellStyle name="Normal 3 2 2 3 3 2" xfId="8529" xr:uid="{02C20AA3-744C-41AF-9647-1B8035E8D3EE}"/>
    <cellStyle name="Normal 3 2 2 3 3 3" xfId="7779" xr:uid="{34E34A56-4EF1-4ECC-A3DC-9E86E7587DA4}"/>
    <cellStyle name="Normal 3 2 2 3 3 4" xfId="7010" xr:uid="{FCD91621-5AF6-46BF-9058-E0AB1A8B0FD0}"/>
    <cellStyle name="Normal 3 2 2 3 3 5" xfId="4408" xr:uid="{247F3E76-8380-4449-B658-832038781AFF}"/>
    <cellStyle name="Normal 3 2 2 3 4" xfId="4128" xr:uid="{25F4E042-13D6-4FB1-AED1-B851C4F9FBC6}"/>
    <cellStyle name="Normal 3 2 2 3 4 2" xfId="8111" xr:uid="{84F731BE-6811-4956-B102-0ED04091BCE7}"/>
    <cellStyle name="Normal 3 2 2 3 4 3" xfId="6552" xr:uid="{1B241224-F2A6-4537-830C-0A918A2AFCA0}"/>
    <cellStyle name="Normal 3 2 2 3 5" xfId="7361" xr:uid="{43979440-F2A8-4DA3-8E14-F1853C779BD9}"/>
    <cellStyle name="Normal 3 2 2 3 6" xfId="5017" xr:uid="{A4FE02AF-2774-4847-886B-191575BE6D49}"/>
    <cellStyle name="Normal 3 2 2 3 7" xfId="4016" xr:uid="{A9390D61-CC2C-4DAB-BD19-0DABA70E3C02}"/>
    <cellStyle name="Normal 3 2 2 4" xfId="2869" xr:uid="{00000000-0005-0000-0000-000018090000}"/>
    <cellStyle name="Normal 3 2 2 4 2" xfId="3585" xr:uid="{1967E1C9-2DE4-40F3-B447-F2A8479886BD}"/>
    <cellStyle name="Normal 3 2 2 4 2 2" xfId="8574" xr:uid="{3C450F18-54B3-4350-AED2-5C86CDD966F9}"/>
    <cellStyle name="Normal 3 2 2 4 2 3" xfId="7824" xr:uid="{960706F0-3437-4607-A48E-6E2DAE36DA68}"/>
    <cellStyle name="Normal 3 2 2 4 2 4" xfId="7055" xr:uid="{41740C66-AF57-4556-B3FD-38AC39C4C7E0}"/>
    <cellStyle name="Normal 3 2 2 4 2 5" xfId="4453" xr:uid="{14EB3E7A-9E01-44E7-868F-E8A05B98B3A1}"/>
    <cellStyle name="Normal 3 2 2 4 3" xfId="6597" xr:uid="{99112270-29DE-4D0C-B934-A2F6C5A6EDA1}"/>
    <cellStyle name="Normal 3 2 2 4 3 2" xfId="8156" xr:uid="{64BC756B-6F54-45D5-BE40-D0B026B4EBC5}"/>
    <cellStyle name="Normal 3 2 2 4 4" xfId="7406" xr:uid="{291C9702-2B14-4A47-9342-B09775DA84FC}"/>
    <cellStyle name="Normal 3 2 2 4 5" xfId="5063" xr:uid="{D835BD4A-42F5-4573-86F8-5B594C779C10}"/>
    <cellStyle name="Normal 3 2 2 4 6" xfId="4177" xr:uid="{EE6F8B5C-E089-481A-9897-757F15A78AD3}"/>
    <cellStyle name="Normal 3 2 2 5" xfId="2914" xr:uid="{00000000-0005-0000-0000-0000B9090000}"/>
    <cellStyle name="Normal 3 2 2 5 2" xfId="3630" xr:uid="{1A165BD0-6E77-47E1-8089-C8AC8CACC8C5}"/>
    <cellStyle name="Normal 3 2 2 5 2 2" xfId="8766" xr:uid="{FEA6CD2C-C558-4DA4-90D2-D7CA9C203D16}"/>
    <cellStyle name="Normal 3 2 2 5 2 3" xfId="8016" xr:uid="{6F737D84-8298-42D7-B0CC-CB1470C28752}"/>
    <cellStyle name="Normal 3 2 2 5 2 4" xfId="7254" xr:uid="{59746732-6740-43A3-B61B-F56C803AEA71}"/>
    <cellStyle name="Normal 3 2 2 5 2 5" xfId="4498" xr:uid="{FA32837B-44AA-4125-AABD-E70A7E52C990}"/>
    <cellStyle name="Normal 3 2 2 5 3" xfId="6642" xr:uid="{3FD03269-2FC1-49F9-A36F-D4BBB4210E29}"/>
    <cellStyle name="Normal 3 2 2 5 3 2" xfId="8201" xr:uid="{C9F865F4-FCF5-4A54-A4BD-B8141124392C}"/>
    <cellStyle name="Normal 3 2 2 5 4" xfId="7451" xr:uid="{9042C606-C9BD-4A6F-B70A-C27D7849108E}"/>
    <cellStyle name="Normal 3 2 2 5 5" xfId="6453" xr:uid="{20EA9027-5FEF-4AF9-8B31-4E76950D87F9}"/>
    <cellStyle name="Normal 3 2 2 5 6" xfId="4222" xr:uid="{ED7B5532-F0AD-4702-9FB9-B6E8B25DF221}"/>
    <cellStyle name="Normal 3 2 2 6" xfId="3485" xr:uid="{62527BB6-525C-4EA2-A1C3-0A9B70FC54B6}"/>
    <cellStyle name="Normal 3 2 2 6 2" xfId="3779" xr:uid="{629FCACC-6117-4E10-A8BF-65632E075572}"/>
    <cellStyle name="Normal 3 2 2 6 2 2" xfId="8808" xr:uid="{7EF49E4E-7BA0-4EA1-B511-9FD6D0C8B2B3}"/>
    <cellStyle name="Normal 3 2 2 6 2 3" xfId="7296" xr:uid="{BB71DE71-D422-4046-8891-E5F8BF0ACB2D}"/>
    <cellStyle name="Normal 3 2 2 6 2 4" xfId="4631" xr:uid="{6E1C7341-4A68-422D-9F4E-76EB55A37648}"/>
    <cellStyle name="Normal 3 2 2 6 3" xfId="8058" xr:uid="{816E4CE4-8248-4E27-BD57-D1661EBF88EF}"/>
    <cellStyle name="Normal 3 2 2 6 4" xfId="6495" xr:uid="{CC11920E-6544-49DE-9848-3C0FA8465185}"/>
    <cellStyle name="Normal 3 2 2 6 5" xfId="4355" xr:uid="{554F83BA-7D37-4381-93F7-E62E16C48F65}"/>
    <cellStyle name="Normal 3 2 2 7" xfId="3535" xr:uid="{99D89DFD-6AC4-43D7-8CE7-71073ADADD05}"/>
    <cellStyle name="Normal 3 2 2 7 2" xfId="8340" xr:uid="{9869E02A-246E-4CC7-B669-28693DB093B0}"/>
    <cellStyle name="Normal 3 2 2 7 3" xfId="7590" xr:uid="{B484A424-BD94-46E1-9629-900BF434D74A}"/>
    <cellStyle name="Normal 3 2 2 7 4" xfId="6783" xr:uid="{A8748AD6-BC84-4839-B6B7-F971ADF24679}"/>
    <cellStyle name="Normal 3 2 2 7 5" xfId="4403" xr:uid="{4A485837-2B79-45D1-80AB-A4A913F0F6AF}"/>
    <cellStyle name="Normal 3 2 2 8" xfId="3826" xr:uid="{F9B451EF-C418-48A2-B687-CB71B12AB048}"/>
    <cellStyle name="Normal 3 2 2 8 2" xfId="8106" xr:uid="{6B9C8D80-F612-4C37-9C6C-853F9CD067EC}"/>
    <cellStyle name="Normal 3 2 2 8 3" xfId="6547" xr:uid="{092010A7-2A06-40FE-BFE8-D805BF4D4D46}"/>
    <cellStyle name="Normal 3 2 2 8 4" xfId="4678" xr:uid="{96030348-E09E-4A05-8F24-11459C51AE25}"/>
    <cellStyle name="Normal 3 2 2 9" xfId="4123" xr:uid="{0A3F02A9-7833-4C99-9117-E1D8322A346A}"/>
    <cellStyle name="Normal 3 2 2 9 2" xfId="7356" xr:uid="{F52F3068-4EC6-49BC-81C2-D1EBB14C5871}"/>
    <cellStyle name="Normal 3 2 20" xfId="3876" xr:uid="{8F4B36FB-A894-4B2A-9ECB-F52B144F314B}"/>
    <cellStyle name="Normal 3 2 3" xfId="2529" xr:uid="{00000000-0005-0000-0000-00001A090000}"/>
    <cellStyle name="Normal 3 2 3 10" xfId="6516" xr:uid="{E1EFA1BF-68BE-4FD6-91B3-73AB8F8E8C53}"/>
    <cellStyle name="Normal 3 2 3 10 2" xfId="7310" xr:uid="{89C80625-D288-4564-BE66-370C4EF7DDBD}"/>
    <cellStyle name="Normal 3 2 3 10 2 2" xfId="8822" xr:uid="{5D63E226-7437-429B-8247-64EF26C058DF}"/>
    <cellStyle name="Normal 3 2 3 10 3" xfId="8072" xr:uid="{32A4CEC7-2107-4F17-B497-B0D76E66F4C5}"/>
    <cellStyle name="Normal 3 2 3 11" xfId="6873" xr:uid="{291F654A-8BA2-440C-B9B6-949DAA1F51B1}"/>
    <cellStyle name="Normal 3 2 3 11 2" xfId="8397" xr:uid="{0C6EFACD-1B4C-4CA6-A9DF-4616D150298F}"/>
    <cellStyle name="Normal 3 2 3 11 3" xfId="7647" xr:uid="{AF1B3F25-F181-43C9-ABE0-806A5AD42CB1}"/>
    <cellStyle name="Normal 3 2 3 12" xfId="6814" xr:uid="{53313AB8-58FA-4D18-BB0B-65CA551F785E}"/>
    <cellStyle name="Normal 3 2 3 12 2" xfId="8354" xr:uid="{88284F18-3C74-4671-B15A-BD1E3870662E}"/>
    <cellStyle name="Normal 3 2 3 12 3" xfId="7604" xr:uid="{F8CE510F-4432-49AA-B0B9-F4129B380E59}"/>
    <cellStyle name="Normal 3 2 3 13" xfId="6566" xr:uid="{71010D40-89E3-4399-8142-F9650F402998}"/>
    <cellStyle name="Normal 3 2 3 13 2" xfId="8125" xr:uid="{F52EF125-671D-4117-9619-D170D17E5F76}"/>
    <cellStyle name="Normal 3 2 3 14" xfId="7375" xr:uid="{CCA4DACB-490B-4E6D-8B4C-BB6A60DA5743}"/>
    <cellStyle name="Normal 3 2 3 15" xfId="4771" xr:uid="{3C3F965B-5648-4982-B26D-3EB35B0B0B5E}"/>
    <cellStyle name="Normal 3 2 3 16" xfId="3958" xr:uid="{778AFAAC-7E2F-4339-9998-4708A82ABA9A}"/>
    <cellStyle name="Normal 3 2 3 2" xfId="2853" xr:uid="{00000000-0005-0000-0000-00001B090000}"/>
    <cellStyle name="Normal 3 2 3 2 10" xfId="7392" xr:uid="{6F528E7B-8E05-452E-8348-B119C85CD7AC}"/>
    <cellStyle name="Normal 3 2 3 2 11" xfId="4903" xr:uid="{7751C7DC-97D7-4905-8DED-26A34EDD428B}"/>
    <cellStyle name="Normal 3 2 3 2 12" xfId="3982" xr:uid="{9959887D-A9B8-4E8E-97B7-028D8B422CB3}"/>
    <cellStyle name="Normal 3 2 3 2 2" xfId="2900" xr:uid="{00000000-0005-0000-0000-00001B090000}"/>
    <cellStyle name="Normal 3 2 3 2 2 2" xfId="3001" xr:uid="{00000000-0005-0000-0000-0000BD090000}"/>
    <cellStyle name="Normal 3 2 3 2 2 2 2" xfId="3717" xr:uid="{E3DE7965-73E6-4173-A2F2-B9635CDBBC0F}"/>
    <cellStyle name="Normal 3 2 3 2 2 2 2 2" xfId="8704" xr:uid="{B00FEE72-ED33-434F-8B5D-BF4148DD704A}"/>
    <cellStyle name="Normal 3 2 3 2 2 2 2 3" xfId="7954" xr:uid="{2EE14F09-C761-450A-8DB8-1345F6E0275D}"/>
    <cellStyle name="Normal 3 2 3 2 2 2 2 4" xfId="7192" xr:uid="{22CCF11E-1BA8-4E9E-8141-E03BDA4A1F3A}"/>
    <cellStyle name="Normal 3 2 3 2 2 2 2 5" xfId="4569" xr:uid="{25A31E70-366D-4BF6-9B26-A497B7AC5588}"/>
    <cellStyle name="Normal 3 2 3 2 2 2 3" xfId="6713" xr:uid="{64885AE3-D52E-4F5B-8BC0-DC78C5DDFCB6}"/>
    <cellStyle name="Normal 3 2 3 2 2 2 3 2" xfId="8272" xr:uid="{5762BEE7-6EE9-41A0-9CE7-A4FB3D59B618}"/>
    <cellStyle name="Normal 3 2 3 2 2 2 4" xfId="7522" xr:uid="{F8BC6FC1-FD34-4585-A9C6-2AF6D0BE76B8}"/>
    <cellStyle name="Normal 3 2 3 2 2 2 5" xfId="6390" xr:uid="{E9614797-F5B5-4894-A4B8-4336D69809D8}"/>
    <cellStyle name="Normal 3 2 3 2 2 2 6" xfId="4293" xr:uid="{60F3F3B5-397A-452E-BD29-8E0747474FCD}"/>
    <cellStyle name="Normal 3 2 3 2 2 3" xfId="3616" xr:uid="{3142E668-2ADF-44BB-B08B-0958EAF80047}"/>
    <cellStyle name="Normal 3 2 3 2 2 3 2" xfId="8466" xr:uid="{F2D79DBA-1947-4C04-83D4-0B4939CF5A8D}"/>
    <cellStyle name="Normal 3 2 3 2 2 3 3" xfId="7716" xr:uid="{78096FAC-F998-4DAB-964E-6070D7A836FF}"/>
    <cellStyle name="Normal 3 2 3 2 2 3 4" xfId="6947" xr:uid="{151CCA0A-F061-443C-AA6E-01AF8A30495C}"/>
    <cellStyle name="Normal 3 2 3 2 2 3 5" xfId="4484" xr:uid="{E9C83863-6DB9-41DC-BB86-2EA790610807}"/>
    <cellStyle name="Normal 3 2 3 2 2 4" xfId="4208" xr:uid="{E4524A4C-0416-4DB9-9BB1-FF7ED2112128}"/>
    <cellStyle name="Normal 3 2 3 2 2 4 2" xfId="8187" xr:uid="{909D77E2-091A-4BF9-9DA3-176569B9C26A}"/>
    <cellStyle name="Normal 3 2 3 2 2 4 3" xfId="6628" xr:uid="{66B90695-B7A1-4EFB-AB4D-9E42BE4AA907}"/>
    <cellStyle name="Normal 3 2 3 2 2 5" xfId="7437" xr:uid="{A11FC8C5-E26F-4333-BDE4-B79B76195C1A}"/>
    <cellStyle name="Normal 3 2 3 2 2 6" xfId="4953" xr:uid="{00DDFEB2-F52F-4CFC-B691-858AD275E23A}"/>
    <cellStyle name="Normal 3 2 3 2 2 7" xfId="4070" xr:uid="{C509D875-3F8F-4E83-B48B-7757646312F2}"/>
    <cellStyle name="Normal 3 2 3 2 3" xfId="3445" xr:uid="{00000000-0005-0000-0000-0000BE090000}"/>
    <cellStyle name="Normal 3 2 3 2 3 2" xfId="3757" xr:uid="{51FDF692-0EC7-4CEC-A1F2-02426E69F1FD}"/>
    <cellStyle name="Normal 3 2 3 2 3 2 2" xfId="7241" xr:uid="{337F8230-E1C3-4802-BC2C-EACF4629A3C9}"/>
    <cellStyle name="Normal 3 2 3 2 3 2 2 2" xfId="8753" xr:uid="{BDB049EB-9512-42EB-ACFD-69A267292D1F}"/>
    <cellStyle name="Normal 3 2 3 2 3 2 3" xfId="8003" xr:uid="{040DA1A9-73EF-4108-9D42-863C1623C800}"/>
    <cellStyle name="Normal 3 2 3 2 3 2 4" xfId="6440" xr:uid="{784A2DD7-F64B-4748-B2AC-CAF762D2D538}"/>
    <cellStyle name="Normal 3 2 3 2 3 2 5" xfId="4609" xr:uid="{300FAAF4-B6A5-4E70-8BFC-BDCE7F22FB12}"/>
    <cellStyle name="Normal 3 2 3 2 3 3" xfId="6996" xr:uid="{CC692E3E-1880-44F6-8843-78DEC33D83D4}"/>
    <cellStyle name="Normal 3 2 3 2 3 3 2" xfId="8515" xr:uid="{1BD74662-3A22-400E-AFA6-C0C5C6231879}"/>
    <cellStyle name="Normal 3 2 3 2 3 3 3" xfId="7765" xr:uid="{B3C5B813-5D51-4F90-997F-328A4EF3AF63}"/>
    <cellStyle name="Normal 3 2 3 2 3 4" xfId="6754" xr:uid="{88447832-6761-47E4-8626-D9E2D8AA0490}"/>
    <cellStyle name="Normal 3 2 3 2 3 4 2" xfId="8312" xr:uid="{54E4E018-4EB3-4BD4-BCED-804A4DBC6479}"/>
    <cellStyle name="Normal 3 2 3 2 3 5" xfId="7562" xr:uid="{B0C0A2CA-D8CC-48C8-9ACE-671BF505D275}"/>
    <cellStyle name="Normal 3 2 3 2 3 6" xfId="5002" xr:uid="{76101A67-F973-4104-BB7C-B9C9C5813AE9}"/>
    <cellStyle name="Normal 3 2 3 2 3 7" xfId="4333" xr:uid="{1333E895-67C0-4012-8894-1C88EB5A3A0A}"/>
    <cellStyle name="Normal 3 2 3 2 4" xfId="2945" xr:uid="{00000000-0005-0000-0000-0000BC090000}"/>
    <cellStyle name="Normal 3 2 3 2 4 2" xfId="3661" xr:uid="{34D2DCCF-E3DB-40BE-808D-9551BE3BA86D}"/>
    <cellStyle name="Normal 3 2 3 2 4 2 2" xfId="7281" xr:uid="{51362B71-391C-44B2-BD15-407D57533469}"/>
    <cellStyle name="Normal 3 2 3 2 4 2 2 2" xfId="8793" xr:uid="{E6727592-35A6-4AD7-9C5F-CE5EF4FE50B7}"/>
    <cellStyle name="Normal 3 2 3 2 4 2 3" xfId="8043" xr:uid="{C0D6452F-9962-419E-979E-232176364821}"/>
    <cellStyle name="Normal 3 2 3 2 4 2 4" xfId="6480" xr:uid="{7E03B9DE-628D-42B3-923F-64D1FF815BFE}"/>
    <cellStyle name="Normal 3 2 3 2 4 2 5" xfId="4529" xr:uid="{685BBF30-45F4-4675-A1AC-B9AEA32FB7AA}"/>
    <cellStyle name="Normal 3 2 3 2 4 3" xfId="7041" xr:uid="{60451E02-6E97-46FB-A143-E30EF2CE7432}"/>
    <cellStyle name="Normal 3 2 3 2 4 3 2" xfId="8560" xr:uid="{373B0311-4F30-419F-B4A0-78853623FAFA}"/>
    <cellStyle name="Normal 3 2 3 2 4 3 3" xfId="7810" xr:uid="{2C382269-098E-4513-BABC-604745E0EDF7}"/>
    <cellStyle name="Normal 3 2 3 2 4 4" xfId="6673" xr:uid="{E0BF1332-46DC-4F84-9F13-14BBBCE8BE16}"/>
    <cellStyle name="Normal 3 2 3 2 4 4 2" xfId="8232" xr:uid="{DDDF1EB0-A159-4C4B-85FE-7A29DCA41FEB}"/>
    <cellStyle name="Normal 3 2 3 2 4 5" xfId="7482" xr:uid="{225F28C1-9BC6-452B-AA4F-963FC1982ABF}"/>
    <cellStyle name="Normal 3 2 3 2 4 6" xfId="5048" xr:uid="{E8F01B54-9D1B-4045-92A9-5DBE88BB6D89}"/>
    <cellStyle name="Normal 3 2 3 2 4 7" xfId="4253" xr:uid="{8B315F65-B502-4AD0-85E5-AA0F39B2541A}"/>
    <cellStyle name="Normal 3 2 3 2 5" xfId="3516" xr:uid="{56963A7E-CF29-405F-96C2-B60FE75F8AB9}"/>
    <cellStyle name="Normal 3 2 3 2 5 2" xfId="3810" xr:uid="{E5BC2C15-F4DB-48E7-A5CC-6427A56B02E8}"/>
    <cellStyle name="Normal 3 2 3 2 5 2 2" xfId="8617" xr:uid="{C555A827-39FA-4F9C-80EC-8F9F11FEB9AE}"/>
    <cellStyle name="Normal 3 2 3 2 5 2 3" xfId="7101" xr:uid="{A2D947DA-1A5A-423F-BC8C-F29807C0ED2A}"/>
    <cellStyle name="Normal 3 2 3 2 5 2 4" xfId="4662" xr:uid="{4DAE8E5A-AC7C-4AB8-ABB7-7AB1F818E4A8}"/>
    <cellStyle name="Normal 3 2 3 2 5 3" xfId="7867" xr:uid="{E0C6FA15-A7C0-49DD-B4F2-57FFA72EBA55}"/>
    <cellStyle name="Normal 3 2 3 2 5 4" xfId="5654" xr:uid="{EC69115C-A8B0-4DB2-8D64-6022AC81DE5B}"/>
    <cellStyle name="Normal 3 2 3 2 5 5" xfId="4386" xr:uid="{E6E2F05E-7BC4-4B9E-8104-549E9309568C}"/>
    <cellStyle name="Normal 3 2 3 2 6" xfId="3571" xr:uid="{1A0D741F-4121-44BF-AA39-863BE44D7991}"/>
    <cellStyle name="Normal 3 2 3 2 6 2" xfId="7327" xr:uid="{5179EE64-DA28-45CF-9597-03446ADFE756}"/>
    <cellStyle name="Normal 3 2 3 2 6 2 2" xfId="8839" xr:uid="{D4148A68-BECC-4C6B-BD65-93621084D99D}"/>
    <cellStyle name="Normal 3 2 3 2 6 3" xfId="8089" xr:uid="{D914AFAA-3CF9-45BA-A647-4958BBB42735}"/>
    <cellStyle name="Normal 3 2 3 2 6 4" xfId="6533" xr:uid="{CEE7BD2B-8315-403A-950C-EFE9B10E98E3}"/>
    <cellStyle name="Normal 3 2 3 2 6 5" xfId="4439" xr:uid="{1E2D2AFC-0776-4A86-B58F-91B3F3059E15}"/>
    <cellStyle name="Normal 3 2 3 2 7" xfId="3857" xr:uid="{0B023CF1-F577-4927-9B21-07CE74CCDB5E}"/>
    <cellStyle name="Normal 3 2 3 2 7 2" xfId="8420" xr:uid="{07BE9589-1646-43C5-9194-77AD0BF3FCF9}"/>
    <cellStyle name="Normal 3 2 3 2 7 3" xfId="7670" xr:uid="{FDD18601-0DD8-453D-B5BF-DE529A962945}"/>
    <cellStyle name="Normal 3 2 3 2 7 4" xfId="6901" xr:uid="{C2507875-9F9D-4839-9381-E77565912777}"/>
    <cellStyle name="Normal 3 2 3 2 7 5" xfId="4709" xr:uid="{2A2D483B-A2B2-4CDE-8446-2B45446B2048}"/>
    <cellStyle name="Normal 3 2 3 2 8" xfId="4163" xr:uid="{97E54596-342D-4EAD-93AF-3D0093B77287}"/>
    <cellStyle name="Normal 3 2 3 2 8 2" xfId="8371" xr:uid="{A0C31D0A-E970-479F-9ED8-AAF8C932E217}"/>
    <cellStyle name="Normal 3 2 3 2 8 3" xfId="7621" xr:uid="{87E9D9D5-3238-42E8-88CD-E5B8B7664DE7}"/>
    <cellStyle name="Normal 3 2 3 2 8 4" xfId="6832" xr:uid="{683E9685-A751-4A63-BB66-7D7AF018C7EA}"/>
    <cellStyle name="Normal 3 2 3 2 9" xfId="6583" xr:uid="{F4FE614D-0198-45C3-B6B0-047B4D249C3F}"/>
    <cellStyle name="Normal 3 2 3 2 9 2" xfId="8142" xr:uid="{4CD227E9-C748-4787-BD2E-3F4968CC4A67}"/>
    <cellStyle name="Normal 3 2 3 3" xfId="2883" xr:uid="{00000000-0005-0000-0000-00001A090000}"/>
    <cellStyle name="Normal 3 2 3 3 2" xfId="2984" xr:uid="{00000000-0005-0000-0000-0000BF090000}"/>
    <cellStyle name="Normal 3 2 3 3 2 2" xfId="3700" xr:uid="{A91A8906-BD01-4962-A710-3B7C71EA46F7}"/>
    <cellStyle name="Normal 3 2 3 3 2 2 2" xfId="8637" xr:uid="{5A6EF069-378A-4032-89B8-C84CCECAEAE8}"/>
    <cellStyle name="Normal 3 2 3 3 2 2 3" xfId="7887" xr:uid="{D2369564-A83E-48DA-9F07-BC401FB00B0C}"/>
    <cellStyle name="Normal 3 2 3 3 2 2 4" xfId="7122" xr:uid="{0A47EB70-54C4-48BF-9BAE-93D45CB6F72B}"/>
    <cellStyle name="Normal 3 2 3 3 2 2 5" xfId="4552" xr:uid="{966F14E1-12F1-4639-941D-414A3B85A413}"/>
    <cellStyle name="Normal 3 2 3 3 2 3" xfId="4276" xr:uid="{FC37D620-C71C-4FBC-8AF6-984C0973CE88}"/>
    <cellStyle name="Normal 3 2 3 3 2 3 2" xfId="8255" xr:uid="{AF4B9E0E-B426-41CB-BF5B-C01AA611E3FC}"/>
    <cellStyle name="Normal 3 2 3 3 2 3 3" xfId="6696" xr:uid="{1B894C0E-1995-4B57-86F1-D81847224EF5}"/>
    <cellStyle name="Normal 3 2 3 3 2 4" xfId="7505" xr:uid="{EF6827CC-3C04-4D83-A373-9B13E69E0BCF}"/>
    <cellStyle name="Normal 3 2 3 3 2 5" xfId="5707" xr:uid="{1C377363-ECC4-42DF-B780-A8471064E5D4}"/>
    <cellStyle name="Normal 3 2 3 3 2 6" xfId="4112" xr:uid="{FEF86C2A-8841-4835-9AC5-B6B60A0A5FC1}"/>
    <cellStyle name="Normal 3 2 3 3 3" xfId="3599" xr:uid="{C4DA27AD-FEDB-4F09-92F7-B8EFEF0CE0BC}"/>
    <cellStyle name="Normal 3 2 3 3 3 2" xfId="8443" xr:uid="{CEFFFBCE-C702-47B6-B515-E3DABD23569A}"/>
    <cellStyle name="Normal 3 2 3 3 3 3" xfId="7693" xr:uid="{251F98F1-D43F-4499-AB3B-7CD8BAEEFD4F}"/>
    <cellStyle name="Normal 3 2 3 3 3 4" xfId="6924" xr:uid="{3752A4B9-C2C1-4201-8883-4FC40C4AD301}"/>
    <cellStyle name="Normal 3 2 3 3 3 5" xfId="4467" xr:uid="{27BA03F8-1D38-492F-9098-7891136EE5E1}"/>
    <cellStyle name="Normal 3 2 3 3 4" xfId="4191" xr:uid="{9702D7E6-3064-4956-A58D-2A38863512D6}"/>
    <cellStyle name="Normal 3 2 3 3 4 2" xfId="8170" xr:uid="{7E1FE547-349B-4771-87BF-0725F1F45CC0}"/>
    <cellStyle name="Normal 3 2 3 3 4 3" xfId="6611" xr:uid="{A60F716D-422A-4B29-8A0C-26C195603CAE}"/>
    <cellStyle name="Normal 3 2 3 3 5" xfId="7420" xr:uid="{EF7A203C-82EC-413D-92D2-EDC7BCEE26EE}"/>
    <cellStyle name="Normal 3 2 3 3 6" xfId="4930" xr:uid="{4521AE60-8A80-4E1D-8818-EE5DAC1DACA9}"/>
    <cellStyle name="Normal 3 2 3 3 7" xfId="4003" xr:uid="{5AD74F88-36FE-4BC3-82C5-09C5C59715D3}"/>
    <cellStyle name="Normal 3 2 3 4" xfId="3427" xr:uid="{00000000-0005-0000-0000-0000C0090000}"/>
    <cellStyle name="Normal 3 2 3 4 2" xfId="3740" xr:uid="{AAA41DF3-A4CD-4D41-98B5-29FB5ED98E73}"/>
    <cellStyle name="Normal 3 2 3 4 2 2" xfId="7142" xr:uid="{6D81C891-C578-4C82-9369-E2C4681F74C0}"/>
    <cellStyle name="Normal 3 2 3 4 2 2 2" xfId="8655" xr:uid="{24E1DACB-3621-4C65-8374-FC77B1A62FD0}"/>
    <cellStyle name="Normal 3 2 3 4 2 3" xfId="7905" xr:uid="{C6208DF5-C4B5-44FF-8A17-1C5D511C3B35}"/>
    <cellStyle name="Normal 3 2 3 4 2 4" xfId="6284" xr:uid="{385588C2-7CE9-40DB-B74B-52984B7122C5}"/>
    <cellStyle name="Normal 3 2 3 4 2 5" xfId="4592" xr:uid="{61B5CC67-E8DC-4F7A-95FC-ADAC78D12C9A}"/>
    <cellStyle name="Normal 3 2 3 4 3" xfId="4316" xr:uid="{B9F522B5-2973-4FF6-912A-28CF050A4F8A}"/>
    <cellStyle name="Normal 3 2 3 4 3 2" xfId="8492" xr:uid="{BE8F3250-48C1-48EA-AD31-98B73022A721}"/>
    <cellStyle name="Normal 3 2 3 4 3 3" xfId="7742" xr:uid="{0877F055-A785-4316-89EE-7AA9F6490005}"/>
    <cellStyle name="Normal 3 2 3 4 3 4" xfId="6973" xr:uid="{5A6E58A6-65E5-43C4-9924-45518395B1AF}"/>
    <cellStyle name="Normal 3 2 3 4 4" xfId="6737" xr:uid="{B7CD67EF-CE3C-42DF-93F9-47777C038D16}"/>
    <cellStyle name="Normal 3 2 3 4 4 2" xfId="8295" xr:uid="{A128B2A9-0987-4BF6-B2D2-C6BB8EE71BA4}"/>
    <cellStyle name="Normal 3 2 3 4 5" xfId="7545" xr:uid="{FEC8B79C-442E-4BF7-8B30-0F14A564EBFB}"/>
    <cellStyle name="Normal 3 2 3 4 6" xfId="4979" xr:uid="{CC1A0DBB-6602-49EA-BB5E-DDBBADE1C341}"/>
    <cellStyle name="Normal 3 2 3 4 7" xfId="4048" xr:uid="{A852667B-4B90-496D-BBB0-BA09DDBEC9E6}"/>
    <cellStyle name="Normal 3 2 3 5" xfId="2928" xr:uid="{00000000-0005-0000-0000-0000BB090000}"/>
    <cellStyle name="Normal 3 2 3 5 2" xfId="3644" xr:uid="{0732E915-0A98-4216-8AD0-8457D7C794F4}"/>
    <cellStyle name="Normal 3 2 3 5 2 2" xfId="7158" xr:uid="{35E22B11-7020-4DF8-A1D0-0857B85A1EFB}"/>
    <cellStyle name="Normal 3 2 3 5 2 2 2" xfId="8671" xr:uid="{CFAA2713-EAA1-4585-9A29-C42B22CF652C}"/>
    <cellStyle name="Normal 3 2 3 5 2 3" xfId="7921" xr:uid="{0DEA3442-0583-4221-8369-FBEAF7EE094D}"/>
    <cellStyle name="Normal 3 2 3 5 2 4" xfId="6338" xr:uid="{447F7228-CC8A-493A-9CA5-DF9A657FB37E}"/>
    <cellStyle name="Normal 3 2 3 5 2 5" xfId="4512" xr:uid="{DD27B010-7386-43BE-A69C-33FFF935ED37}"/>
    <cellStyle name="Normal 3 2 3 5 3" xfId="7024" xr:uid="{91F2582D-80F2-4DDE-8C1E-5D9ED99D080F}"/>
    <cellStyle name="Normal 3 2 3 5 3 2" xfId="8543" xr:uid="{AEECC689-782E-43B7-82D3-DA33098E3E8D}"/>
    <cellStyle name="Normal 3 2 3 5 3 3" xfId="7793" xr:uid="{04848C23-237D-455F-BAEB-D01D69BE9199}"/>
    <cellStyle name="Normal 3 2 3 5 4" xfId="6656" xr:uid="{0B60E702-19EB-4300-AF38-0B7DC4107487}"/>
    <cellStyle name="Normal 3 2 3 5 4 2" xfId="8215" xr:uid="{44BB004F-C031-4483-A72F-FDE39DE9ECC4}"/>
    <cellStyle name="Normal 3 2 3 5 5" xfId="7465" xr:uid="{131E2975-F199-4052-9477-08A81ED6358A}"/>
    <cellStyle name="Normal 3 2 3 5 6" xfId="5031" xr:uid="{22CADC92-CC63-4E03-9A99-BA2318080DE4}"/>
    <cellStyle name="Normal 3 2 3 5 7" xfId="4236" xr:uid="{39D534C1-9521-4FF3-9085-C4BEB3EF7FF7}"/>
    <cellStyle name="Normal 3 2 3 6" xfId="3499" xr:uid="{F69B513B-938D-4742-A2CB-11808799EE3A}"/>
    <cellStyle name="Normal 3 2 3 6 2" xfId="3793" xr:uid="{5F0CB305-6E6C-4F5F-9DFB-C267F42EF761}"/>
    <cellStyle name="Normal 3 2 3 6 2 2" xfId="8599" xr:uid="{8372420B-316D-435B-B8A9-193C5E790AD5}"/>
    <cellStyle name="Normal 3 2 3 6 2 3" xfId="7082" xr:uid="{25F38065-AE77-4314-A40A-3C699B34FF5F}"/>
    <cellStyle name="Normal 3 2 3 6 2 4" xfId="4645" xr:uid="{3358CC61-232F-481D-BD41-934594E35AF3}"/>
    <cellStyle name="Normal 3 2 3 6 3" xfId="7849" xr:uid="{432EAC93-25FA-4117-A45D-F750C411A40A}"/>
    <cellStyle name="Normal 3 2 3 6 4" xfId="5559" xr:uid="{E70B1D6E-3FEE-4843-8004-47B0C9DE4238}"/>
    <cellStyle name="Normal 3 2 3 6 5" xfId="4369" xr:uid="{EB80CCF8-FC60-4C75-8931-A65A8FE92ECC}"/>
    <cellStyle name="Normal 3 2 3 7" xfId="3554" xr:uid="{259750A9-3B1B-401A-BEFF-952891ADF1DE}"/>
    <cellStyle name="Normal 3 2 3 7 2" xfId="7179" xr:uid="{FE57E156-C386-4210-A956-9904880F5B61}"/>
    <cellStyle name="Normal 3 2 3 7 2 2" xfId="8692" xr:uid="{D1A3243E-D440-4C0E-BB9C-12FAC28C2C92}"/>
    <cellStyle name="Normal 3 2 3 7 3" xfId="7942" xr:uid="{81550ACB-A6BE-492D-8FD2-67587CAD1956}"/>
    <cellStyle name="Normal 3 2 3 7 4" xfId="6377" xr:uid="{0836B343-4506-455C-B7D5-31FB47E515BA}"/>
    <cellStyle name="Normal 3 2 3 7 5" xfId="4422" xr:uid="{5E1B3245-49AE-4D64-9C35-20C563895BD6}"/>
    <cellStyle name="Normal 3 2 3 8" xfId="3840" xr:uid="{8CB67CB1-5614-4898-B4F8-64E9EB64922C}"/>
    <cellStyle name="Normal 3 2 3 8 2" xfId="7225" xr:uid="{2BBDC7EE-5736-497F-9723-000E395BB148}"/>
    <cellStyle name="Normal 3 2 3 8 2 2" xfId="8737" xr:uid="{C5EC69F9-888B-4895-855D-D58305858CA5}"/>
    <cellStyle name="Normal 3 2 3 8 3" xfId="7987" xr:uid="{A0325761-968A-432E-B68D-7BE7F8F09E0F}"/>
    <cellStyle name="Normal 3 2 3 8 4" xfId="6424" xr:uid="{CABEB10A-44EA-4437-B319-7CF527220859}"/>
    <cellStyle name="Normal 3 2 3 8 5" xfId="4692" xr:uid="{5D46FA10-9E1B-4F51-878F-2688DC6706AE}"/>
    <cellStyle name="Normal 3 2 3 9" xfId="4146" xr:uid="{6F1A3A8D-F50E-497C-AE92-28DE71FF031C}"/>
    <cellStyle name="Normal 3 2 3 9 2" xfId="7266" xr:uid="{3EFF836A-068F-452B-AE6A-4BC2C547CAB0}"/>
    <cellStyle name="Normal 3 2 3 9 2 2" xfId="8778" xr:uid="{C6B08031-693E-40CB-93F9-7EF221602947}"/>
    <cellStyle name="Normal 3 2 3 9 3" xfId="8028" xr:uid="{25997026-F77F-416A-AEC3-6C29C8884117}"/>
    <cellStyle name="Normal 3 2 3 9 4" xfId="6465" xr:uid="{1AA206CF-2666-4EDE-AB66-4ABE1E556FE3}"/>
    <cellStyle name="Normal 3 2 4" xfId="35" xr:uid="{00000000-0005-0000-0000-00001C090000}"/>
    <cellStyle name="Normal 3 2 4 10" xfId="6861" xr:uid="{20441564-F558-4B6B-9240-BBCF1B8BE81C}"/>
    <cellStyle name="Normal 3 2 4 10 2" xfId="8391" xr:uid="{622FAD3D-DF7E-48B5-BAEC-836E05758172}"/>
    <cellStyle name="Normal 3 2 4 10 3" xfId="7641" xr:uid="{94E6C71D-8433-4874-AB41-D9A71EF7EDC9}"/>
    <cellStyle name="Normal 3 2 4 11" xfId="6793" xr:uid="{BEBD3624-AF19-4E35-A47F-E478396FB485}"/>
    <cellStyle name="Normal 3 2 4 11 2" xfId="8348" xr:uid="{5943151A-D487-409F-BE1A-F6984FE63329}"/>
    <cellStyle name="Normal 3 2 4 11 3" xfId="7598" xr:uid="{2947EBBF-F587-4376-91A3-C569209EBCEA}"/>
    <cellStyle name="Normal 3 2 4 12" xfId="6560" xr:uid="{D4FB05C8-6D23-45FF-9FFE-4C8AA5D45DF7}"/>
    <cellStyle name="Normal 3 2 4 12 2" xfId="8119" xr:uid="{15E753D5-1A93-4A65-B693-86F7D5DF86AE}"/>
    <cellStyle name="Normal 3 2 4 13" xfId="7369" xr:uid="{A1D88A75-0A7F-47D0-9A57-380592D14391}"/>
    <cellStyle name="Normal 3 2 4 14" xfId="4739" xr:uid="{D089FD24-45BE-415A-9BB1-24EE550687EE}"/>
    <cellStyle name="Normal 3 2 4 15" xfId="3912" xr:uid="{83B93104-A7CF-44A3-9DCE-E6821A8EBD28}"/>
    <cellStyle name="Normal 3 2 4 2" xfId="2847" xr:uid="{00000000-0005-0000-0000-00001D090000}"/>
    <cellStyle name="Normal 3 2 4 2 10" xfId="7386" xr:uid="{C4860DD0-2476-4D98-9373-F380ED6017AB}"/>
    <cellStyle name="Normal 3 2 4 2 11" xfId="4829" xr:uid="{68B4593A-26EF-45AD-971F-C4EBA4182E8D}"/>
    <cellStyle name="Normal 3 2 4 2 12" xfId="3975" xr:uid="{6C124DF8-D366-44D4-A47D-82307C89E27A}"/>
    <cellStyle name="Normal 3 2 4 2 2" xfId="2894" xr:uid="{00000000-0005-0000-0000-00001D090000}"/>
    <cellStyle name="Normal 3 2 4 2 2 2" xfId="2995" xr:uid="{00000000-0005-0000-0000-0000C3090000}"/>
    <cellStyle name="Normal 3 2 4 2 2 2 2" xfId="3711" xr:uid="{B89473E6-0779-49EC-87FE-D1367C0D0B59}"/>
    <cellStyle name="Normal 3 2 4 2 2 2 2 2" xfId="8699" xr:uid="{97CD0EE4-1878-492A-9833-58D6C456F571}"/>
    <cellStyle name="Normal 3 2 4 2 2 2 2 3" xfId="7949" xr:uid="{25E2C21D-956B-4A12-973B-99981712CE15}"/>
    <cellStyle name="Normal 3 2 4 2 2 2 2 4" xfId="7187" xr:uid="{BE709B25-0454-4BFE-BCB2-B3ABEE275583}"/>
    <cellStyle name="Normal 3 2 4 2 2 2 2 5" xfId="4563" xr:uid="{3C4502E1-CFAE-44FE-8C09-6AC5201B24B7}"/>
    <cellStyle name="Normal 3 2 4 2 2 2 3" xfId="6707" xr:uid="{F755B75B-3268-466F-8F0C-F888821256E1}"/>
    <cellStyle name="Normal 3 2 4 2 2 2 3 2" xfId="8266" xr:uid="{A75EB264-E0D6-4DE0-9565-89C18CCBC762}"/>
    <cellStyle name="Normal 3 2 4 2 2 2 4" xfId="7516" xr:uid="{13B5FC41-CD34-4C6B-B2E8-EAD103D4F4AC}"/>
    <cellStyle name="Normal 3 2 4 2 2 2 5" xfId="6385" xr:uid="{4EB006B2-FDFF-442A-B1E5-C22300CE02A4}"/>
    <cellStyle name="Normal 3 2 4 2 2 2 6" xfId="4287" xr:uid="{FDE5F1D8-F111-4107-81D3-0CCF54339F6C}"/>
    <cellStyle name="Normal 3 2 4 2 2 3" xfId="3610" xr:uid="{11787FB5-83BD-4A72-ADE0-3B4C24AE8663}"/>
    <cellStyle name="Normal 3 2 4 2 2 3 2" xfId="8460" xr:uid="{4B883414-55E6-406A-9FED-DB842BD573FA}"/>
    <cellStyle name="Normal 3 2 4 2 2 3 3" xfId="7710" xr:uid="{17C68C49-6708-40EC-9A05-66BD32964BCD}"/>
    <cellStyle name="Normal 3 2 4 2 2 3 4" xfId="6941" xr:uid="{A4B9884B-9889-4BB3-9186-00508EB1BD1F}"/>
    <cellStyle name="Normal 3 2 4 2 2 3 5" xfId="4478" xr:uid="{C91B4EC8-08A3-455E-9B6F-49465A6CAD35}"/>
    <cellStyle name="Normal 3 2 4 2 2 4" xfId="4202" xr:uid="{D7A2E35A-6209-4804-BF05-2BFEC5F7B060}"/>
    <cellStyle name="Normal 3 2 4 2 2 4 2" xfId="8181" xr:uid="{A02F8016-FB4F-459D-9C92-8BB6B0A77E71}"/>
    <cellStyle name="Normal 3 2 4 2 2 4 3" xfId="6622" xr:uid="{032FC019-56A3-4FBC-BABE-399EA16144B0}"/>
    <cellStyle name="Normal 3 2 4 2 2 5" xfId="7431" xr:uid="{34DCB054-54AE-40A2-AE78-654943E23FD8}"/>
    <cellStyle name="Normal 3 2 4 2 2 6" xfId="4947" xr:uid="{B894AE25-A62E-451F-B8B8-564B1E24ED54}"/>
    <cellStyle name="Normal 3 2 4 2 2 7" xfId="4064" xr:uid="{892BA471-E26F-457E-9CC5-F442F1B23F98}"/>
    <cellStyle name="Normal 3 2 4 2 3" xfId="3439" xr:uid="{00000000-0005-0000-0000-0000C4090000}"/>
    <cellStyle name="Normal 3 2 4 2 3 2" xfId="3751" xr:uid="{6687D4CF-FB95-4BC4-AA2C-BE57DA65A789}"/>
    <cellStyle name="Normal 3 2 4 2 3 2 2" xfId="7235" xr:uid="{5D3B4B3F-516B-4618-B851-D2760351FA67}"/>
    <cellStyle name="Normal 3 2 4 2 3 2 2 2" xfId="8747" xr:uid="{4636BBFA-E6D7-407B-AD87-A78C32D31A0B}"/>
    <cellStyle name="Normal 3 2 4 2 3 2 3" xfId="7997" xr:uid="{37AF1C27-40BE-487D-B9C8-C0DA2C814899}"/>
    <cellStyle name="Normal 3 2 4 2 3 2 4" xfId="6434" xr:uid="{499F64E4-0B40-492D-ACD3-F4BF3FA6BF7D}"/>
    <cellStyle name="Normal 3 2 4 2 3 2 5" xfId="4603" xr:uid="{DCAE6C01-31A6-497A-B810-CB54177DC757}"/>
    <cellStyle name="Normal 3 2 4 2 3 3" xfId="6990" xr:uid="{5B2E2ED6-3827-4021-BB49-76EB98438675}"/>
    <cellStyle name="Normal 3 2 4 2 3 3 2" xfId="8509" xr:uid="{0C7998BD-E919-4FA1-A3D8-F19EC4870DB4}"/>
    <cellStyle name="Normal 3 2 4 2 3 3 3" xfId="7759" xr:uid="{85CC40F0-23EB-4ED0-8061-33F3889A6D50}"/>
    <cellStyle name="Normal 3 2 4 2 3 4" xfId="6748" xr:uid="{57227ACF-1A48-4751-961F-09EE6614A7DE}"/>
    <cellStyle name="Normal 3 2 4 2 3 4 2" xfId="8306" xr:uid="{C6D07C02-8134-4EDE-A2DB-B7F4F6961F0A}"/>
    <cellStyle name="Normal 3 2 4 2 3 5" xfId="7556" xr:uid="{2F340D77-A1CF-4966-9A60-5DF709946089}"/>
    <cellStyle name="Normal 3 2 4 2 3 6" xfId="4996" xr:uid="{3D032656-08FB-4783-B696-D786831B833C}"/>
    <cellStyle name="Normal 3 2 4 2 3 7" xfId="4327" xr:uid="{21D21754-277D-4D9D-BF5B-533AF2958096}"/>
    <cellStyle name="Normal 3 2 4 2 4" xfId="2939" xr:uid="{00000000-0005-0000-0000-0000C2090000}"/>
    <cellStyle name="Normal 3 2 4 2 4 2" xfId="3655" xr:uid="{C77B52A5-B5D6-42E2-8AA3-E3FDF6E48907}"/>
    <cellStyle name="Normal 3 2 4 2 4 2 2" xfId="7277" xr:uid="{51AB5DF9-854F-4FBC-BF42-2320A2C02DB9}"/>
    <cellStyle name="Normal 3 2 4 2 4 2 2 2" xfId="8789" xr:uid="{ECC2F7C6-3C33-402E-A4C3-2AE1688DD9C6}"/>
    <cellStyle name="Normal 3 2 4 2 4 2 3" xfId="8039" xr:uid="{FEDD74C8-28A2-422F-9230-E448A61F2884}"/>
    <cellStyle name="Normal 3 2 4 2 4 2 4" xfId="6476" xr:uid="{991E00C7-5748-44AA-8223-A22C2513708E}"/>
    <cellStyle name="Normal 3 2 4 2 4 2 5" xfId="4523" xr:uid="{7B5CE67D-3204-4613-ACF8-01064A241D08}"/>
    <cellStyle name="Normal 3 2 4 2 4 3" xfId="7035" xr:uid="{67835E90-B91E-4A1B-913C-40A4D3EC2096}"/>
    <cellStyle name="Normal 3 2 4 2 4 3 2" xfId="8554" xr:uid="{8225244A-478C-4594-9385-5EA093B402C7}"/>
    <cellStyle name="Normal 3 2 4 2 4 3 3" xfId="7804" xr:uid="{192F9CB5-5289-49B7-8945-B5DF0A9C9CB7}"/>
    <cellStyle name="Normal 3 2 4 2 4 4" xfId="6667" xr:uid="{B5578D23-CDC7-49F1-8117-8BDF205CAE5D}"/>
    <cellStyle name="Normal 3 2 4 2 4 4 2" xfId="8226" xr:uid="{47CF2F64-6420-40DD-AF3B-FE355F422094}"/>
    <cellStyle name="Normal 3 2 4 2 4 5" xfId="7476" xr:uid="{A2F2BCFD-CBD8-4BA3-BA81-68C7F3446D5C}"/>
    <cellStyle name="Normal 3 2 4 2 4 6" xfId="5042" xr:uid="{8D1D1D9B-FD5F-4B5E-8AEE-0355F7CFB3FC}"/>
    <cellStyle name="Normal 3 2 4 2 4 7" xfId="4247" xr:uid="{0961C40B-4BC1-4662-9FAC-884BAE9A3954}"/>
    <cellStyle name="Normal 3 2 4 2 5" xfId="3510" xr:uid="{097D81D1-F023-4A22-982B-BE155F867C1D}"/>
    <cellStyle name="Normal 3 2 4 2 5 2" xfId="3804" xr:uid="{51565925-0194-498D-A03A-278BBA645789}"/>
    <cellStyle name="Normal 3 2 4 2 5 2 2" xfId="8611" xr:uid="{357EABCB-CDBD-4C02-9701-721F91465FA1}"/>
    <cellStyle name="Normal 3 2 4 2 5 2 3" xfId="7095" xr:uid="{217FF75C-F3A4-459D-A10E-639FC7215A49}"/>
    <cellStyle name="Normal 3 2 4 2 5 2 4" xfId="4656" xr:uid="{803A14D0-100B-4035-B40C-C9D1D7495C32}"/>
    <cellStyle name="Normal 3 2 4 2 5 3" xfId="7861" xr:uid="{80ACB0D1-732E-4A5E-A9FB-7179152D0E44}"/>
    <cellStyle name="Normal 3 2 4 2 5 4" xfId="5648" xr:uid="{7DAC91CC-3779-4901-A637-EC7B899862F0}"/>
    <cellStyle name="Normal 3 2 4 2 5 5" xfId="4380" xr:uid="{2EA2E3C1-4747-4313-82A8-C81C21306BD0}"/>
    <cellStyle name="Normal 3 2 4 2 6" xfId="3565" xr:uid="{712DF95A-0E8A-4191-8FCD-90265CCE5ED5}"/>
    <cellStyle name="Normal 3 2 4 2 6 2" xfId="7321" xr:uid="{F1DD233A-BD4D-408E-B917-F978638B71C2}"/>
    <cellStyle name="Normal 3 2 4 2 6 2 2" xfId="8833" xr:uid="{C56C4221-9C6A-4081-838A-2C3296C7CE35}"/>
    <cellStyle name="Normal 3 2 4 2 6 3" xfId="8083" xr:uid="{48EFA316-3C10-41EE-A430-6C7F9E04A05B}"/>
    <cellStyle name="Normal 3 2 4 2 6 4" xfId="6527" xr:uid="{C1C2C307-4427-49E4-A2BC-D6FD09691160}"/>
    <cellStyle name="Normal 3 2 4 2 6 5" xfId="4433" xr:uid="{B40AF90A-B074-4DA7-9465-473EA3560019}"/>
    <cellStyle name="Normal 3 2 4 2 7" xfId="3851" xr:uid="{B2B7401A-8256-4312-86ED-671E197D3FB8}"/>
    <cellStyle name="Normal 3 2 4 2 7 2" xfId="8414" xr:uid="{E3E102F3-A9E5-49D2-9C23-32EC6DABA52B}"/>
    <cellStyle name="Normal 3 2 4 2 7 3" xfId="7664" xr:uid="{D9EDEBFC-130C-439F-8A1C-C801E3B2230C}"/>
    <cellStyle name="Normal 3 2 4 2 7 4" xfId="6893" xr:uid="{081322CF-8665-48B8-8461-538929C93990}"/>
    <cellStyle name="Normal 3 2 4 2 7 5" xfId="4703" xr:uid="{38867A72-7849-4C14-BF74-8A40E3DD99B5}"/>
    <cellStyle name="Normal 3 2 4 2 8" xfId="4157" xr:uid="{A5350BDD-EB80-4D06-91A7-59FCC1679D43}"/>
    <cellStyle name="Normal 3 2 4 2 8 2" xfId="8365" xr:uid="{F9F70033-1DD2-4537-90CC-A7AA82275EAF}"/>
    <cellStyle name="Normal 3 2 4 2 8 3" xfId="7615" xr:uid="{6AF5EB3F-4FA4-4018-9073-5D6940E0B6CE}"/>
    <cellStyle name="Normal 3 2 4 2 8 4" xfId="6826" xr:uid="{2ED5E9E9-6AA6-45EF-9F94-22CEA8ED835E}"/>
    <cellStyle name="Normal 3 2 4 2 9" xfId="6577" xr:uid="{317FC4FB-45F5-4182-9517-877894E5E7C1}"/>
    <cellStyle name="Normal 3 2 4 2 9 2" xfId="8136" xr:uid="{F5B9AB0B-412B-4981-B5C4-B5AC9D6C0AF3}"/>
    <cellStyle name="Normal 3 2 4 3" xfId="2877" xr:uid="{00000000-0005-0000-0000-00001C090000}"/>
    <cellStyle name="Normal 3 2 4 3 2" xfId="2962" xr:uid="{00000000-0005-0000-0000-0000C5090000}"/>
    <cellStyle name="Normal 3 2 4 3 2 2" xfId="3678" xr:uid="{8DED85A0-7E46-44A9-85AE-30EA8329C21B}"/>
    <cellStyle name="Normal 3 2 4 3 2 2 2" xfId="8631" xr:uid="{668A05CB-D812-4979-A6FB-E89D49946C75}"/>
    <cellStyle name="Normal 3 2 4 3 2 2 3" xfId="7881" xr:uid="{04A4290B-8979-4B19-90C7-276172E34DBE}"/>
    <cellStyle name="Normal 3 2 4 3 2 2 4" xfId="7115" xr:uid="{6357949D-2604-4A15-9E3F-9C8CA46413FD}"/>
    <cellStyle name="Normal 3 2 4 3 2 2 5" xfId="4546" xr:uid="{609A1B85-9E6B-495F-A92B-EF220383AAC5}"/>
    <cellStyle name="Normal 3 2 4 3 2 3" xfId="4270" xr:uid="{BB39332B-3ECE-4028-803D-31C0DA18EA25}"/>
    <cellStyle name="Normal 3 2 4 3 2 3 2" xfId="8249" xr:uid="{2B28BD85-E8A1-4F13-95CC-6274818F70C8}"/>
    <cellStyle name="Normal 3 2 4 3 2 3 3" xfId="6690" xr:uid="{24AF0635-BE1F-4F26-96D5-FF4497FA729A}"/>
    <cellStyle name="Normal 3 2 4 3 2 4" xfId="7499" xr:uid="{27774B35-892B-492D-95D7-514C6FF746DF}"/>
    <cellStyle name="Normal 3 2 4 3 2 5" xfId="5699" xr:uid="{F78382F4-7F94-440E-B313-96FCB3FF64CB}"/>
    <cellStyle name="Normal 3 2 4 3 2 6" xfId="4106" xr:uid="{D999A844-770B-4030-B8A2-DA6D924A93CD}"/>
    <cellStyle name="Normal 3 2 4 3 3" xfId="3593" xr:uid="{1679FEC1-9B5A-4E71-B188-BD8608A6FF5D}"/>
    <cellStyle name="Normal 3 2 4 3 3 2" xfId="8437" xr:uid="{AAE7FA21-21C4-4300-B180-D36C57B00E19}"/>
    <cellStyle name="Normal 3 2 4 3 3 3" xfId="7687" xr:uid="{1102D9DC-49E6-402A-948F-4A81C4C53C51}"/>
    <cellStyle name="Normal 3 2 4 3 3 4" xfId="6918" xr:uid="{4A333829-E96A-4D46-BE8F-E5039592D01D}"/>
    <cellStyle name="Normal 3 2 4 3 3 5" xfId="4461" xr:uid="{73B44539-3D0F-48B3-B885-9FF14A75D83A}"/>
    <cellStyle name="Normal 3 2 4 3 4" xfId="4185" xr:uid="{972D0CA7-3E70-47FC-84D0-3974DA744DB6}"/>
    <cellStyle name="Normal 3 2 4 3 4 2" xfId="8164" xr:uid="{F9FA1D4A-7AED-459D-AA4D-0AFDB0740662}"/>
    <cellStyle name="Normal 3 2 4 3 4 3" xfId="6605" xr:uid="{8A06AA49-0850-48F9-B08C-34C13E3E4A65}"/>
    <cellStyle name="Normal 3 2 4 3 5" xfId="7414" xr:uid="{187576CE-E861-45C2-A59C-A4275AA22853}"/>
    <cellStyle name="Normal 3 2 4 3 6" xfId="4924" xr:uid="{51F656FC-6016-403C-87D0-9C61511746F5}"/>
    <cellStyle name="Normal 3 2 4 3 7" xfId="3997" xr:uid="{FD2E44E8-9EB7-4195-8343-3C145C4ED4BE}"/>
    <cellStyle name="Normal 3 2 4 4" xfId="3022" xr:uid="{00000000-0005-0000-0000-0000C6090000}"/>
    <cellStyle name="Normal 3 2 4 4 2" xfId="3734" xr:uid="{CC56CF69-0124-4E46-BE52-5DCE7A5B723B}"/>
    <cellStyle name="Normal 3 2 4 4 2 2" xfId="7135" xr:uid="{04BAC69B-5E01-4870-B649-88186491C580}"/>
    <cellStyle name="Normal 3 2 4 4 2 2 2" xfId="8650" xr:uid="{0C74D323-8A85-4917-9AB5-49E1E7301BC4}"/>
    <cellStyle name="Normal 3 2 4 4 2 3" xfId="7900" xr:uid="{890A6C1A-6234-4325-8824-C48641888574}"/>
    <cellStyle name="Normal 3 2 4 4 2 4" xfId="5721" xr:uid="{2E026FFE-C729-4A4F-934A-14B989EE0C7D}"/>
    <cellStyle name="Normal 3 2 4 4 2 5" xfId="4586" xr:uid="{EA32484F-3D95-4C99-89AF-2A1D137DDAD1}"/>
    <cellStyle name="Normal 3 2 4 4 3" xfId="4310" xr:uid="{BAE40AA3-254B-4065-ABE1-4329D9B76BDF}"/>
    <cellStyle name="Normal 3 2 4 4 3 2" xfId="8486" xr:uid="{A872A014-9DD8-466E-A73F-419C4BF0946E}"/>
    <cellStyle name="Normal 3 2 4 4 3 3" xfId="7736" xr:uid="{262716D1-67BA-42CF-9AE0-3EFD59F4EEF1}"/>
    <cellStyle name="Normal 3 2 4 4 3 4" xfId="6967" xr:uid="{7B6F8E77-4907-44C8-A952-CF47AA06E03B}"/>
    <cellStyle name="Normal 3 2 4 4 4" xfId="6730" xr:uid="{88D821EF-EE56-47D7-860B-3A0E6D24AAE8}"/>
    <cellStyle name="Normal 3 2 4 4 4 2" xfId="8289" xr:uid="{BA82060F-0636-4E80-B3AF-219368F604DA}"/>
    <cellStyle name="Normal 3 2 4 4 5" xfId="7539" xr:uid="{CCDE6070-7A0F-4C89-8663-200372A4D0C7}"/>
    <cellStyle name="Normal 3 2 4 4 6" xfId="4973" xr:uid="{046F6E8F-3A73-4370-B411-2D1B970AB261}"/>
    <cellStyle name="Normal 3 2 4 4 7" xfId="4024" xr:uid="{DF12F10C-B759-45FD-BE72-F84DF3E9A605}"/>
    <cellStyle name="Normal 3 2 4 5" xfId="2922" xr:uid="{00000000-0005-0000-0000-0000C1090000}"/>
    <cellStyle name="Normal 3 2 4 5 2" xfId="3638" xr:uid="{385F78F1-68E1-4B7C-A279-AE934F0EC259}"/>
    <cellStyle name="Normal 3 2 4 5 2 2" xfId="7152" xr:uid="{94D48D8A-6749-4510-B2F7-81F7F98AED54}"/>
    <cellStyle name="Normal 3 2 4 5 2 2 2" xfId="8665" xr:uid="{D4A5C244-8C40-4EE4-8A34-2D6EF99296F9}"/>
    <cellStyle name="Normal 3 2 4 5 2 3" xfId="7915" xr:uid="{213FC67E-1232-4749-B7FC-4C4D2C3253C6}"/>
    <cellStyle name="Normal 3 2 4 5 2 4" xfId="6331" xr:uid="{AB30A9D7-237F-47F1-B58A-557BAC2F3340}"/>
    <cellStyle name="Normal 3 2 4 5 2 5" xfId="4506" xr:uid="{ED66697C-C55D-470A-B5C1-0239E63400A4}"/>
    <cellStyle name="Normal 3 2 4 5 3" xfId="7018" xr:uid="{318B55F8-7B5F-479E-AA27-FEDDD710AD41}"/>
    <cellStyle name="Normal 3 2 4 5 3 2" xfId="8537" xr:uid="{EECD6947-B4BF-474A-9EF6-B7285F8E38D6}"/>
    <cellStyle name="Normal 3 2 4 5 3 3" xfId="7787" xr:uid="{FC15F92D-DC96-48CD-A890-BBC4E79F04B8}"/>
    <cellStyle name="Normal 3 2 4 5 4" xfId="6650" xr:uid="{6F84A36D-D10B-4AC2-BF48-02D9A56E86DE}"/>
    <cellStyle name="Normal 3 2 4 5 4 2" xfId="8209" xr:uid="{073159BD-BD10-4C06-81E9-159BC7635338}"/>
    <cellStyle name="Normal 3 2 4 5 5" xfId="7459" xr:uid="{FF2EBD0C-B8FE-49EB-B54A-1B3AB3FAA727}"/>
    <cellStyle name="Normal 3 2 4 5 6" xfId="5025" xr:uid="{2A14DB5B-E5E8-479B-B258-B073A66EAB43}"/>
    <cellStyle name="Normal 3 2 4 5 7" xfId="4230" xr:uid="{2D8331E9-9F63-4C3C-AE9E-9CC6B544E704}"/>
    <cellStyle name="Normal 3 2 4 6" xfId="3493" xr:uid="{947571AC-9305-4553-A621-16398F1C5448}"/>
    <cellStyle name="Normal 3 2 4 6 2" xfId="3787" xr:uid="{DC5828BE-3EE1-4051-B681-4FFA03938773}"/>
    <cellStyle name="Normal 3 2 4 6 2 2" xfId="8583" xr:uid="{A0B2E446-5DF2-4533-BE31-B735D465B385}"/>
    <cellStyle name="Normal 3 2 4 6 2 3" xfId="7064" xr:uid="{4CC0E69C-3607-436C-8367-5A751DF090C3}"/>
    <cellStyle name="Normal 3 2 4 6 2 4" xfId="4639" xr:uid="{76002379-01E7-4D8E-967D-07E742760128}"/>
    <cellStyle name="Normal 3 2 4 6 3" xfId="7833" xr:uid="{8D88A3D5-D9DA-4042-9F58-7367E3F75E60}"/>
    <cellStyle name="Normal 3 2 4 6 4" xfId="5072" xr:uid="{24ED9D58-AB06-47AB-BAE1-14D1DF0EAF75}"/>
    <cellStyle name="Normal 3 2 4 6 5" xfId="4363" xr:uid="{5F2825CA-CBCB-4F40-B7CB-F5E9F4750251}"/>
    <cellStyle name="Normal 3 2 4 7" xfId="3548" xr:uid="{63B0F539-5E74-4DC8-8F2A-A0C26B61DC4A}"/>
    <cellStyle name="Normal 3 2 4 7 2" xfId="7219" xr:uid="{00CB97FF-0A81-4E12-934C-DD2F63317A42}"/>
    <cellStyle name="Normal 3 2 4 7 2 2" xfId="8731" xr:uid="{3AAF20DB-4AB1-4608-968C-D492DB47A6FA}"/>
    <cellStyle name="Normal 3 2 4 7 3" xfId="7981" xr:uid="{5CC98D88-B5D5-4F22-8068-D1ED94AB2E07}"/>
    <cellStyle name="Normal 3 2 4 7 4" xfId="6418" xr:uid="{50894002-4CF4-4EEA-A511-F738A2672BBF}"/>
    <cellStyle name="Normal 3 2 4 7 5" xfId="4416" xr:uid="{95E9D176-49DA-4426-BDF2-93524E106687}"/>
    <cellStyle name="Normal 3 2 4 8" xfId="3834" xr:uid="{285B032C-D3C3-45B8-B1DB-425FF5EB3544}"/>
    <cellStyle name="Normal 3 2 4 8 2" xfId="7261" xr:uid="{8E7E79CD-79B8-44BC-A718-C431575064BC}"/>
    <cellStyle name="Normal 3 2 4 8 2 2" xfId="8773" xr:uid="{D3443162-7FF6-4130-9D1A-42025F6D214D}"/>
    <cellStyle name="Normal 3 2 4 8 3" xfId="8023" xr:uid="{9CF0E923-B4B7-41B5-9C7A-38D7F632D05D}"/>
    <cellStyle name="Normal 3 2 4 8 4" xfId="6460" xr:uid="{407D8AA1-23DF-4FAE-B153-4D0E71658472}"/>
    <cellStyle name="Normal 3 2 4 8 5" xfId="4686" xr:uid="{C8969D8A-08FA-4C71-8824-0E57B8B684CB}"/>
    <cellStyle name="Normal 3 2 4 9" xfId="4136" xr:uid="{CB23385D-975C-4C7C-AB68-F4CCD61B7FAC}"/>
    <cellStyle name="Normal 3 2 4 9 2" xfId="7304" xr:uid="{B58C86D9-FBA1-4187-A378-501A6FD0F3F7}"/>
    <cellStyle name="Normal 3 2 4 9 2 2" xfId="8816" xr:uid="{1952132D-DFF3-4791-A64B-FF165DF07836}"/>
    <cellStyle name="Normal 3 2 4 9 3" xfId="8066" xr:uid="{7CCC3AAA-31FC-4723-9FC4-DA4C738E32B2}"/>
    <cellStyle name="Normal 3 2 4 9 4" xfId="6503" xr:uid="{1939A3AA-08FB-4147-89E4-DFA812C81C48}"/>
    <cellStyle name="Normal 3 2 5" xfId="28" xr:uid="{00000000-0005-0000-0000-00001E090000}"/>
    <cellStyle name="Normal 3 2 5 10" xfId="7366" xr:uid="{ACEA9C52-0F30-40DB-B851-DB8FDDBC50E8}"/>
    <cellStyle name="Normal 3 2 5 11" xfId="4822" xr:uid="{6C1760CF-0283-4034-8E1E-4E9272D60EDC}"/>
    <cellStyle name="Normal 3 2 5 12" xfId="3908" xr:uid="{41D44669-E2D5-4A52-8351-10317C6F7DD0}"/>
    <cellStyle name="Normal 3 2 5 2" xfId="2874" xr:uid="{00000000-0005-0000-0000-00001E090000}"/>
    <cellStyle name="Normal 3 2 5 2 2" xfId="2959" xr:uid="{00000000-0005-0000-0000-0000C8090000}"/>
    <cellStyle name="Normal 3 2 5 2 2 2" xfId="3675" xr:uid="{63EE35CD-66CF-4AB2-A585-63F5C8C13E68}"/>
    <cellStyle name="Normal 3 2 5 2 2 2 2" xfId="8628" xr:uid="{118926D1-C3CA-4178-87EC-B3BDD5BA7D19}"/>
    <cellStyle name="Normal 3 2 5 2 2 2 3" xfId="7878" xr:uid="{C9C92E23-13E1-4AF0-A043-A8016FEB7554}"/>
    <cellStyle name="Normal 3 2 5 2 2 2 4" xfId="7112" xr:uid="{D0752E0E-EF2E-4CBA-97DB-C49FB43EA4F5}"/>
    <cellStyle name="Normal 3 2 5 2 2 2 5" xfId="4543" xr:uid="{ECE2CD1E-CFB2-4C45-B058-CD56DA614C94}"/>
    <cellStyle name="Normal 3 2 5 2 2 3" xfId="4267" xr:uid="{A92ADC70-6A21-497F-A9B3-16F5746E26C3}"/>
    <cellStyle name="Normal 3 2 5 2 2 3 2" xfId="8246" xr:uid="{49929AC8-012B-4D2E-ADDB-5923E8C6D38A}"/>
    <cellStyle name="Normal 3 2 5 2 2 3 3" xfId="6687" xr:uid="{BFCA80E5-31A3-4B78-A869-48700EFE69CE}"/>
    <cellStyle name="Normal 3 2 5 2 2 4" xfId="7496" xr:uid="{1AC7A550-8488-4154-8A57-76EAA47D539C}"/>
    <cellStyle name="Normal 3 2 5 2 2 5" xfId="5696" xr:uid="{944A5238-0F7A-478F-A421-B4CB0F821F69}"/>
    <cellStyle name="Normal 3 2 5 2 2 6" xfId="4094" xr:uid="{00A7B80A-E0B3-4484-8251-B286BB6B1C36}"/>
    <cellStyle name="Normal 3 2 5 2 3" xfId="3590" xr:uid="{32D8041A-DF3C-476F-A2EC-31827212ECA7}"/>
    <cellStyle name="Normal 3 2 5 2 3 2" xfId="8455" xr:uid="{00D626AE-DCD7-4B28-A6EA-5AF30FD44E63}"/>
    <cellStyle name="Normal 3 2 5 2 3 3" xfId="7705" xr:uid="{4244A978-977D-4B3C-9128-B2D09722843E}"/>
    <cellStyle name="Normal 3 2 5 2 3 4" xfId="6936" xr:uid="{2382A749-E826-443B-BB43-F45CD094E831}"/>
    <cellStyle name="Normal 3 2 5 2 3 5" xfId="4458" xr:uid="{379FEBFE-E0D3-4774-96CD-E4E0211D57B4}"/>
    <cellStyle name="Normal 3 2 5 2 4" xfId="4182" xr:uid="{5B1AE01F-EFE9-408F-BBF8-14417566BB77}"/>
    <cellStyle name="Normal 3 2 5 2 4 2" xfId="8161" xr:uid="{EEF14735-8912-4A8A-A7B3-AD2D738BB306}"/>
    <cellStyle name="Normal 3 2 5 2 4 3" xfId="6602" xr:uid="{99943366-E6E4-4092-9506-2DD4FBB53FD2}"/>
    <cellStyle name="Normal 3 2 5 2 5" xfId="7411" xr:uid="{EA56A6DD-483D-4CC5-9944-7D14B96CF702}"/>
    <cellStyle name="Normal 3 2 5 2 6" xfId="4942" xr:uid="{5E7BEC4D-BC5A-45C2-9520-3F21B4786361}"/>
    <cellStyle name="Normal 3 2 5 2 7" xfId="3972" xr:uid="{9E46F3A3-EE27-4B36-A9EA-E79F8FCD8012}"/>
    <cellStyle name="Normal 3 2 5 3" xfId="3015" xr:uid="{00000000-0005-0000-0000-0000C9090000}"/>
    <cellStyle name="Normal 3 2 5 3 2" xfId="3731" xr:uid="{975E5995-97DD-4202-B4F3-086AF1B56042}"/>
    <cellStyle name="Normal 3 2 5 3 2 2" xfId="4583" xr:uid="{0F5A6685-C4B9-471C-AFFA-27689E2F9E51}"/>
    <cellStyle name="Normal 3 2 5 3 2 2 2" xfId="8686" xr:uid="{5EDF74A3-1FDF-4C3E-91CB-29C9B690CE10}"/>
    <cellStyle name="Normal 3 2 5 3 2 2 3" xfId="7173" xr:uid="{1596ED04-5039-4D15-B699-9FE480D5DBCB}"/>
    <cellStyle name="Normal 3 2 5 3 2 3" xfId="7936" xr:uid="{328506A7-D688-4ECA-A4D6-E0B81BF3FEB0}"/>
    <cellStyle name="Normal 3 2 5 3 2 4" xfId="6353" xr:uid="{811C2509-CA02-4FEC-A1AD-332B3DC86F3B}"/>
    <cellStyle name="Normal 3 2 5 3 2 5" xfId="4103" xr:uid="{3D134E76-A39B-4026-9B3D-6B79581519C6}"/>
    <cellStyle name="Normal 3 2 5 3 3" xfId="4307" xr:uid="{F1D760B6-8BD1-40DF-A8E0-9D626599180B}"/>
    <cellStyle name="Normal 3 2 5 3 3 2" xfId="8504" xr:uid="{DBD86D2B-9F03-43B5-AC99-7C6E0AEFF3F5}"/>
    <cellStyle name="Normal 3 2 5 3 3 3" xfId="7754" xr:uid="{F1162027-4A5D-4DA7-A2EB-5889CC607053}"/>
    <cellStyle name="Normal 3 2 5 3 3 4" xfId="6985" xr:uid="{0AA2276B-7958-4416-B6DC-2DD084E58789}"/>
    <cellStyle name="Normal 3 2 5 3 4" xfId="6727" xr:uid="{0EE20FE5-39B3-4BE5-863A-6A06DB36052C}"/>
    <cellStyle name="Normal 3 2 5 3 4 2" xfId="8286" xr:uid="{95F5592C-8DD6-4FFB-832E-2CD8B9E3558B}"/>
    <cellStyle name="Normal 3 2 5 3 5" xfId="7536" xr:uid="{CB245C2B-E8C9-4994-9277-94DDEADBF251}"/>
    <cellStyle name="Normal 3 2 5 3 6" xfId="4991" xr:uid="{008E57E2-07EA-4274-86D9-E313EEE8FA56}"/>
    <cellStyle name="Normal 3 2 5 3 7" xfId="3994" xr:uid="{C990E4F6-D60C-4555-B2CB-8A7D22769A4F}"/>
    <cellStyle name="Normal 3 2 5 4" xfId="2919" xr:uid="{00000000-0005-0000-0000-0000C7090000}"/>
    <cellStyle name="Normal 3 2 5 4 2" xfId="3635" xr:uid="{2A9A1C36-219B-4107-97B7-AAB89841CDFF}"/>
    <cellStyle name="Normal 3 2 5 4 2 2" xfId="7216" xr:uid="{ECBFB1E4-96F4-40C0-A96C-1A2EA15846AD}"/>
    <cellStyle name="Normal 3 2 5 4 2 2 2" xfId="8728" xr:uid="{4D5E023D-56A5-46B9-8162-F9970139D09B}"/>
    <cellStyle name="Normal 3 2 5 4 2 3" xfId="7978" xr:uid="{2DF34B78-8535-4236-9BB6-7F2E052C006A}"/>
    <cellStyle name="Normal 3 2 5 4 2 4" xfId="6415" xr:uid="{E8BF4ED1-C3B0-4FA0-A1B2-0A98AB8DFE0D}"/>
    <cellStyle name="Normal 3 2 5 4 2 5" xfId="4503" xr:uid="{EC81FC2E-846C-4E70-8F83-E82874E3A306}"/>
    <cellStyle name="Normal 3 2 5 4 3" xfId="4227" xr:uid="{0281CE86-B1F0-4C1A-AD12-52A4FA08C425}"/>
    <cellStyle name="Normal 3 2 5 4 3 2" xfId="8534" xr:uid="{6CF32A74-D7C5-4A24-9ECE-FC670E658F96}"/>
    <cellStyle name="Normal 3 2 5 4 3 3" xfId="7784" xr:uid="{97BD0FE9-FC78-48AF-AAF9-9D1AD0F1A10D}"/>
    <cellStyle name="Normal 3 2 5 4 3 4" xfId="7015" xr:uid="{B585970F-979B-47A9-9CB1-0DA0D11A0A8F}"/>
    <cellStyle name="Normal 3 2 5 4 4" xfId="6647" xr:uid="{035206FE-07C8-4E8B-8F96-994D2D70615B}"/>
    <cellStyle name="Normal 3 2 5 4 4 2" xfId="8206" xr:uid="{557CFBDC-57FF-4BFE-A479-1FA82A076ED0}"/>
    <cellStyle name="Normal 3 2 5 4 5" xfId="7456" xr:uid="{3D2AEAD2-30F6-4E0A-A16C-233129DD9CC3}"/>
    <cellStyle name="Normal 3 2 5 4 6" xfId="5022" xr:uid="{F9BAE58D-E910-4015-82C0-3A7E9C9D3F8A}"/>
    <cellStyle name="Normal 3 2 5 4 7" xfId="4021" xr:uid="{AF3A0A70-78C8-4C3F-907B-B0F7E1F18F60}"/>
    <cellStyle name="Normal 3 2 5 5" xfId="3490" xr:uid="{CF2A8DDB-53BE-4605-B22E-0A046AE5DC74}"/>
    <cellStyle name="Normal 3 2 5 5 2" xfId="3784" xr:uid="{10D64787-D652-415D-81E6-E7CD860B0E52}"/>
    <cellStyle name="Normal 3 2 5 5 2 2" xfId="8579" xr:uid="{9F255723-FDDA-40DE-9A1A-468F38FE336C}"/>
    <cellStyle name="Normal 3 2 5 5 2 3" xfId="7060" xr:uid="{20BE21CC-D360-4DD8-ADD0-82A4607F4613}"/>
    <cellStyle name="Normal 3 2 5 5 2 4" xfId="4636" xr:uid="{C728F17C-19B9-45C7-99FF-2DAFA7F86552}"/>
    <cellStyle name="Normal 3 2 5 5 3" xfId="7829" xr:uid="{57DE5FB0-0125-4AA0-8333-427639E0D521}"/>
    <cellStyle name="Normal 3 2 5 5 4" xfId="5068" xr:uid="{0570D376-A109-44D1-A799-3E4386B7766F}"/>
    <cellStyle name="Normal 3 2 5 5 5" xfId="4360" xr:uid="{7AA44A3E-9085-488E-B30B-36EE0823D697}"/>
    <cellStyle name="Normal 3 2 5 6" xfId="3545" xr:uid="{194E9DBA-8469-4DA9-9923-29D260D4DE75}"/>
    <cellStyle name="Normal 3 2 5 6 2" xfId="7301" xr:uid="{A56BDBE7-DDEE-4AC8-88DD-0B0CB07D89F3}"/>
    <cellStyle name="Normal 3 2 5 6 2 2" xfId="8813" xr:uid="{DD48FC6C-7AF8-4869-8AED-4E7630C9F4B4}"/>
    <cellStyle name="Normal 3 2 5 6 3" xfId="8063" xr:uid="{F5F315CF-0B14-4FDB-80D6-2E56B83A438A}"/>
    <cellStyle name="Normal 3 2 5 6 4" xfId="6500" xr:uid="{0C337979-3FBC-49CA-B8E6-2159254B0F71}"/>
    <cellStyle name="Normal 3 2 5 6 5" xfId="4413" xr:uid="{DB430A62-15A1-4BD5-AB05-4E7FBD56A1CC}"/>
    <cellStyle name="Normal 3 2 5 7" xfId="3831" xr:uid="{9C6A7A2C-61A9-4FB2-BDE1-5ED305F05F8A}"/>
    <cellStyle name="Normal 3 2 5 7 2" xfId="8409" xr:uid="{D7AF7E66-394D-4836-815F-0B9FA11D1D4A}"/>
    <cellStyle name="Normal 3 2 5 7 3" xfId="7659" xr:uid="{21276E34-F0BC-456C-A1A6-D37D57359D5B}"/>
    <cellStyle name="Normal 3 2 5 7 4" xfId="6888" xr:uid="{5521CCEB-17BD-4740-8084-3E949AD03BE2}"/>
    <cellStyle name="Normal 3 2 5 7 5" xfId="4683" xr:uid="{C0FC0C69-E222-45A0-9228-156DBD4D5C09}"/>
    <cellStyle name="Normal 3 2 5 8" xfId="4133" xr:uid="{F61CCF43-7614-4307-B104-2DADC3109861}"/>
    <cellStyle name="Normal 3 2 5 8 2" xfId="8345" xr:uid="{FBED024D-2292-4930-B813-5C5883ABBE7B}"/>
    <cellStyle name="Normal 3 2 5 8 3" xfId="7595" xr:uid="{9A4955D1-19B4-41B6-B4D1-53526B32B54B}"/>
    <cellStyle name="Normal 3 2 5 8 4" xfId="6788" xr:uid="{E8D24CA4-38E8-4581-ADE0-08BBFE8044AF}"/>
    <cellStyle name="Normal 3 2 5 9" xfId="6557" xr:uid="{36EB33A7-09AC-4C0E-BB70-72AAC0FF6484}"/>
    <cellStyle name="Normal 3 2 5 9 2" xfId="8116" xr:uid="{F0DE88C5-EEB3-4F82-B776-88A77783CA1A}"/>
    <cellStyle name="Normal 3 2 6" xfId="2844" xr:uid="{00000000-0005-0000-0000-00001F090000}"/>
    <cellStyle name="Normal 3 2 6 10" xfId="4919" xr:uid="{F8E9F243-A07F-4920-B820-C9855D912493}"/>
    <cellStyle name="Normal 3 2 6 11" xfId="3904" xr:uid="{1BC1F3CD-E3CC-4349-95AD-63D30F204864}"/>
    <cellStyle name="Normal 3 2 6 2" xfId="2891" xr:uid="{00000000-0005-0000-0000-00001F090000}"/>
    <cellStyle name="Normal 3 2 6 2 2" xfId="2992" xr:uid="{00000000-0005-0000-0000-0000CB090000}"/>
    <cellStyle name="Normal 3 2 6 2 2 2" xfId="3708" xr:uid="{C9755F3E-81F4-4EC3-820D-983D4DE06F97}"/>
    <cellStyle name="Normal 3 2 6 2 2 2 2" xfId="8697" xr:uid="{B91DFB65-AC4E-4398-A9FA-DDAA2D00969E}"/>
    <cellStyle name="Normal 3 2 6 2 2 2 3" xfId="7947" xr:uid="{735B99CD-ABA6-4409-9E1A-C01D8A6F7546}"/>
    <cellStyle name="Normal 3 2 6 2 2 2 4" xfId="7185" xr:uid="{07FCA2C1-D470-4F05-BB49-9CEB164105D2}"/>
    <cellStyle name="Normal 3 2 6 2 2 2 5" xfId="4560" xr:uid="{96BAE7DE-E225-4B15-90C7-12FB3DE5A5DA}"/>
    <cellStyle name="Normal 3 2 6 2 2 3" xfId="6704" xr:uid="{94904ACC-8FAB-4F19-96B8-6C8D7AB72286}"/>
    <cellStyle name="Normal 3 2 6 2 2 3 2" xfId="8263" xr:uid="{6572E802-DF7F-4C20-B86F-2662B3E3F27F}"/>
    <cellStyle name="Normal 3 2 6 2 2 4" xfId="7513" xr:uid="{7F8F2505-5C43-40B1-862A-7F0108CA0BA5}"/>
    <cellStyle name="Normal 3 2 6 2 2 5" xfId="6383" xr:uid="{28633088-ED90-427D-97FC-AE2B649419DB}"/>
    <cellStyle name="Normal 3 2 6 2 2 6" xfId="4284" xr:uid="{6CFBB33F-240F-4457-B747-A58C19DDF764}"/>
    <cellStyle name="Normal 3 2 6 2 3" xfId="3607" xr:uid="{3436BE54-AF7B-4D42-8E35-18AC37A28CD7}"/>
    <cellStyle name="Normal 3 2 6 2 3 2" xfId="8551" xr:uid="{CE9C1A47-118D-4EFD-8074-E19EB3466D2E}"/>
    <cellStyle name="Normal 3 2 6 2 3 3" xfId="7801" xr:uid="{A0FD3DD1-E089-419B-827C-443EB3432E35}"/>
    <cellStyle name="Normal 3 2 6 2 3 4" xfId="7032" xr:uid="{4AF3DBD9-F08B-4D81-AA14-0C17A0469068}"/>
    <cellStyle name="Normal 3 2 6 2 3 5" xfId="4475" xr:uid="{39F22536-2F5B-4A35-8B9C-AC97343AE373}"/>
    <cellStyle name="Normal 3 2 6 2 4" xfId="4199" xr:uid="{D5F02696-B348-4681-94F7-A30C4CB9E261}"/>
    <cellStyle name="Normal 3 2 6 2 4 2" xfId="8178" xr:uid="{EB65CEBC-9728-43F6-96C4-2AFAF49CDDFD}"/>
    <cellStyle name="Normal 3 2 6 2 4 3" xfId="6619" xr:uid="{93E8268B-F682-41FE-B5BC-EB881BD726EA}"/>
    <cellStyle name="Normal 3 2 6 2 5" xfId="7428" xr:uid="{B19B0570-5D87-4A5B-8E1F-71AA7F5908B4}"/>
    <cellStyle name="Normal 3 2 6 2 6" xfId="5039" xr:uid="{7FE655A9-AE05-4D10-971E-22F9A288AFDE}"/>
    <cellStyle name="Normal 3 2 6 2 7" xfId="4061" xr:uid="{5E84C521-B250-470A-BFF2-0FE2C986E2AA}"/>
    <cellStyle name="Normal 3 2 6 3" xfId="3436" xr:uid="{00000000-0005-0000-0000-0000CC090000}"/>
    <cellStyle name="Normal 3 2 6 3 2" xfId="3748" xr:uid="{53BAE447-2DE0-4358-9D53-19393EC6E360}"/>
    <cellStyle name="Normal 3 2 6 3 2 2" xfId="8608" xr:uid="{ACFF901B-BAE5-410B-9E44-1B70B9A20030}"/>
    <cellStyle name="Normal 3 2 6 3 2 3" xfId="7858" xr:uid="{3CDF753F-95B0-4367-99BF-AF53DAD224B2}"/>
    <cellStyle name="Normal 3 2 6 3 2 4" xfId="7092" xr:uid="{9FE0D986-A5E8-4BA2-AA06-0A11160E53AD}"/>
    <cellStyle name="Normal 3 2 6 3 2 5" xfId="4600" xr:uid="{5D52691F-EE69-4593-AD28-F5CBCAF51BFA}"/>
    <cellStyle name="Normal 3 2 6 3 3" xfId="6745" xr:uid="{2E44E29C-7487-4679-8875-457BC2B59CFE}"/>
    <cellStyle name="Normal 3 2 6 3 3 2" xfId="8303" xr:uid="{BF1CBB38-DA2F-4D6E-84FC-24D0BD1EFE93}"/>
    <cellStyle name="Normal 3 2 6 3 4" xfId="7553" xr:uid="{A862D6A2-C043-4934-8A64-8CE96F07FA8F}"/>
    <cellStyle name="Normal 3 2 6 3 5" xfId="5645" xr:uid="{01B85EBB-2FE2-4BA8-8E90-5B6C2721F495}"/>
    <cellStyle name="Normal 3 2 6 3 6" xfId="4324" xr:uid="{63789CFF-3FC1-423E-B7F6-9C31351FADFD}"/>
    <cellStyle name="Normal 3 2 6 4" xfId="2936" xr:uid="{00000000-0005-0000-0000-0000CA090000}"/>
    <cellStyle name="Normal 3 2 6 4 2" xfId="3652" xr:uid="{3E9DFDB5-09CA-4F61-88C0-71DA889F7ECA}"/>
    <cellStyle name="Normal 3 2 6 4 2 2" xfId="8786" xr:uid="{BA387CFB-D908-44CF-B67C-28BEBE7BC66E}"/>
    <cellStyle name="Normal 3 2 6 4 2 3" xfId="8036" xr:uid="{1EDF9042-10A0-4C92-AAF8-C4E6103EDB8D}"/>
    <cellStyle name="Normal 3 2 6 4 2 4" xfId="7274" xr:uid="{73ED1942-1954-49A5-8727-5117555C9AE4}"/>
    <cellStyle name="Normal 3 2 6 4 2 5" xfId="4520" xr:uid="{1029179D-4956-4C8B-BBE5-C644473EFF64}"/>
    <cellStyle name="Normal 3 2 6 4 3" xfId="6664" xr:uid="{6684C12A-A0C2-4ED3-A0FE-7D001004F88F}"/>
    <cellStyle name="Normal 3 2 6 4 3 2" xfId="8223" xr:uid="{CDD1EF95-1B45-4986-B781-5750C97E49E7}"/>
    <cellStyle name="Normal 3 2 6 4 4" xfId="7473" xr:uid="{8A95CA3B-ACCA-4656-8F02-747E3BB83174}"/>
    <cellStyle name="Normal 3 2 6 4 5" xfId="6473" xr:uid="{A31C0CF5-88E9-426B-A1DC-AFE45F803135}"/>
    <cellStyle name="Normal 3 2 6 4 6" xfId="4244" xr:uid="{D78581AF-E825-4B88-894B-4307074BFDA1}"/>
    <cellStyle name="Normal 3 2 6 5" xfId="3507" xr:uid="{6D6137F5-7D46-48C8-89DE-BD8129BE7F5D}"/>
    <cellStyle name="Normal 3 2 6 5 2" xfId="3801" xr:uid="{7EB35BDC-D5E5-4443-B477-E6E2B6045D00}"/>
    <cellStyle name="Normal 3 2 6 5 2 2" xfId="8830" xr:uid="{A443B7C3-C362-4BF2-80E1-998C519AF32F}"/>
    <cellStyle name="Normal 3 2 6 5 2 3" xfId="7318" xr:uid="{652A074F-4E2A-420B-9C5F-C63ED4BCADE5}"/>
    <cellStyle name="Normal 3 2 6 5 2 4" xfId="4653" xr:uid="{CEA8B144-3574-4E69-8410-7ED96BFB4937}"/>
    <cellStyle name="Normal 3 2 6 5 3" xfId="8080" xr:uid="{98CC926B-D136-42D1-9C6B-A04D5E48F4AA}"/>
    <cellStyle name="Normal 3 2 6 5 4" xfId="6524" xr:uid="{AA040A78-696C-4378-A995-AF3429D592C0}"/>
    <cellStyle name="Normal 3 2 6 5 5" xfId="4377" xr:uid="{23A67D26-9CC3-4730-BF7B-95B5B1ABF181}"/>
    <cellStyle name="Normal 3 2 6 6" xfId="3562" xr:uid="{6EA1D7FE-D181-487A-99C0-0DD58215E5F4}"/>
    <cellStyle name="Normal 3 2 6 6 2" xfId="8432" xr:uid="{8093AF58-3B4B-4F6B-876F-82CC9377AEC3}"/>
    <cellStyle name="Normal 3 2 6 6 3" xfId="7682" xr:uid="{F16B920E-9983-4E65-B977-A1071DBD2E8D}"/>
    <cellStyle name="Normal 3 2 6 6 4" xfId="6913" xr:uid="{524B40AC-F77E-4735-A146-62F63EBDBA58}"/>
    <cellStyle name="Normal 3 2 6 6 5" xfId="4430" xr:uid="{8B3AF497-72D6-4FB6-87C5-60B965DD165A}"/>
    <cellStyle name="Normal 3 2 6 7" xfId="3848" xr:uid="{86C04D83-A018-40BC-81C6-B33FD0F2FAA7}"/>
    <cellStyle name="Normal 3 2 6 7 2" xfId="8362" xr:uid="{5ED40A1E-B421-44A1-AC1E-B21FD30CE61D}"/>
    <cellStyle name="Normal 3 2 6 7 3" xfId="7612" xr:uid="{B526CB40-8AEE-4BB1-9795-F50F7F248EB1}"/>
    <cellStyle name="Normal 3 2 6 7 4" xfId="6823" xr:uid="{7A64BECE-A13C-4776-A4AB-7C9D5F8A1587}"/>
    <cellStyle name="Normal 3 2 6 7 5" xfId="4700" xr:uid="{15883486-61D0-4A7A-94C1-219E2B79E708}"/>
    <cellStyle name="Normal 3 2 6 8" xfId="4154" xr:uid="{0DC7EEFB-4094-4699-9755-05331F3B5458}"/>
    <cellStyle name="Normal 3 2 6 8 2" xfId="8133" xr:uid="{25A14491-B74D-42F5-9FA6-F90035B1AD84}"/>
    <cellStyle name="Normal 3 2 6 8 3" xfId="6574" xr:uid="{EDB86E0B-AAE8-4A8A-951B-4B1B94F7CE46}"/>
    <cellStyle name="Normal 3 2 6 9" xfId="7383" xr:uid="{34433B59-D6EA-4263-8BB8-B6DFE3090504}"/>
    <cellStyle name="Normal 3 2 7" xfId="25" xr:uid="{00000000-0005-0000-0000-000020090000}"/>
    <cellStyle name="Normal 3 2 7 10" xfId="4968" xr:uid="{387A66E2-12EE-42DD-B357-0D0A75A072E5}"/>
    <cellStyle name="Normal 3 2 7 11" xfId="3969" xr:uid="{F97B93E3-EB94-446B-96C9-8AAFC45BB03C}"/>
    <cellStyle name="Normal 3 2 7 2" xfId="2871" xr:uid="{00000000-0005-0000-0000-000020090000}"/>
    <cellStyle name="Normal 3 2 7 2 2" xfId="3587" xr:uid="{3200E090-97FB-4740-9E61-C50A361CE9CF}"/>
    <cellStyle name="Normal 3 2 7 2 2 2" xfId="7170" xr:uid="{2AD87E82-40A2-4941-8D51-9294A51217BE}"/>
    <cellStyle name="Normal 3 2 7 2 2 2 2" xfId="8683" xr:uid="{097409D5-81B4-4ECB-A695-CA538DF09B90}"/>
    <cellStyle name="Normal 3 2 7 2 2 3" xfId="7933" xr:uid="{764163D7-2F43-469C-8753-1259E0D66F82}"/>
    <cellStyle name="Normal 3 2 7 2 2 4" xfId="6350" xr:uid="{4B0B86D2-873A-4510-9746-F54C938B6144}"/>
    <cellStyle name="Normal 3 2 7 2 2 5" xfId="4455" xr:uid="{B15E7DBD-2680-4D93-B741-EE39DA84E502}"/>
    <cellStyle name="Normal 3 2 7 2 3" xfId="4179" xr:uid="{118843E5-A07A-4008-97FA-BA2A9333B2F3}"/>
    <cellStyle name="Normal 3 2 7 2 3 2" xfId="8531" xr:uid="{7EB5C871-4D6D-4976-9AA3-4B6DC9698178}"/>
    <cellStyle name="Normal 3 2 7 2 3 3" xfId="7781" xr:uid="{2348259E-EBE8-4EEE-B5C0-2B159CC31EFA}"/>
    <cellStyle name="Normal 3 2 7 2 3 4" xfId="7012" xr:uid="{57F337DE-30F2-4183-A139-902DAE51C73D}"/>
    <cellStyle name="Normal 3 2 7 2 4" xfId="6599" xr:uid="{A83FDC20-BEF0-4DF8-8A4D-81C79A5AEF58}"/>
    <cellStyle name="Normal 3 2 7 2 4 2" xfId="8158" xr:uid="{EB0C751E-8998-4DE5-A7F1-4482E78AD630}"/>
    <cellStyle name="Normal 3 2 7 2 5" xfId="7408" xr:uid="{38D0599A-1A42-4947-9822-8518FE15BAE7}"/>
    <cellStyle name="Normal 3 2 7 2 6" xfId="5019" xr:uid="{4E4CA7BE-A85B-4B75-9EA4-DDCA16F7F1A8}"/>
    <cellStyle name="Normal 3 2 7 2 7" xfId="4018" xr:uid="{157F5EFA-6536-4849-835E-70A925EC1B47}"/>
    <cellStyle name="Normal 3 2 7 3" xfId="2916" xr:uid="{00000000-0005-0000-0000-0000CD090000}"/>
    <cellStyle name="Normal 3 2 7 3 2" xfId="3632" xr:uid="{48CD2A4B-1131-4969-94E5-4C7D0F5C3FE9}"/>
    <cellStyle name="Normal 3 2 7 3 2 2" xfId="8576" xr:uid="{D239E146-D7D3-442F-9D5B-F52C335FC6B9}"/>
    <cellStyle name="Normal 3 2 7 3 2 3" xfId="7826" xr:uid="{1F5D3625-F76B-4736-9629-E8A4E386CC81}"/>
    <cellStyle name="Normal 3 2 7 3 2 4" xfId="7057" xr:uid="{CB043807-C882-44CC-8A79-604ECB3C30A4}"/>
    <cellStyle name="Normal 3 2 7 3 2 5" xfId="4500" xr:uid="{36C93F70-410E-48B3-8C77-742E5A34CCF0}"/>
    <cellStyle name="Normal 3 2 7 3 3" xfId="6644" xr:uid="{D094C9A8-E7D1-4AE8-B768-EA504F56A6F1}"/>
    <cellStyle name="Normal 3 2 7 3 3 2" xfId="8203" xr:uid="{F05004B4-6404-43A4-9721-E1EA269F2EB3}"/>
    <cellStyle name="Normal 3 2 7 3 4" xfId="7453" xr:uid="{DC9C269D-707F-4691-B90A-7DB2A091B3B1}"/>
    <cellStyle name="Normal 3 2 7 3 5" xfId="5065" xr:uid="{711BE807-2B82-47BE-927A-24F43E85483B}"/>
    <cellStyle name="Normal 3 2 7 3 6" xfId="4224" xr:uid="{77AB1A6B-BACD-42F0-9E2C-21E0C9EEB898}"/>
    <cellStyle name="Normal 3 2 7 4" xfId="3487" xr:uid="{B6459ECE-F2FF-4A52-9BA1-2712E7D3B4B2}"/>
    <cellStyle name="Normal 3 2 7 4 2" xfId="3781" xr:uid="{0CE735D8-8097-4475-9F05-3EF21656C2CD}"/>
    <cellStyle name="Normal 3 2 7 4 2 2" xfId="8768" xr:uid="{1E8D575B-DCF9-40FE-940F-74F06D7354D8}"/>
    <cellStyle name="Normal 3 2 7 4 2 3" xfId="7256" xr:uid="{8100FF8E-8E95-40A7-9653-1CCC0645C9F4}"/>
    <cellStyle name="Normal 3 2 7 4 2 4" xfId="4633" xr:uid="{4BDB34B2-47B6-41B5-9A6C-FB74D1665E0E}"/>
    <cellStyle name="Normal 3 2 7 4 3" xfId="8018" xr:uid="{220274F2-8AF7-41E7-B086-37E4C77242A4}"/>
    <cellStyle name="Normal 3 2 7 4 4" xfId="6455" xr:uid="{CAA1F37C-CA5A-4323-88BB-A682D9D3805F}"/>
    <cellStyle name="Normal 3 2 7 4 5" xfId="4357" xr:uid="{E2DD03AE-FDB7-42AD-A7FD-FA21502708B2}"/>
    <cellStyle name="Normal 3 2 7 5" xfId="3542" xr:uid="{58AE596E-9CB9-4C9E-A407-3B0C661DCD43}"/>
    <cellStyle name="Normal 3 2 7 5 2" xfId="7298" xr:uid="{231A70CA-D615-4937-95CA-6BEDBC5464C5}"/>
    <cellStyle name="Normal 3 2 7 5 2 2" xfId="8810" xr:uid="{F293545A-E5A7-4B9A-B148-0015D87AADD0}"/>
    <cellStyle name="Normal 3 2 7 5 3" xfId="8060" xr:uid="{EA74F23E-9C5D-445E-8D0A-14B9321F2BB9}"/>
    <cellStyle name="Normal 3 2 7 5 4" xfId="6497" xr:uid="{73A48E9C-D128-485D-B820-D15AB3374035}"/>
    <cellStyle name="Normal 3 2 7 5 5" xfId="4410" xr:uid="{F96036E7-DDA5-4871-86FC-ED32AE7EB9F8}"/>
    <cellStyle name="Normal 3 2 7 6" xfId="3828" xr:uid="{52ADF8F4-058A-4D78-80E1-D37028D62A33}"/>
    <cellStyle name="Normal 3 2 7 6 2" xfId="8481" xr:uid="{670322D1-F8DE-4A13-8FDA-D83D1708FE0B}"/>
    <cellStyle name="Normal 3 2 7 6 3" xfId="7731" xr:uid="{9B4760D8-3434-4541-B103-DE8C72700ABD}"/>
    <cellStyle name="Normal 3 2 7 6 4" xfId="6962" xr:uid="{472EF213-7B0D-4BFA-8586-35C09F7ED73F}"/>
    <cellStyle name="Normal 3 2 7 6 5" xfId="4680" xr:uid="{6C9F4D7D-1857-4E3A-9FB1-DFB8F86A6690}"/>
    <cellStyle name="Normal 3 2 7 7" xfId="4130" xr:uid="{6E5A4D6C-20A0-40CB-98DE-9D71B7DF6A3D}"/>
    <cellStyle name="Normal 3 2 7 7 2" xfId="8342" xr:uid="{E23CAF2A-C6B1-4C36-84AF-4B81512F6987}"/>
    <cellStyle name="Normal 3 2 7 7 3" xfId="7592" xr:uid="{3F65A7EF-436F-48F8-8E79-DC20E818C246}"/>
    <cellStyle name="Normal 3 2 7 7 4" xfId="6785" xr:uid="{2D763825-6ABD-4F0B-A655-310B9A013577}"/>
    <cellStyle name="Normal 3 2 7 8" xfId="6554" xr:uid="{C4156B0B-4C99-4610-8204-CDAF758C7D67}"/>
    <cellStyle name="Normal 3 2 7 8 2" xfId="8113" xr:uid="{FFC52452-A368-45D2-83C8-59F958A47A06}"/>
    <cellStyle name="Normal 3 2 7 9" xfId="7363" xr:uid="{AA2C560C-FD41-4ECB-8376-F01D43CAF95F}"/>
    <cellStyle name="Normal 3 2 8" xfId="20" xr:uid="{00000000-0005-0000-0000-000017090000}"/>
    <cellStyle name="Normal 3 2 8 2" xfId="2956" xr:uid="{00000000-0005-0000-0000-0000CE090000}"/>
    <cellStyle name="Normal 3 2 8 2 2" xfId="3672" xr:uid="{9FE9EE05-683A-4A33-A6AD-EA3CAB0B012E}"/>
    <cellStyle name="Normal 3 2 8 2 2 2" xfId="8648" xr:uid="{3F6578A3-A55B-47D9-AD55-BF1A4E30154A}"/>
    <cellStyle name="Normal 3 2 8 2 2 3" xfId="7898" xr:uid="{92972DF8-8905-4318-AD1C-07162118B8F0}"/>
    <cellStyle name="Normal 3 2 8 2 2 4" xfId="7133" xr:uid="{8EE1A705-4BF3-459D-A6FC-264EA3D17D6B}"/>
    <cellStyle name="Normal 3 2 8 2 2 5" xfId="4540" xr:uid="{0742C7DD-B3D7-44AB-AF47-AC4B7E20A297}"/>
    <cellStyle name="Normal 3 2 8 2 3" xfId="4264" xr:uid="{71DF2079-1AF9-408B-A74B-B372322401D6}"/>
    <cellStyle name="Normal 3 2 8 2 3 2" xfId="8243" xr:uid="{3E30E3C6-2F86-4666-8F70-066F1AA47572}"/>
    <cellStyle name="Normal 3 2 8 2 3 3" xfId="6684" xr:uid="{0F03E2A0-D8AE-4B00-9390-F22CF6C83061}"/>
    <cellStyle name="Normal 3 2 8 2 4" xfId="7493" xr:uid="{0478B32B-C7FA-42C2-A367-2C84FE403F99}"/>
    <cellStyle name="Normal 3 2 8 2 5" xfId="5719" xr:uid="{C8EB15BA-AA31-4163-BF2F-7EE809468D4D}"/>
    <cellStyle name="Normal 3 2 8 2 6" xfId="4101" xr:uid="{5D12172A-E394-4063-801D-777D7C2B97A1}"/>
    <cellStyle name="Normal 3 2 8 3" xfId="3537" xr:uid="{7B9BE5F7-8660-4274-8E0B-1EA94514A01D}"/>
    <cellStyle name="Normal 3 2 8 3 2" xfId="8526" xr:uid="{E1661151-566A-4947-88E2-AC4C912BE271}"/>
    <cellStyle name="Normal 3 2 8 3 3" xfId="7776" xr:uid="{93033F51-5916-4FFF-9967-5DBCA26F4E1F}"/>
    <cellStyle name="Normal 3 2 8 3 4" xfId="7007" xr:uid="{A83643BC-4225-476B-A73B-2B4D65DA9C57}"/>
    <cellStyle name="Normal 3 2 8 3 5" xfId="4405" xr:uid="{02CD59E9-8305-4349-A21A-64CA4F438BC8}"/>
    <cellStyle name="Normal 3 2 8 4" xfId="4125" xr:uid="{95639672-B692-428C-9FEB-56E350900A9A}"/>
    <cellStyle name="Normal 3 2 8 4 2" xfId="8108" xr:uid="{905BA863-1EFA-4CF9-9A76-F2FCE274AF1D}"/>
    <cellStyle name="Normal 3 2 8 4 3" xfId="6549" xr:uid="{7226BBF9-EAC7-44B9-9E90-A828EAF1DDB6}"/>
    <cellStyle name="Normal 3 2 8 5" xfId="7358" xr:uid="{3FF70010-94A7-4321-A8BB-2AF12BB7F750}"/>
    <cellStyle name="Normal 3 2 8 6" xfId="5013" xr:uid="{B10B7629-5CA9-4FFA-A4BB-324C44BB0AE9}"/>
    <cellStyle name="Normal 3 2 8 7" xfId="3991" xr:uid="{1DBF2FC0-F029-4BD9-AE57-259E3B0BCEA6}"/>
    <cellStyle name="Normal 3 2 9" xfId="2866" xr:uid="{00000000-0005-0000-0000-000017090000}"/>
    <cellStyle name="Normal 3 2 9 2" xfId="3012" xr:uid="{00000000-0005-0000-0000-0000CF090000}"/>
    <cellStyle name="Normal 3 2 9 2 2" xfId="3728" xr:uid="{1A735193-F98C-41ED-B5AD-DCB2D0036FE5}"/>
    <cellStyle name="Normal 3 2 9 2 2 2" xfId="8283" xr:uid="{F3660960-88C7-40CC-8B8A-6FC8AA9D88C6}"/>
    <cellStyle name="Normal 3 2 9 2 2 3" xfId="4580" xr:uid="{72FF1E58-FA23-44A7-A328-48C41917D54B}"/>
    <cellStyle name="Normal 3 2 9 2 3" xfId="7533" xr:uid="{4948661A-C989-4FE8-99A4-F2F9999242A2}"/>
    <cellStyle name="Normal 3 2 9 2 4" xfId="6724" xr:uid="{4C0086CF-26E6-401F-82B8-8B2AA8209A70}"/>
    <cellStyle name="Normal 3 2 9 2 5" xfId="4304" xr:uid="{33C0B3A4-6C50-4DBB-A040-5BC7A6BD97A1}"/>
    <cellStyle name="Normal 3 2 9 3" xfId="3582" xr:uid="{4C3AFA14-C4E7-4BB5-AF2E-33C553FDD346}"/>
    <cellStyle name="Normal 3 2 9 3 2" xfId="8571" xr:uid="{4B309B21-852D-431D-97B3-456521C59AA3}"/>
    <cellStyle name="Normal 3 2 9 3 3" xfId="7821" xr:uid="{D09B5111-9510-4DE3-9E82-C17F9B7488AE}"/>
    <cellStyle name="Normal 3 2 9 3 4" xfId="7052" xr:uid="{40678519-C9D1-49B8-BF46-33437942D697}"/>
    <cellStyle name="Normal 3 2 9 3 5" xfId="4450" xr:uid="{11D064D6-32E8-4842-8A5C-C122A673F054}"/>
    <cellStyle name="Normal 3 2 9 4" xfId="4174" xr:uid="{2AAE9C2F-D2F4-463C-A193-C986BDE02EC7}"/>
    <cellStyle name="Normal 3 2 9 4 2" xfId="8153" xr:uid="{172BE201-4094-4E91-B9D4-1A339A96DFF7}"/>
    <cellStyle name="Normal 3 2 9 4 3" xfId="6594" xr:uid="{4786B13F-7197-4AE1-A180-F76F4DFE5E30}"/>
    <cellStyle name="Normal 3 2 9 5" xfId="7403" xr:uid="{F377E609-936C-4DF2-8476-C292CADCDCE5}"/>
    <cellStyle name="Normal 3 2 9 6" xfId="5060" xr:uid="{B00CAF9F-A37F-4F6D-A1BA-002F89C3A8ED}"/>
    <cellStyle name="Normal 3 2 9 7" xfId="4013" xr:uid="{3627E2D8-9CE7-41A0-AED0-49C05444E014}"/>
    <cellStyle name="Normal 3 20" xfId="3822" xr:uid="{25899A58-DFAF-4CEA-95C3-0355AD1B843E}"/>
    <cellStyle name="Normal 3 20 2" xfId="8102" xr:uid="{319111DC-09C4-4F30-AF3B-7504145513A8}"/>
    <cellStyle name="Normal 3 20 3" xfId="6543" xr:uid="{153843DC-06F8-4A9D-9FDE-1D69D1226B37}"/>
    <cellStyle name="Normal 3 20 4" xfId="4674" xr:uid="{31330AD8-F91D-4CF5-9A7F-0C12ACCABECD}"/>
    <cellStyle name="Normal 3 21" xfId="4119" xr:uid="{3AD6DF45-3BA0-47C7-A2FA-4317688C2320}"/>
    <cellStyle name="Normal 3 21 2" xfId="7352" xr:uid="{7DFAF22F-715A-402D-B2BA-FC0E6E053033}"/>
    <cellStyle name="Normal 3 22" xfId="3872" xr:uid="{5D449C40-CBC4-4DBC-97E9-4DE59732F05A}"/>
    <cellStyle name="Normal 3 3" xfId="217" xr:uid="{00000000-0005-0000-0000-000021090000}"/>
    <cellStyle name="Normal 3 3 2" xfId="218" xr:uid="{00000000-0005-0000-0000-000022090000}"/>
    <cellStyle name="Normal 3 3 2 2" xfId="2530" xr:uid="{00000000-0005-0000-0000-000023090000}"/>
    <cellStyle name="Normal 3 3 2 2 2" xfId="4904" xr:uid="{6C5CA64D-43FF-45B3-B0DF-CCA9E04BEF35}"/>
    <cellStyle name="Normal 3 3 2 3" xfId="2972" xr:uid="{00000000-0005-0000-0000-0000D3090000}"/>
    <cellStyle name="Normal 3 3 2 3 2" xfId="3688" xr:uid="{7CA64A6E-6238-4AB5-9892-A65191B75A16}"/>
    <cellStyle name="Normal 3 3 2 3 3" xfId="3935" xr:uid="{29873263-9847-4128-9957-BD530CF01CDF}"/>
    <cellStyle name="Normal 3 3 2 4" xfId="4041" xr:uid="{41CA4E1D-EFEB-4CFA-8181-C4271B1DDEB1}"/>
    <cellStyle name="Normal 3 3 2 5" xfId="3885" xr:uid="{4DF1EFCF-3400-4938-A218-631139667119}"/>
    <cellStyle name="Normal 3 3 3" xfId="2257" xr:uid="{00000000-0005-0000-0000-000024090000}"/>
    <cellStyle name="Normal 3 3 3 2" xfId="4896" xr:uid="{CF9A2255-A1FF-4221-A835-9F71B69632A6}"/>
    <cellStyle name="Normal 3 3 4" xfId="3934" xr:uid="{FED8EC63-3902-4F5B-AB33-3FBE425F006D}"/>
    <cellStyle name="Normal 3 3 4 2" xfId="6896" xr:uid="{A917782F-5BCD-453A-B2AC-62C4F4365C33}"/>
    <cellStyle name="Normal 3 3 4 3" xfId="6778" xr:uid="{B7ECBBE5-13E0-4C81-B473-04337FF41515}"/>
    <cellStyle name="Normal 3 3 4 3 2" xfId="8335" xr:uid="{D6117707-079B-42E5-92F3-19EE5A73D5FA}"/>
    <cellStyle name="Normal 3 3 4 4" xfId="7585" xr:uid="{8B84916C-881E-4155-9BFF-D54CB63FDCB9}"/>
    <cellStyle name="Normal 3 3 5" xfId="4044" xr:uid="{820D949B-64DE-450A-ABA8-5B506508B67B}"/>
    <cellStyle name="Normal 3 3 5 2" xfId="7072" xr:uid="{64CA05AD-44B8-4FB3-8578-0ADF586A95B7}"/>
    <cellStyle name="Normal 3 3 5 2 2" xfId="8590" xr:uid="{B13D3D59-B1DA-437B-AED1-25F61A546312}"/>
    <cellStyle name="Normal 3 3 5 3" xfId="7840" xr:uid="{F1325226-3AC3-409C-9066-0DBC37725E48}"/>
    <cellStyle name="Normal 3 3 5 4" xfId="5386" xr:uid="{A5C13016-8F0A-4401-92BC-1C4D6A13E4EE}"/>
    <cellStyle name="Normal 3 3 6" xfId="3879" xr:uid="{BEF7D363-2460-4315-8026-32E449B72EDD}"/>
    <cellStyle name="Normal 3 4" xfId="2258" xr:uid="{00000000-0005-0000-0000-000025090000}"/>
    <cellStyle name="Normal 3 4 10" xfId="6513" xr:uid="{33D73394-4924-46ED-B9E8-33A1E528F166}"/>
    <cellStyle name="Normal 3 4 10 2" xfId="7308" xr:uid="{9C80891F-12C9-4AAB-A4C3-3604C826219F}"/>
    <cellStyle name="Normal 3 4 10 2 2" xfId="8820" xr:uid="{2A0386F7-F578-4332-9C4E-CD2B52F80129}"/>
    <cellStyle name="Normal 3 4 10 3" xfId="8070" xr:uid="{81A7CE9C-FAC9-40C8-B0BE-8AB0546F55F1}"/>
    <cellStyle name="Normal 3 4 11" xfId="6871" xr:uid="{CDABF0D3-AE7B-4925-8EAB-6221ED24BF9E}"/>
    <cellStyle name="Normal 3 4 11 2" xfId="8395" xr:uid="{A1D7248D-1646-44D3-9FEF-FC080CBB256F}"/>
    <cellStyle name="Normal 3 4 11 3" xfId="7645" xr:uid="{6DE37E43-BD33-4ADB-A45E-842EED1D809C}"/>
    <cellStyle name="Normal 3 4 12" xfId="6812" xr:uid="{C2F2A4E0-B0DE-4632-B2F3-E54D198EB7AF}"/>
    <cellStyle name="Normal 3 4 12 2" xfId="8352" xr:uid="{C6D8E24C-BFFA-443C-9048-E13AB72912E8}"/>
    <cellStyle name="Normal 3 4 12 3" xfId="7602" xr:uid="{19F1023F-6E00-470F-BD66-7436A61FCA97}"/>
    <cellStyle name="Normal 3 4 13" xfId="6564" xr:uid="{7F2621C0-4F0B-4F05-B831-3C539A6F7F75}"/>
    <cellStyle name="Normal 3 4 13 2" xfId="8123" xr:uid="{E80110D2-A367-4FD6-AC40-7622ADEF3250}"/>
    <cellStyle name="Normal 3 4 14" xfId="7373" xr:uid="{E4802D67-CAE4-4583-BC8A-2D74AA63E983}"/>
    <cellStyle name="Normal 3 4 15" xfId="4769" xr:uid="{B967C9AA-1FD9-4AD9-A1B9-63EA32302B26}"/>
    <cellStyle name="Normal 3 4 16" xfId="3880" xr:uid="{C890C961-EB0D-4D60-85C5-9AE47AC8ABD0}"/>
    <cellStyle name="Normal 3 4 2" xfId="2851" xr:uid="{00000000-0005-0000-0000-000026090000}"/>
    <cellStyle name="Normal 3 4 2 10" xfId="7390" xr:uid="{0FF89FA2-4749-432D-BDA0-A8914AC85823}"/>
    <cellStyle name="Normal 3 4 2 11" xfId="4897" xr:uid="{D3965E3A-3D2B-4E86-A16E-B08D644C947D}"/>
    <cellStyle name="Normal 3 4 2 12" xfId="3955" xr:uid="{7B429D35-0CCB-406B-95C2-0D9836F3A72D}"/>
    <cellStyle name="Normal 3 4 2 2" xfId="2898" xr:uid="{00000000-0005-0000-0000-000026090000}"/>
    <cellStyle name="Normal 3 4 2 2 2" xfId="2999" xr:uid="{00000000-0005-0000-0000-0000D7090000}"/>
    <cellStyle name="Normal 3 4 2 2 2 2" xfId="3715" xr:uid="{FE98608C-B330-47EB-A78E-B8DAF82BC8DC}"/>
    <cellStyle name="Normal 3 4 2 2 2 2 2" xfId="8702" xr:uid="{1B7E6823-B852-4BFE-9FE0-824B2CCC979F}"/>
    <cellStyle name="Normal 3 4 2 2 2 2 3" xfId="7952" xr:uid="{F341C5AE-9B1B-41E0-B11E-66AF4482B581}"/>
    <cellStyle name="Normal 3 4 2 2 2 2 4" xfId="7190" xr:uid="{90CCE531-F30B-4D1E-907B-B667D27EDE2A}"/>
    <cellStyle name="Normal 3 4 2 2 2 2 5" xfId="4567" xr:uid="{16456F26-6439-4DB2-99E6-441E5992D185}"/>
    <cellStyle name="Normal 3 4 2 2 2 3" xfId="6711" xr:uid="{69E6359D-6037-4E26-BC74-586E97848B83}"/>
    <cellStyle name="Normal 3 4 2 2 2 3 2" xfId="8270" xr:uid="{9E8AEE6E-1735-4742-A9C8-F1714CCE524B}"/>
    <cellStyle name="Normal 3 4 2 2 2 4" xfId="7520" xr:uid="{88D359CC-F7C4-4CC2-BB28-5C5745D4F753}"/>
    <cellStyle name="Normal 3 4 2 2 2 5" xfId="6388" xr:uid="{ABAC18A0-5146-4C12-A6CB-50EFC3A499AA}"/>
    <cellStyle name="Normal 3 4 2 2 2 6" xfId="4291" xr:uid="{7700B3F1-89DD-4603-B26E-DE36934AE1D5}"/>
    <cellStyle name="Normal 3 4 2 2 3" xfId="3614" xr:uid="{03739CA0-8F19-4B85-902B-9737E191ACBB}"/>
    <cellStyle name="Normal 3 4 2 2 3 2" xfId="8464" xr:uid="{31CFB65B-9EC7-496E-BFFD-7B9F4094BCB4}"/>
    <cellStyle name="Normal 3 4 2 2 3 3" xfId="7714" xr:uid="{26DAD3ED-39C8-422D-B4A7-6BA4E68955AB}"/>
    <cellStyle name="Normal 3 4 2 2 3 4" xfId="6945" xr:uid="{A9A8A616-EAE6-4485-BCE8-497DFB4C2038}"/>
    <cellStyle name="Normal 3 4 2 2 3 5" xfId="4482" xr:uid="{0316D85D-6ED1-4467-AA5C-B03D3CBF6CDF}"/>
    <cellStyle name="Normal 3 4 2 2 4" xfId="4206" xr:uid="{238A3FED-54FB-42CE-A6F5-EB799A494A90}"/>
    <cellStyle name="Normal 3 4 2 2 4 2" xfId="8185" xr:uid="{330CA10A-0E63-42A3-BD04-35ACFCE1CE61}"/>
    <cellStyle name="Normal 3 4 2 2 4 3" xfId="6626" xr:uid="{D2264BE6-1E43-455A-9347-28DCEA7AF346}"/>
    <cellStyle name="Normal 3 4 2 2 5" xfId="7435" xr:uid="{32ECBB33-CAA4-4834-B92D-A5BD8931C4F1}"/>
    <cellStyle name="Normal 3 4 2 2 6" xfId="4951" xr:uid="{A00A9B4E-23FB-4400-9E8F-FF15D8D5DAEC}"/>
    <cellStyle name="Normal 3 4 2 2 7" xfId="4068" xr:uid="{B83FC6C3-28D2-49B3-B7E8-612A9B076754}"/>
    <cellStyle name="Normal 3 4 2 3" xfId="3443" xr:uid="{00000000-0005-0000-0000-0000D8090000}"/>
    <cellStyle name="Normal 3 4 2 3 2" xfId="3755" xr:uid="{CE0091F9-CC09-47FE-AAAB-68E7435C6A15}"/>
    <cellStyle name="Normal 3 4 2 3 2 2" xfId="7239" xr:uid="{8865F96E-BC8A-4240-BB27-6A6868AFE175}"/>
    <cellStyle name="Normal 3 4 2 3 2 2 2" xfId="8751" xr:uid="{4D16FDD3-CC76-4E36-9DAD-834CA03E6407}"/>
    <cellStyle name="Normal 3 4 2 3 2 3" xfId="8001" xr:uid="{D8B13DAE-AF2F-45F0-AD39-42566312DDFB}"/>
    <cellStyle name="Normal 3 4 2 3 2 4" xfId="6438" xr:uid="{F79BE142-6383-4C2A-8C32-EA5DC188F278}"/>
    <cellStyle name="Normal 3 4 2 3 2 5" xfId="4607" xr:uid="{85A44B5C-144F-4FA5-AD80-C6735C114CA1}"/>
    <cellStyle name="Normal 3 4 2 3 3" xfId="6994" xr:uid="{4CB54954-1AF1-4C9A-9BCC-4C3051CD7EED}"/>
    <cellStyle name="Normal 3 4 2 3 3 2" xfId="8513" xr:uid="{ADFC7415-FB3F-429B-9BAA-8CD955F3F5DF}"/>
    <cellStyle name="Normal 3 4 2 3 3 3" xfId="7763" xr:uid="{1C1C9195-8367-493B-980B-DBF4D0D09874}"/>
    <cellStyle name="Normal 3 4 2 3 4" xfId="6752" xr:uid="{EFEC6EF6-CF46-4C2E-89C4-B7D1C28213BD}"/>
    <cellStyle name="Normal 3 4 2 3 4 2" xfId="8310" xr:uid="{1C8D7CB2-CE04-4354-A8F4-C91A445091FB}"/>
    <cellStyle name="Normal 3 4 2 3 5" xfId="7560" xr:uid="{C8ECC487-A807-4724-82E1-57947C320ED6}"/>
    <cellStyle name="Normal 3 4 2 3 6" xfId="5000" xr:uid="{89187FDB-5554-4A67-8B8C-09013D8B8F77}"/>
    <cellStyle name="Normal 3 4 2 3 7" xfId="4331" xr:uid="{2C8F0433-30A8-4826-AE54-6F1D1D7129FD}"/>
    <cellStyle name="Normal 3 4 2 4" xfId="2943" xr:uid="{00000000-0005-0000-0000-0000D6090000}"/>
    <cellStyle name="Normal 3 4 2 4 2" xfId="3659" xr:uid="{DE0B998A-2A80-4D90-92CE-A6825D7F319D}"/>
    <cellStyle name="Normal 3 4 2 4 2 2" xfId="7280" xr:uid="{F4D6B4BA-5B79-47FB-9F2D-B0EC96F2CCC4}"/>
    <cellStyle name="Normal 3 4 2 4 2 2 2" xfId="8792" xr:uid="{D39F61E2-2CB3-4215-8ECE-2C023FCB8D51}"/>
    <cellStyle name="Normal 3 4 2 4 2 3" xfId="8042" xr:uid="{E437EB60-58D6-4BB7-A8AA-8E5A1FCA840C}"/>
    <cellStyle name="Normal 3 4 2 4 2 4" xfId="6479" xr:uid="{7AF6398B-95A1-4E79-BFE5-BE3C274D74F3}"/>
    <cellStyle name="Normal 3 4 2 4 2 5" xfId="4527" xr:uid="{5414A2AC-76E7-4D65-8481-F87A9B5D80CC}"/>
    <cellStyle name="Normal 3 4 2 4 3" xfId="7039" xr:uid="{B84F7A7A-BFE4-4CCE-A23B-00E434A2C29C}"/>
    <cellStyle name="Normal 3 4 2 4 3 2" xfId="8558" xr:uid="{09A4C6B5-A69C-45E6-A712-F8DB2841084B}"/>
    <cellStyle name="Normal 3 4 2 4 3 3" xfId="7808" xr:uid="{03A06AE7-7979-4F9C-B3D5-462CFE693CAC}"/>
    <cellStyle name="Normal 3 4 2 4 4" xfId="6671" xr:uid="{B07C2107-45EA-4563-9C02-BA98362153B6}"/>
    <cellStyle name="Normal 3 4 2 4 4 2" xfId="8230" xr:uid="{5F63DAA1-5238-4272-9E3C-8B6E9131C63C}"/>
    <cellStyle name="Normal 3 4 2 4 5" xfId="7480" xr:uid="{6C02C53A-32DF-461B-ADD7-733966D8449C}"/>
    <cellStyle name="Normal 3 4 2 4 6" xfId="5046" xr:uid="{DEAABAD0-1709-4772-ACE1-C238BD2FF0ED}"/>
    <cellStyle name="Normal 3 4 2 4 7" xfId="4251" xr:uid="{39C3B990-FC78-48BC-98C4-CB4EF2AED8E7}"/>
    <cellStyle name="Normal 3 4 2 5" xfId="3514" xr:uid="{AF2788A3-C4DE-40D3-8D28-4A2B0FACC87D}"/>
    <cellStyle name="Normal 3 4 2 5 2" xfId="3808" xr:uid="{5113015F-0BA7-49D2-BD7E-45EA35B62968}"/>
    <cellStyle name="Normal 3 4 2 5 2 2" xfId="8615" xr:uid="{A9231B90-F051-4423-B7BE-CC935DD4FDB8}"/>
    <cellStyle name="Normal 3 4 2 5 2 3" xfId="7099" xr:uid="{D753E10D-942F-41AA-906E-A3FF5D04B4B5}"/>
    <cellStyle name="Normal 3 4 2 5 2 4" xfId="4660" xr:uid="{96FA6B90-458C-46C6-8A19-4DD0CC0901F9}"/>
    <cellStyle name="Normal 3 4 2 5 3" xfId="7865" xr:uid="{E9B83A8A-DBFB-4866-831A-BDF975C27595}"/>
    <cellStyle name="Normal 3 4 2 5 4" xfId="5652" xr:uid="{FC8AA84D-6A8D-43CF-A887-A7E1B00B1803}"/>
    <cellStyle name="Normal 3 4 2 5 5" xfId="4384" xr:uid="{1E223915-6C72-4A0A-B72B-5E8880B63F47}"/>
    <cellStyle name="Normal 3 4 2 6" xfId="3569" xr:uid="{87B45F50-FF4A-433B-953D-0ECE7E58BBC9}"/>
    <cellStyle name="Normal 3 4 2 6 2" xfId="7325" xr:uid="{5EFB3F35-06FC-42B7-87E5-D065455E163F}"/>
    <cellStyle name="Normal 3 4 2 6 2 2" xfId="8837" xr:uid="{AE8A7085-912D-4981-82EA-A2586CE4EB58}"/>
    <cellStyle name="Normal 3 4 2 6 3" xfId="8087" xr:uid="{C835ED35-8324-4DB5-941A-BDF3B4078D08}"/>
    <cellStyle name="Normal 3 4 2 6 4" xfId="6531" xr:uid="{2E2D5AD8-AF1D-4CEF-B812-4D0222DD5C0A}"/>
    <cellStyle name="Normal 3 4 2 6 5" xfId="4437" xr:uid="{3C82C97C-A5A3-4B6D-A16F-02E41065008D}"/>
    <cellStyle name="Normal 3 4 2 7" xfId="3855" xr:uid="{5DBCD8D9-63B1-4288-A6EB-EC76A0C73267}"/>
    <cellStyle name="Normal 3 4 2 7 2" xfId="8418" xr:uid="{80D6D04D-C5A9-4714-BAB8-1AFE38D14939}"/>
    <cellStyle name="Normal 3 4 2 7 3" xfId="7668" xr:uid="{C36C8B42-1D1B-4F66-BE0D-EC66A5D1FEB1}"/>
    <cellStyle name="Normal 3 4 2 7 4" xfId="6899" xr:uid="{9C2F2FB1-C5E1-4D58-B218-01C4CA552E9A}"/>
    <cellStyle name="Normal 3 4 2 7 5" xfId="4707" xr:uid="{B80B43BB-E4EF-4927-A271-B471CF4F5C01}"/>
    <cellStyle name="Normal 3 4 2 8" xfId="4161" xr:uid="{ACC092D7-FED5-4182-92F9-B4993BE3A9A7}"/>
    <cellStyle name="Normal 3 4 2 8 2" xfId="8369" xr:uid="{0485BB3F-9BFF-4AA9-A871-6BA18A34EB6A}"/>
    <cellStyle name="Normal 3 4 2 8 3" xfId="7619" xr:uid="{589281BD-3DCD-46BB-8281-5EC5D6737615}"/>
    <cellStyle name="Normal 3 4 2 8 4" xfId="6830" xr:uid="{93917145-23FE-456D-92EA-878096C560BF}"/>
    <cellStyle name="Normal 3 4 2 9" xfId="6581" xr:uid="{A5A66F45-09C1-473B-B03F-84EAC247222F}"/>
    <cellStyle name="Normal 3 4 2 9 2" xfId="8140" xr:uid="{EFD79D46-DB4E-4E35-81FD-DBF7CA1643CD}"/>
    <cellStyle name="Normal 3 4 3" xfId="2881" xr:uid="{00000000-0005-0000-0000-000025090000}"/>
    <cellStyle name="Normal 3 4 3 2" xfId="2982" xr:uid="{00000000-0005-0000-0000-0000D9090000}"/>
    <cellStyle name="Normal 3 4 3 2 2" xfId="3698" xr:uid="{6DBBE96C-5200-49C1-A2B1-3F3CC5670CFD}"/>
    <cellStyle name="Normal 3 4 3 2 2 2" xfId="8635" xr:uid="{7B91D782-4AB2-42DF-B0CC-1093D75E2414}"/>
    <cellStyle name="Normal 3 4 3 2 2 3" xfId="7885" xr:uid="{187CDEAC-649A-4B33-8391-CA2A0A790362}"/>
    <cellStyle name="Normal 3 4 3 2 2 4" xfId="7119" xr:uid="{8F8E4DB1-AFD4-4390-A4AE-D9AD21018EE4}"/>
    <cellStyle name="Normal 3 4 3 2 2 5" xfId="4550" xr:uid="{644A34C8-9033-4EE8-8EFA-907A82864661}"/>
    <cellStyle name="Normal 3 4 3 2 3" xfId="4274" xr:uid="{7F7DAA6D-A2C3-4283-BF1A-351BC32549BE}"/>
    <cellStyle name="Normal 3 4 3 2 3 2" xfId="8253" xr:uid="{8D9676D7-AC8D-4F30-9CC6-62E880DCE12C}"/>
    <cellStyle name="Normal 3 4 3 2 3 3" xfId="6694" xr:uid="{CAC30D65-DF13-4E59-863F-08DE858C6CA2}"/>
    <cellStyle name="Normal 3 4 3 2 4" xfId="7503" xr:uid="{04679A8B-68F1-4A3A-BECD-0253452A3FAA}"/>
    <cellStyle name="Normal 3 4 3 2 5" xfId="5703" xr:uid="{F6034D93-0B27-4E4D-8FC1-3DE717B33692}"/>
    <cellStyle name="Normal 3 4 3 2 6" xfId="4098" xr:uid="{786DFF92-7814-41AB-8D3C-328C8360C249}"/>
    <cellStyle name="Normal 3 4 3 3" xfId="3597" xr:uid="{2D404B01-41D5-470A-A315-5D99D7B89E30}"/>
    <cellStyle name="Normal 3 4 3 3 2" xfId="8441" xr:uid="{076BF3C2-A32F-4971-84D4-978501C5951A}"/>
    <cellStyle name="Normal 3 4 3 3 3" xfId="7691" xr:uid="{3F35BC54-BC0E-431E-8A7C-6971EC5B1095}"/>
    <cellStyle name="Normal 3 4 3 3 4" xfId="6922" xr:uid="{EAC8605C-1B2C-4279-8206-BDC8BAF6B2CA}"/>
    <cellStyle name="Normal 3 4 3 3 5" xfId="4465" xr:uid="{5383FFAB-8D24-4565-8DF8-50BCE5360F71}"/>
    <cellStyle name="Normal 3 4 3 4" xfId="4189" xr:uid="{670E5CDB-643B-46B0-A4E9-BB52D27714FE}"/>
    <cellStyle name="Normal 3 4 3 4 2" xfId="8168" xr:uid="{76371075-8332-4F38-AE17-1B197050D80C}"/>
    <cellStyle name="Normal 3 4 3 4 3" xfId="6609" xr:uid="{813CEDAC-D1E3-4923-A482-9F1FFC22B446}"/>
    <cellStyle name="Normal 3 4 3 5" xfId="7418" xr:uid="{3BE33212-7BB0-4356-832F-03870527A996}"/>
    <cellStyle name="Normal 3 4 3 6" xfId="4928" xr:uid="{CFC54373-D88B-44CB-9235-AC5747DF4098}"/>
    <cellStyle name="Normal 3 4 3 7" xfId="3980" xr:uid="{A6E9BE99-C577-42AD-9D67-A1690E60DBF7}"/>
    <cellStyle name="Normal 3 4 4" xfId="3419" xr:uid="{00000000-0005-0000-0000-0000DA090000}"/>
    <cellStyle name="Normal 3 4 4 2" xfId="3738" xr:uid="{A7DF2718-20FA-42A8-A0E4-5EAA428827BD}"/>
    <cellStyle name="Normal 3 4 4 2 2" xfId="4590" xr:uid="{FD9BCCBE-2CF4-4AA7-9C5B-DC38A5D9AE57}"/>
    <cellStyle name="Normal 3 4 4 2 2 2" xfId="8653" xr:uid="{36DA6A6F-CCF7-42A4-AA03-5C32A20E2653}"/>
    <cellStyle name="Normal 3 4 4 2 2 3" xfId="7140" xr:uid="{F19402B9-E024-4284-BB6D-5E367B3BCD57}"/>
    <cellStyle name="Normal 3 4 4 2 3" xfId="7903" xr:uid="{07A40A88-5911-4858-BAF6-E9BA8E005CFD}"/>
    <cellStyle name="Normal 3 4 4 2 4" xfId="6229" xr:uid="{D0DBC7E5-8022-4DE9-8D3A-067622992585}"/>
    <cellStyle name="Normal 3 4 4 2 5" xfId="4110" xr:uid="{5A69D69D-CD55-4C8D-8B60-6842161E73B6}"/>
    <cellStyle name="Normal 3 4 4 3" xfId="4314" xr:uid="{22509180-61E5-46B8-BE87-7E2988EEF35A}"/>
    <cellStyle name="Normal 3 4 4 3 2" xfId="8490" xr:uid="{09B05821-2712-4BC6-BCB4-94488CC31D94}"/>
    <cellStyle name="Normal 3 4 4 3 3" xfId="7740" xr:uid="{0644101C-2120-4FF4-8347-E21CD1351148}"/>
    <cellStyle name="Normal 3 4 4 3 4" xfId="6971" xr:uid="{AB47516A-13D6-4995-A1D2-969C444D2964}"/>
    <cellStyle name="Normal 3 4 4 4" xfId="6735" xr:uid="{4CE7F284-6A58-4FE8-AD88-D8CBABBAC9A6}"/>
    <cellStyle name="Normal 3 4 4 4 2" xfId="8293" xr:uid="{1756FFEE-FC85-431D-9B6B-74258B8016F6}"/>
    <cellStyle name="Normal 3 4 4 5" xfId="7543" xr:uid="{9A99E825-1AF5-46B0-B4AF-63D5356828E0}"/>
    <cellStyle name="Normal 3 4 4 6" xfId="4977" xr:uid="{61584C7A-6E32-472F-8D5C-87C08ABE9A21}"/>
    <cellStyle name="Normal 3 4 4 7" xfId="4001" xr:uid="{A3864612-C203-42C0-BD57-09EB287D7597}"/>
    <cellStyle name="Normal 3 4 5" xfId="2926" xr:uid="{00000000-0005-0000-0000-0000D5090000}"/>
    <cellStyle name="Normal 3 4 5 2" xfId="3642" xr:uid="{04473B66-ACC4-49AC-8994-E73B757D981B}"/>
    <cellStyle name="Normal 3 4 5 2 2" xfId="7156" xr:uid="{B9649672-BE19-466F-89C4-637D53AEC19E}"/>
    <cellStyle name="Normal 3 4 5 2 2 2" xfId="8669" xr:uid="{B68D9821-5B7D-4223-9AA7-023D3CB3842E}"/>
    <cellStyle name="Normal 3 4 5 2 3" xfId="7919" xr:uid="{CEE863D4-F750-4AFC-93BB-AA0BB7280FCB}"/>
    <cellStyle name="Normal 3 4 5 2 4" xfId="6336" xr:uid="{6DD6FB67-521C-4E57-B390-D7F7F534CC67}"/>
    <cellStyle name="Normal 3 4 5 2 5" xfId="4510" xr:uid="{0C266301-95DC-441F-AAA4-A735B0486BF5}"/>
    <cellStyle name="Normal 3 4 5 3" xfId="4234" xr:uid="{EEDAC213-7456-4BD6-9162-9A786FE4A8AE}"/>
    <cellStyle name="Normal 3 4 5 3 2" xfId="8541" xr:uid="{4F8E21DA-2B0B-4B97-8424-252ED861F789}"/>
    <cellStyle name="Normal 3 4 5 3 3" xfId="7791" xr:uid="{729A3033-F18D-40C2-87E3-EBECB09F2ED4}"/>
    <cellStyle name="Normal 3 4 5 3 4" xfId="7022" xr:uid="{B005B28F-443A-4176-A05D-5DB448EC0201}"/>
    <cellStyle name="Normal 3 4 5 4" xfId="6654" xr:uid="{E7642B26-C4B3-4C87-A66D-074ECD488654}"/>
    <cellStyle name="Normal 3 4 5 4 2" xfId="8213" xr:uid="{9F3CAA83-0383-4B7A-90AA-029194EA91BD}"/>
    <cellStyle name="Normal 3 4 5 5" xfId="7463" xr:uid="{AA0DE2A5-6677-41C4-92FC-5493D1803F75}"/>
    <cellStyle name="Normal 3 4 5 6" xfId="5029" xr:uid="{130017F5-9F06-49B3-B55B-DAC8AE008CC5}"/>
    <cellStyle name="Normal 3 4 5 7" xfId="4046" xr:uid="{FC2A207D-0E2B-41AA-B46C-5A7FD702F069}"/>
    <cellStyle name="Normal 3 4 6" xfId="3497" xr:uid="{BC98AE6E-B75F-4893-A87B-352D62ECCAFD}"/>
    <cellStyle name="Normal 3 4 6 2" xfId="3791" xr:uid="{82DB0711-225B-4724-BF4F-8D6351B24C8E}"/>
    <cellStyle name="Normal 3 4 6 2 2" xfId="8594" xr:uid="{00E31C11-4F35-4AC4-9FC1-7FD9A524798B}"/>
    <cellStyle name="Normal 3 4 6 2 3" xfId="7076" xr:uid="{19015658-5A19-4D96-A735-3EE8B94872B0}"/>
    <cellStyle name="Normal 3 4 6 2 4" xfId="4643" xr:uid="{BF444103-2A61-4366-9F43-88CA487BC378}"/>
    <cellStyle name="Normal 3 4 6 3" xfId="7844" xr:uid="{001DBAB0-0219-44A7-9310-24223A2FDE71}"/>
    <cellStyle name="Normal 3 4 6 4" xfId="5508" xr:uid="{ED8033D6-B296-4816-A91F-8D55AB0B0745}"/>
    <cellStyle name="Normal 3 4 6 5" xfId="4367" xr:uid="{29538046-DF29-4B68-A04C-24F397C4FF55}"/>
    <cellStyle name="Normal 3 4 7" xfId="3552" xr:uid="{402117AE-3D55-4B6F-A93E-0E549CC6E0FA}"/>
    <cellStyle name="Normal 3 4 7 2" xfId="7177" xr:uid="{25ED0029-AC2C-4821-8935-4DC3F27F35CE}"/>
    <cellStyle name="Normal 3 4 7 2 2" xfId="8690" xr:uid="{E58E98F3-9725-487C-B984-229616636704}"/>
    <cellStyle name="Normal 3 4 7 3" xfId="7940" xr:uid="{779E0854-C2DE-4EC8-A46D-9062084237DD}"/>
    <cellStyle name="Normal 3 4 7 4" xfId="6375" xr:uid="{15BB301B-B115-4821-B9E9-0476ADF2426B}"/>
    <cellStyle name="Normal 3 4 7 5" xfId="4420" xr:uid="{90964ED1-EAE0-47B3-87D1-246C555B6C5D}"/>
    <cellStyle name="Normal 3 4 8" xfId="3838" xr:uid="{62642E7C-A4D9-45C0-AE19-C57F27A65315}"/>
    <cellStyle name="Normal 3 4 8 2" xfId="7223" xr:uid="{87A0001A-CF2E-4226-B5D8-E00459D2F396}"/>
    <cellStyle name="Normal 3 4 8 2 2" xfId="8735" xr:uid="{FC982100-D593-4C86-84FB-E2AD89A7504D}"/>
    <cellStyle name="Normal 3 4 8 3" xfId="7985" xr:uid="{3E82CF0A-E5F1-44FD-9E31-10E7BC36F73B}"/>
    <cellStyle name="Normal 3 4 8 4" xfId="6422" xr:uid="{E9EB5202-74C0-445A-AD37-17D2B14A4C26}"/>
    <cellStyle name="Normal 3 4 8 5" xfId="4690" xr:uid="{6A336665-C632-4883-AD03-AEC6614B3336}"/>
    <cellStyle name="Normal 3 4 9" xfId="4144" xr:uid="{69EB5340-2A35-49F4-A800-9469D5F0D20E}"/>
    <cellStyle name="Normal 3 4 9 2" xfId="7264" xr:uid="{21BEB3BE-844D-4012-A460-3E9552DBED1C}"/>
    <cellStyle name="Normal 3 4 9 2 2" xfId="8776" xr:uid="{9AE5F33D-DBCE-4FC6-999C-36D95F82CE17}"/>
    <cellStyle name="Normal 3 4 9 3" xfId="8026" xr:uid="{ED837327-1AF2-431D-8D3F-0A3F7D7CB505}"/>
    <cellStyle name="Normal 3 4 9 4" xfId="6463" xr:uid="{122D5490-0351-4361-910E-DB93FDE5FB45}"/>
    <cellStyle name="Normal 3 5" xfId="2536" xr:uid="{00000000-0005-0000-0000-000027090000}"/>
    <cellStyle name="Normal 3 5 10" xfId="6875" xr:uid="{73B12CDD-E65C-4D03-ACDA-D39E819C8C82}"/>
    <cellStyle name="Normal 3 5 10 2" xfId="8399" xr:uid="{2A0202CC-1379-4A00-8EFD-5A4961D47949}"/>
    <cellStyle name="Normal 3 5 10 3" xfId="7649" xr:uid="{FFE5C888-2255-4D28-9214-31C4454D8AB6}"/>
    <cellStyle name="Normal 3 5 11" xfId="6816" xr:uid="{46B504FD-BE68-4ABF-9DFA-F6E08AAEB933}"/>
    <cellStyle name="Normal 3 5 11 2" xfId="8356" xr:uid="{DF0ACC9C-093D-4BDC-AD2E-BEDBF4BED6E6}"/>
    <cellStyle name="Normal 3 5 11 3" xfId="7606" xr:uid="{5FF200C3-7B23-47E9-B1D9-BA7BF4332378}"/>
    <cellStyle name="Normal 3 5 12" xfId="6568" xr:uid="{DC7A3B4D-E7E1-4C51-8B1A-807198EB59DB}"/>
    <cellStyle name="Normal 3 5 12 2" xfId="8127" xr:uid="{44B5D59D-CE9A-4EA3-85AE-57BC627F3429}"/>
    <cellStyle name="Normal 3 5 13" xfId="7377" xr:uid="{0C6F77DD-6186-47E8-AF1F-A9590C2D9685}"/>
    <cellStyle name="Normal 3 5 14" xfId="4773" xr:uid="{863F362D-F58D-495A-B83B-19E7C61C7F70}"/>
    <cellStyle name="Normal 3 5 15" xfId="3961" xr:uid="{6DDC3018-BD54-4180-8941-A3BB1DACE307}"/>
    <cellStyle name="Normal 3 5 2" xfId="2855" xr:uid="{00000000-0005-0000-0000-000028090000}"/>
    <cellStyle name="Normal 3 5 2 10" xfId="7394" xr:uid="{CE465482-5551-44B3-AB90-3E854FC4CAD6}"/>
    <cellStyle name="Normal 3 5 2 11" xfId="4909" xr:uid="{F620BC09-95AE-4C67-9DA1-76E4C5D4C9DA}"/>
    <cellStyle name="Normal 3 5 2 12" xfId="3984" xr:uid="{D9FD4C6E-6E8B-44E9-89C8-CE00DDC2899F}"/>
    <cellStyle name="Normal 3 5 2 2" xfId="2902" xr:uid="{00000000-0005-0000-0000-000028090000}"/>
    <cellStyle name="Normal 3 5 2 2 2" xfId="3003" xr:uid="{00000000-0005-0000-0000-0000DD090000}"/>
    <cellStyle name="Normal 3 5 2 2 2 2" xfId="3719" xr:uid="{7C582BA8-2B69-4F5D-9FBB-889837E6CD47}"/>
    <cellStyle name="Normal 3 5 2 2 2 2 2" xfId="8706" xr:uid="{CB6BC188-22D6-4A3C-B668-9A30CFDDF5C5}"/>
    <cellStyle name="Normal 3 5 2 2 2 2 3" xfId="7956" xr:uid="{D49BEEBD-B894-4DA5-98D9-C9B1D74F448F}"/>
    <cellStyle name="Normal 3 5 2 2 2 2 4" xfId="7194" xr:uid="{8A041D0A-3540-4E7F-BD4F-D671F143CD32}"/>
    <cellStyle name="Normal 3 5 2 2 2 2 5" xfId="4571" xr:uid="{40ABE85B-842E-4C07-ACFD-3406DF306464}"/>
    <cellStyle name="Normal 3 5 2 2 2 3" xfId="6715" xr:uid="{6E3FC0A4-E8FD-4C89-BAAA-14EB85ED4488}"/>
    <cellStyle name="Normal 3 5 2 2 2 3 2" xfId="8274" xr:uid="{EC1B095A-1A31-483A-8DE1-FC3A0C1DE47A}"/>
    <cellStyle name="Normal 3 5 2 2 2 4" xfId="7524" xr:uid="{E29D7DC4-85A7-4944-AE0C-1CD594878A73}"/>
    <cellStyle name="Normal 3 5 2 2 2 5" xfId="6392" xr:uid="{DC26BE42-A8EB-4F1B-9ABF-BFDF0402B63B}"/>
    <cellStyle name="Normal 3 5 2 2 2 6" xfId="4295" xr:uid="{5A6F0E02-6CFB-4ADA-96F8-6787CD2746C6}"/>
    <cellStyle name="Normal 3 5 2 2 3" xfId="3618" xr:uid="{DE985D48-0759-4BA8-B9B3-12C472C6F696}"/>
    <cellStyle name="Normal 3 5 2 2 3 2" xfId="8468" xr:uid="{E20249B6-7077-4496-8D25-454B4F9A697C}"/>
    <cellStyle name="Normal 3 5 2 2 3 3" xfId="7718" xr:uid="{B2B39933-C27E-41B9-A883-C8B0AC5644B5}"/>
    <cellStyle name="Normal 3 5 2 2 3 4" xfId="6949" xr:uid="{C44A99CF-4F6E-4A04-A6F3-5B3BCFAF2528}"/>
    <cellStyle name="Normal 3 5 2 2 3 5" xfId="4486" xr:uid="{FEB8B6D4-E8D8-41E7-9B86-28E0789831BB}"/>
    <cellStyle name="Normal 3 5 2 2 4" xfId="4210" xr:uid="{DC47FB35-6AB9-4154-AD5F-BAB7FA2E6175}"/>
    <cellStyle name="Normal 3 5 2 2 4 2" xfId="8189" xr:uid="{C1D3C0BA-EE0E-4673-82C8-2EE71941579F}"/>
    <cellStyle name="Normal 3 5 2 2 4 3" xfId="6630" xr:uid="{06D2047D-4354-4A08-AC55-1FF2C7FD6F43}"/>
    <cellStyle name="Normal 3 5 2 2 5" xfId="7439" xr:uid="{5956517F-9375-412B-817F-82D9C15A07E3}"/>
    <cellStyle name="Normal 3 5 2 2 6" xfId="4955" xr:uid="{C5893B62-133D-4C4B-BCE7-41B5A4030D42}"/>
    <cellStyle name="Normal 3 5 2 2 7" xfId="4072" xr:uid="{75A24AC6-7618-4CCC-8496-4B0D2E1A0A0D}"/>
    <cellStyle name="Normal 3 5 2 3" xfId="3447" xr:uid="{00000000-0005-0000-0000-0000DE090000}"/>
    <cellStyle name="Normal 3 5 2 3 2" xfId="3759" xr:uid="{5F424D15-9A58-4C39-B1B9-9D56D7C78B1D}"/>
    <cellStyle name="Normal 3 5 2 3 2 2" xfId="7243" xr:uid="{0F34BB0C-4A99-4FA9-80CF-65A68DACA466}"/>
    <cellStyle name="Normal 3 5 2 3 2 2 2" xfId="8755" xr:uid="{B4B30E6E-E57E-4702-A572-78276C086B96}"/>
    <cellStyle name="Normal 3 5 2 3 2 3" xfId="8005" xr:uid="{71631A38-D066-40B5-AFBA-997B5678FEEB}"/>
    <cellStyle name="Normal 3 5 2 3 2 4" xfId="6442" xr:uid="{123EB60D-46B7-43DC-9FF0-9E0E10B47019}"/>
    <cellStyle name="Normal 3 5 2 3 2 5" xfId="4611" xr:uid="{08F56DFF-3950-41A5-8A88-DC6425038381}"/>
    <cellStyle name="Normal 3 5 2 3 3" xfId="6998" xr:uid="{E6EC9F85-A870-4BBB-8C73-512BAA6B3202}"/>
    <cellStyle name="Normal 3 5 2 3 3 2" xfId="8517" xr:uid="{BBA81E32-B9E6-488B-AA96-B0E57F6E2EB0}"/>
    <cellStyle name="Normal 3 5 2 3 3 3" xfId="7767" xr:uid="{1076DE47-9AD1-4B0B-865C-F3F5D47E5DE1}"/>
    <cellStyle name="Normal 3 5 2 3 4" xfId="6756" xr:uid="{E469C586-975C-46F9-A148-12A8B129821F}"/>
    <cellStyle name="Normal 3 5 2 3 4 2" xfId="8314" xr:uid="{E29E3A72-6B21-43D1-8B32-483762E7A461}"/>
    <cellStyle name="Normal 3 5 2 3 5" xfId="7564" xr:uid="{B9D71F6C-61DF-4F3D-9080-E3C1DFF90161}"/>
    <cellStyle name="Normal 3 5 2 3 6" xfId="5004" xr:uid="{3D7A4068-6D94-4CAE-B7F1-0BDA73A3C36D}"/>
    <cellStyle name="Normal 3 5 2 3 7" xfId="4335" xr:uid="{019F835D-3C2E-48B4-B9B7-5134C56A0799}"/>
    <cellStyle name="Normal 3 5 2 4" xfId="2947" xr:uid="{00000000-0005-0000-0000-0000DC090000}"/>
    <cellStyle name="Normal 3 5 2 4 2" xfId="3663" xr:uid="{8575A0F5-8B5C-45CC-A2AA-59A2F11EF006}"/>
    <cellStyle name="Normal 3 5 2 4 2 2" xfId="7283" xr:uid="{28C78E8E-3CF1-4F53-8151-DA9EAEC9CAEA}"/>
    <cellStyle name="Normal 3 5 2 4 2 2 2" xfId="8795" xr:uid="{3E7FC277-3C77-46F2-BDD6-A676C6CB4481}"/>
    <cellStyle name="Normal 3 5 2 4 2 3" xfId="8045" xr:uid="{DE8953AD-D292-46AA-8B12-3213EF21A376}"/>
    <cellStyle name="Normal 3 5 2 4 2 4" xfId="6482" xr:uid="{B80907AB-71DF-415E-A0F6-95902FFC5487}"/>
    <cellStyle name="Normal 3 5 2 4 2 5" xfId="4531" xr:uid="{2998C66E-CF0E-43F1-B5C0-F5115C5168EF}"/>
    <cellStyle name="Normal 3 5 2 4 3" xfId="7043" xr:uid="{0AEBD598-955B-47E3-90B2-59E5881D7261}"/>
    <cellStyle name="Normal 3 5 2 4 3 2" xfId="8562" xr:uid="{0F9C666D-EAD9-4EB4-80BD-69768D9C6E69}"/>
    <cellStyle name="Normal 3 5 2 4 3 3" xfId="7812" xr:uid="{0C14EF72-6B0E-4A7E-BC86-A567ED1338CE}"/>
    <cellStyle name="Normal 3 5 2 4 4" xfId="6675" xr:uid="{C9ED281D-CA75-499D-AC33-F320BFB5846B}"/>
    <cellStyle name="Normal 3 5 2 4 4 2" xfId="8234" xr:uid="{2C3A2047-3DCA-4F28-AC64-A6BD48B92307}"/>
    <cellStyle name="Normal 3 5 2 4 5" xfId="7484" xr:uid="{2B83981C-77E7-45B4-B093-85B3CB14567C}"/>
    <cellStyle name="Normal 3 5 2 4 6" xfId="5050" xr:uid="{4D2DC7BF-53E7-49F8-8777-D291AF4EF2D7}"/>
    <cellStyle name="Normal 3 5 2 4 7" xfId="4255" xr:uid="{667767EA-5F6F-4AC4-B068-D47C15F78797}"/>
    <cellStyle name="Normal 3 5 2 5" xfId="3518" xr:uid="{E0141A5F-8F4E-4EFA-ABBC-FE7E3ED11D9E}"/>
    <cellStyle name="Normal 3 5 2 5 2" xfId="3812" xr:uid="{4F8B03E8-4E9A-4392-A860-659CCFAD26CD}"/>
    <cellStyle name="Normal 3 5 2 5 2 2" xfId="8619" xr:uid="{FD66B7C2-49C8-46CB-A2D4-EF62C664FE53}"/>
    <cellStyle name="Normal 3 5 2 5 2 3" xfId="7103" xr:uid="{08BF8FC2-4AF2-4289-9869-1695183506CB}"/>
    <cellStyle name="Normal 3 5 2 5 2 4" xfId="4664" xr:uid="{FAB530F9-54D0-41DD-9B57-A180CDB93E75}"/>
    <cellStyle name="Normal 3 5 2 5 3" xfId="7869" xr:uid="{D5B1EBBA-60D3-436C-A88F-318E775F262F}"/>
    <cellStyle name="Normal 3 5 2 5 4" xfId="5656" xr:uid="{CEC7F200-4248-4BBA-B072-9ED6DC49628E}"/>
    <cellStyle name="Normal 3 5 2 5 5" xfId="4388" xr:uid="{FE3EE5D7-0F41-48A9-B948-5F04E7721507}"/>
    <cellStyle name="Normal 3 5 2 6" xfId="3573" xr:uid="{89EDA659-9574-4517-953A-0A4A402AA203}"/>
    <cellStyle name="Normal 3 5 2 6 2" xfId="7329" xr:uid="{8BA1E844-BB0B-4FF4-B59B-E456568C504F}"/>
    <cellStyle name="Normal 3 5 2 6 2 2" xfId="8841" xr:uid="{0F392B65-0DC4-488F-A7B2-77A975BAB066}"/>
    <cellStyle name="Normal 3 5 2 6 3" xfId="8091" xr:uid="{284FB947-F548-4933-AA39-86D5EEF4EDE8}"/>
    <cellStyle name="Normal 3 5 2 6 4" xfId="6535" xr:uid="{1D44CCAC-CB9D-4859-A876-0900EF443320}"/>
    <cellStyle name="Normal 3 5 2 6 5" xfId="4441" xr:uid="{A2D058B5-F2A7-4E52-815F-5BAC192D18F4}"/>
    <cellStyle name="Normal 3 5 2 7" xfId="3859" xr:uid="{062ECE8D-547F-42BB-AB71-0CB70D63746A}"/>
    <cellStyle name="Normal 3 5 2 7 2" xfId="8422" xr:uid="{0DF7D740-6C31-4DD6-ABAD-2BAE0F389286}"/>
    <cellStyle name="Normal 3 5 2 7 3" xfId="7672" xr:uid="{86551CE5-B11E-4B1E-90BC-066374496EEF}"/>
    <cellStyle name="Normal 3 5 2 7 4" xfId="6903" xr:uid="{81A3919E-D901-4DF6-9861-115ECDD0B16E}"/>
    <cellStyle name="Normal 3 5 2 7 5" xfId="4711" xr:uid="{91081ED7-FA7D-492A-912D-95AC04B116FC}"/>
    <cellStyle name="Normal 3 5 2 8" xfId="4165" xr:uid="{0D932460-0E71-4474-A1EC-CCBEB6D36170}"/>
    <cellStyle name="Normal 3 5 2 8 2" xfId="8373" xr:uid="{62DEF890-C44F-4FE7-BCDB-8ECCF8887226}"/>
    <cellStyle name="Normal 3 5 2 8 3" xfId="7623" xr:uid="{FEFDC661-BDED-48BE-9F1D-A2CBB8A7F9F1}"/>
    <cellStyle name="Normal 3 5 2 8 4" xfId="6834" xr:uid="{291FDD5F-CEBB-4C7E-B2F7-F90608887AD0}"/>
    <cellStyle name="Normal 3 5 2 9" xfId="6585" xr:uid="{CCEDBA3C-2D29-4BFC-A59A-1DC2FE833A6F}"/>
    <cellStyle name="Normal 3 5 2 9 2" xfId="8144" xr:uid="{F9A96445-B145-4964-8B82-25A4725CCC08}"/>
    <cellStyle name="Normal 3 5 3" xfId="2885" xr:uid="{00000000-0005-0000-0000-000027090000}"/>
    <cellStyle name="Normal 3 5 3 2" xfId="2986" xr:uid="{00000000-0005-0000-0000-0000DF090000}"/>
    <cellStyle name="Normal 3 5 3 2 2" xfId="3702" xr:uid="{DFD4A49F-0E1B-4478-914C-14682B514904}"/>
    <cellStyle name="Normal 3 5 3 2 2 2" xfId="8639" xr:uid="{02EDBE1B-3FA6-4553-A0C8-82EFF485C213}"/>
    <cellStyle name="Normal 3 5 3 2 2 3" xfId="7889" xr:uid="{3BBC928A-4A04-4A3A-A802-6414E5EFF1C1}"/>
    <cellStyle name="Normal 3 5 3 2 2 4" xfId="7124" xr:uid="{819CAC9A-D439-4317-84A5-8CB27E0BB388}"/>
    <cellStyle name="Normal 3 5 3 2 2 5" xfId="4554" xr:uid="{5AF080C9-A019-4022-B8DB-ADB0B7BCE6D2}"/>
    <cellStyle name="Normal 3 5 3 2 3" xfId="4278" xr:uid="{159B0F88-DE59-4045-B57F-1E40B189033F}"/>
    <cellStyle name="Normal 3 5 3 2 3 2" xfId="8257" xr:uid="{B5569015-CBA9-47BE-812C-8F72D3B29CA0}"/>
    <cellStyle name="Normal 3 5 3 2 3 3" xfId="6698" xr:uid="{B7D773EB-B3F3-45CC-9550-01BE7D215683}"/>
    <cellStyle name="Normal 3 5 3 2 4" xfId="7507" xr:uid="{00747CF9-306C-40CA-8CA2-2E251C40F9C9}"/>
    <cellStyle name="Normal 3 5 3 2 5" xfId="5709" xr:uid="{7A585788-E777-4F84-BABB-88023804E9F1}"/>
    <cellStyle name="Normal 3 5 3 2 6" xfId="4114" xr:uid="{CB78586A-3D5B-4FC7-B85B-388CDE1973D7}"/>
    <cellStyle name="Normal 3 5 3 3" xfId="3601" xr:uid="{30753671-6F00-4491-924C-341783DD9AA4}"/>
    <cellStyle name="Normal 3 5 3 3 2" xfId="8445" xr:uid="{101E0C94-71FE-46D0-B58C-806F72BDB82F}"/>
    <cellStyle name="Normal 3 5 3 3 3" xfId="7695" xr:uid="{D0DA3AC6-83CF-4B02-9339-6290F143829A}"/>
    <cellStyle name="Normal 3 5 3 3 4" xfId="6926" xr:uid="{438768A8-E223-4866-9E5A-A02443759B6D}"/>
    <cellStyle name="Normal 3 5 3 3 5" xfId="4469" xr:uid="{32E53C7F-F75B-4930-823E-187258700EC7}"/>
    <cellStyle name="Normal 3 5 3 4" xfId="4193" xr:uid="{52C77EEB-1D86-4E78-9D4F-7642B21D1AF0}"/>
    <cellStyle name="Normal 3 5 3 4 2" xfId="8172" xr:uid="{A596BC32-81A9-4894-B05F-E0EAA4262F01}"/>
    <cellStyle name="Normal 3 5 3 4 3" xfId="6613" xr:uid="{C934C255-2F48-48DE-8813-41B07C24151D}"/>
    <cellStyle name="Normal 3 5 3 5" xfId="7422" xr:uid="{7C0F883C-189C-48D9-BB6D-D33FB6E586BD}"/>
    <cellStyle name="Normal 3 5 3 6" xfId="4932" xr:uid="{AF327273-3F26-4E60-BB51-21658C7C4E08}"/>
    <cellStyle name="Normal 3 5 3 7" xfId="4005" xr:uid="{0D2A192A-8561-417E-8974-9FC5F970533E}"/>
    <cellStyle name="Normal 3 5 4" xfId="3429" xr:uid="{00000000-0005-0000-0000-0000E0090000}"/>
    <cellStyle name="Normal 3 5 4 2" xfId="3742" xr:uid="{4640B1C1-260E-4D2E-B672-E20A5BA52293}"/>
    <cellStyle name="Normal 3 5 4 2 2" xfId="7144" xr:uid="{565A9FBE-CF30-4D72-AA07-6B43E7250D9B}"/>
    <cellStyle name="Normal 3 5 4 2 2 2" xfId="8657" xr:uid="{EB660F47-BC94-4371-AABE-BE61638FCA77}"/>
    <cellStyle name="Normal 3 5 4 2 3" xfId="7907" xr:uid="{F7274049-FE07-4C08-89C4-57835E886397}"/>
    <cellStyle name="Normal 3 5 4 2 4" xfId="6287" xr:uid="{50030988-A8BD-47EE-BDCF-097B373A2A26}"/>
    <cellStyle name="Normal 3 5 4 2 5" xfId="4594" xr:uid="{8B405C34-482D-487B-AD68-36F39F3AE435}"/>
    <cellStyle name="Normal 3 5 4 3" xfId="4318" xr:uid="{815D09F9-C8E8-49D7-BA91-2447A44CA65F}"/>
    <cellStyle name="Normal 3 5 4 3 2" xfId="8494" xr:uid="{9BFD1BDC-8482-4BE0-BBCC-FA86B7BEA3A8}"/>
    <cellStyle name="Normal 3 5 4 3 3" xfId="7744" xr:uid="{851AB048-ED95-4EC1-9B9F-17040C51F3F2}"/>
    <cellStyle name="Normal 3 5 4 3 4" xfId="6975" xr:uid="{17391920-757A-4030-9F95-0629039BBCD9}"/>
    <cellStyle name="Normal 3 5 4 4" xfId="6739" xr:uid="{3EC0954C-B85B-4655-906D-8455B4A9FF22}"/>
    <cellStyle name="Normal 3 5 4 4 2" xfId="8297" xr:uid="{3492342C-A55D-49A2-A4BF-971FEF3D8B06}"/>
    <cellStyle name="Normal 3 5 4 5" xfId="7547" xr:uid="{B93FC650-7BA3-4510-85F9-3E7A5B4865D0}"/>
    <cellStyle name="Normal 3 5 4 6" xfId="4981" xr:uid="{1E5E5A8A-D520-48D4-9E7F-107168E96FA1}"/>
    <cellStyle name="Normal 3 5 4 7" xfId="4050" xr:uid="{A0DFEC14-E718-43B3-83DA-90736905ECEC}"/>
    <cellStyle name="Normal 3 5 5" xfId="2930" xr:uid="{00000000-0005-0000-0000-0000DB090000}"/>
    <cellStyle name="Normal 3 5 5 2" xfId="3646" xr:uid="{12192EAA-7195-48FE-BD77-C687A5FBD0D1}"/>
    <cellStyle name="Normal 3 5 5 2 2" xfId="7160" xr:uid="{835D70BA-46D4-45D9-8DB2-109F8BB91446}"/>
    <cellStyle name="Normal 3 5 5 2 2 2" xfId="8673" xr:uid="{9E862357-0AE1-4D3B-B18F-8640B8E5E0A7}"/>
    <cellStyle name="Normal 3 5 5 2 3" xfId="7923" xr:uid="{2670176F-5862-4FBF-9C67-1EF73F043A71}"/>
    <cellStyle name="Normal 3 5 5 2 4" xfId="6340" xr:uid="{25DAE22C-52BC-4FC1-8442-28E67CBC4BAC}"/>
    <cellStyle name="Normal 3 5 5 2 5" xfId="4514" xr:uid="{EB7D6E6B-2E52-45F3-A27B-1E4ABD601840}"/>
    <cellStyle name="Normal 3 5 5 3" xfId="7026" xr:uid="{29016955-CD8E-4D65-96BC-03B0B533C368}"/>
    <cellStyle name="Normal 3 5 5 3 2" xfId="8545" xr:uid="{2FB82E7C-67FB-47AA-851D-28DC28EED47A}"/>
    <cellStyle name="Normal 3 5 5 3 3" xfId="7795" xr:uid="{4511D393-3499-4ED9-B694-955711AE88FE}"/>
    <cellStyle name="Normal 3 5 5 4" xfId="6658" xr:uid="{068190F6-BDFC-45AE-AD10-E1A885EBFC2D}"/>
    <cellStyle name="Normal 3 5 5 4 2" xfId="8217" xr:uid="{75218075-1A0D-4D28-A5AC-A71783E720CB}"/>
    <cellStyle name="Normal 3 5 5 5" xfId="7467" xr:uid="{FED9DD5F-72D8-4F5F-B466-12B1861BC875}"/>
    <cellStyle name="Normal 3 5 5 6" xfId="5033" xr:uid="{AD9B6010-6674-4046-8A7E-D1ECF028C600}"/>
    <cellStyle name="Normal 3 5 5 7" xfId="4238" xr:uid="{0B85C515-128D-45D7-B739-621E368EF04A}"/>
    <cellStyle name="Normal 3 5 6" xfId="3501" xr:uid="{0A36FFDF-FE03-4F5C-A4AA-F0CCBA4EDF3D}"/>
    <cellStyle name="Normal 3 5 6 2" xfId="3795" xr:uid="{0DE04A21-E834-4E92-8EC8-97E3AAB902BB}"/>
    <cellStyle name="Normal 3 5 6 2 2" xfId="8601" xr:uid="{35ED0009-5E7E-4E07-A6A3-CE471498E3D9}"/>
    <cellStyle name="Normal 3 5 6 2 3" xfId="7084" xr:uid="{BC839BFB-A5AF-4CD6-96F3-2435C736DDD5}"/>
    <cellStyle name="Normal 3 5 6 2 4" xfId="4647" xr:uid="{83ABE48C-9D49-4A04-A382-3789358589EA}"/>
    <cellStyle name="Normal 3 5 6 3" xfId="7851" xr:uid="{6EF9FBD2-B549-4B7E-80D3-02C4002E13C0}"/>
    <cellStyle name="Normal 3 5 6 4" xfId="5563" xr:uid="{728D8163-3E15-483C-8692-3AC144684CB5}"/>
    <cellStyle name="Normal 3 5 6 5" xfId="4371" xr:uid="{3950C04A-C509-4F71-86F5-43FD1C7C347C}"/>
    <cellStyle name="Normal 3 5 7" xfId="3556" xr:uid="{026F1E95-0912-4AAA-B0E9-FFD85FE406BC}"/>
    <cellStyle name="Normal 3 5 7 2" xfId="7227" xr:uid="{987A3819-E70C-4F6F-B5DF-F94383532560}"/>
    <cellStyle name="Normal 3 5 7 2 2" xfId="8739" xr:uid="{5ECE0ACA-12A4-419D-93A8-A1564D121CB5}"/>
    <cellStyle name="Normal 3 5 7 3" xfId="7989" xr:uid="{51C16D7E-72DB-4E73-AD1C-8D13D63436B9}"/>
    <cellStyle name="Normal 3 5 7 4" xfId="6426" xr:uid="{01B246AF-1F1D-49B7-B8BB-C08700D0C9E1}"/>
    <cellStyle name="Normal 3 5 7 5" xfId="4424" xr:uid="{CBA934D6-B7A5-49F2-872E-35579C5B915E}"/>
    <cellStyle name="Normal 3 5 8" xfId="3842" xr:uid="{A4763176-9A9A-4C44-8F92-631C9FDCC808}"/>
    <cellStyle name="Normal 3 5 8 2" xfId="7268" xr:uid="{3EB4A9FB-32B0-43D8-A071-82973991FC3B}"/>
    <cellStyle name="Normal 3 5 8 2 2" xfId="8780" xr:uid="{FED200AA-4105-4C5F-9003-79DDD3E6E313}"/>
    <cellStyle name="Normal 3 5 8 3" xfId="8030" xr:uid="{534BE7C8-9696-4035-B45D-F8A00DB9123F}"/>
    <cellStyle name="Normal 3 5 8 4" xfId="6467" xr:uid="{52ED6767-0AF5-40DD-9326-C1BC90E1DFB7}"/>
    <cellStyle name="Normal 3 5 8 5" xfId="4694" xr:uid="{85F9A220-C2A9-45AB-883E-8471D0F05293}"/>
    <cellStyle name="Normal 3 5 9" xfId="4148" xr:uid="{AD12A803-8452-4B38-BF30-D5EAF84B6F06}"/>
    <cellStyle name="Normal 3 5 9 2" xfId="7312" xr:uid="{B8C4D8D5-C8DB-4F81-A7AB-21906639E074}"/>
    <cellStyle name="Normal 3 5 9 2 2" xfId="8824" xr:uid="{E0969F04-3177-4A94-836F-9A85E487E93E}"/>
    <cellStyle name="Normal 3 5 9 3" xfId="8074" xr:uid="{A883DFFA-DEF4-4498-9C4A-7D2D4C585FB6}"/>
    <cellStyle name="Normal 3 5 9 4" xfId="6518" xr:uid="{46D2EDBB-9E4D-4535-9C0E-7E32ED0B9EEF}"/>
    <cellStyle name="Normal 3 6" xfId="2539" xr:uid="{00000000-0005-0000-0000-000029090000}"/>
    <cellStyle name="Normal 3 6 10" xfId="6877" xr:uid="{0FDE95B2-CA20-42DE-B5F5-6B9712AABA57}"/>
    <cellStyle name="Normal 3 6 10 2" xfId="8401" xr:uid="{DA422E89-D004-49C2-A7FB-13900D5B05CD}"/>
    <cellStyle name="Normal 3 6 10 3" xfId="7651" xr:uid="{5C5399FD-AC3C-431A-917F-916AD25316D0}"/>
    <cellStyle name="Normal 3 6 11" xfId="6818" xr:uid="{A8CC15BD-234D-4B21-8000-FCC965236270}"/>
    <cellStyle name="Normal 3 6 11 2" xfId="8358" xr:uid="{6953BD69-ACD7-4680-80F4-76A35C6BD612}"/>
    <cellStyle name="Normal 3 6 11 3" xfId="7608" xr:uid="{12113ACD-A088-4766-A317-5BEF9F6132DA}"/>
    <cellStyle name="Normal 3 6 12" xfId="6570" xr:uid="{E7DA735A-84A7-4CFF-BC3A-751EB3CFC902}"/>
    <cellStyle name="Normal 3 6 12 2" xfId="8129" xr:uid="{82FC5C27-4979-4582-A7F3-82BC3FE917B4}"/>
    <cellStyle name="Normal 3 6 13" xfId="7379" xr:uid="{AF225747-04C4-44EA-BE67-AA4AD003D960}"/>
    <cellStyle name="Normal 3 6 14" xfId="4775" xr:uid="{DFB10D9A-07FA-4BA9-89B4-35E615C8246A}"/>
    <cellStyle name="Normal 3 6 15" xfId="3964" xr:uid="{B8CB292D-726F-4041-B655-68FA8C5013D2}"/>
    <cellStyle name="Normal 3 6 2" xfId="2857" xr:uid="{00000000-0005-0000-0000-00002A090000}"/>
    <cellStyle name="Normal 3 6 2 10" xfId="7396" xr:uid="{22480B9A-7A22-4986-B13F-F13324443FBC}"/>
    <cellStyle name="Normal 3 6 2 11" xfId="4911" xr:uid="{D95D275F-C2FF-4A49-8CC0-C9A90378CD7B}"/>
    <cellStyle name="Normal 3 6 2 12" xfId="3986" xr:uid="{635D2180-21E4-4235-8E08-85044C6330E3}"/>
    <cellStyle name="Normal 3 6 2 2" xfId="2904" xr:uid="{00000000-0005-0000-0000-00002A090000}"/>
    <cellStyle name="Normal 3 6 2 2 2" xfId="3005" xr:uid="{00000000-0005-0000-0000-0000E3090000}"/>
    <cellStyle name="Normal 3 6 2 2 2 2" xfId="3721" xr:uid="{FD2B1695-38AC-4B4A-BCA3-E9BC4C585458}"/>
    <cellStyle name="Normal 3 6 2 2 2 2 2" xfId="8708" xr:uid="{6617CD16-8136-4A01-BEA9-70D0FD7F01C3}"/>
    <cellStyle name="Normal 3 6 2 2 2 2 3" xfId="7958" xr:uid="{2348B7D0-EDE8-477E-AEC3-6B63716D5190}"/>
    <cellStyle name="Normal 3 6 2 2 2 2 4" xfId="7196" xr:uid="{A13D04E3-A5D2-4EB2-BE78-C61F0C1252D2}"/>
    <cellStyle name="Normal 3 6 2 2 2 2 5" xfId="4573" xr:uid="{C6676DCD-0E80-49EF-BC06-DB269C8560A4}"/>
    <cellStyle name="Normal 3 6 2 2 2 3" xfId="6717" xr:uid="{0D18B3F4-87FD-48A2-AEF6-FD2DDC2E1177}"/>
    <cellStyle name="Normal 3 6 2 2 2 3 2" xfId="8276" xr:uid="{F6F71A1B-3A34-46D0-9438-F6CB63829892}"/>
    <cellStyle name="Normal 3 6 2 2 2 4" xfId="7526" xr:uid="{B8DD81A3-5B82-4AD4-A20C-CD6088951265}"/>
    <cellStyle name="Normal 3 6 2 2 2 5" xfId="6394" xr:uid="{F1BEDD45-17C0-44D7-AB29-B6678A737568}"/>
    <cellStyle name="Normal 3 6 2 2 2 6" xfId="4297" xr:uid="{06E8E3F9-C6A3-4E9D-9905-A8DAD428CF0C}"/>
    <cellStyle name="Normal 3 6 2 2 3" xfId="3620" xr:uid="{1F54802A-E416-419B-8D75-EB2741B33C94}"/>
    <cellStyle name="Normal 3 6 2 2 3 2" xfId="8470" xr:uid="{9291EBFC-355B-43F4-B078-C1F07BCCC87D}"/>
    <cellStyle name="Normal 3 6 2 2 3 3" xfId="7720" xr:uid="{67DD3553-5F72-412B-A877-DBC47CC77AAB}"/>
    <cellStyle name="Normal 3 6 2 2 3 4" xfId="6951" xr:uid="{244834BA-1A70-41A9-A57C-78A64BEB0F55}"/>
    <cellStyle name="Normal 3 6 2 2 3 5" xfId="4488" xr:uid="{A64A4461-6066-4D6E-AE55-A1DC61110F6B}"/>
    <cellStyle name="Normal 3 6 2 2 4" xfId="4212" xr:uid="{BB026EB1-6918-4AF4-A25D-06DCA9C522DF}"/>
    <cellStyle name="Normal 3 6 2 2 4 2" xfId="8191" xr:uid="{CC0D4DD9-D5DD-4C28-978B-BB9A501109F1}"/>
    <cellStyle name="Normal 3 6 2 2 4 3" xfId="6632" xr:uid="{A01E7BCC-0257-4132-ABC6-54C098F62D29}"/>
    <cellStyle name="Normal 3 6 2 2 5" xfId="7441" xr:uid="{7BFA1B5F-BB21-4FDA-B44D-D7D6EEB22EF3}"/>
    <cellStyle name="Normal 3 6 2 2 6" xfId="4957" xr:uid="{EE3D1CCA-049F-4E84-B5B6-08C5B8C1912E}"/>
    <cellStyle name="Normal 3 6 2 2 7" xfId="4074" xr:uid="{8991F891-549C-4383-956E-6DBD5CFFD21D}"/>
    <cellStyle name="Normal 3 6 2 3" xfId="3449" xr:uid="{00000000-0005-0000-0000-0000E4090000}"/>
    <cellStyle name="Normal 3 6 2 3 2" xfId="3761" xr:uid="{1A0EE167-16A7-4A8C-A0BB-E7398965DCBE}"/>
    <cellStyle name="Normal 3 6 2 3 2 2" xfId="7245" xr:uid="{230FD107-79F1-4FC8-9372-09489C462240}"/>
    <cellStyle name="Normal 3 6 2 3 2 2 2" xfId="8757" xr:uid="{A473CCE2-0B57-4F8D-8856-C510047CDEF0}"/>
    <cellStyle name="Normal 3 6 2 3 2 3" xfId="8007" xr:uid="{DF15E131-E027-4F31-9217-6312E742D73E}"/>
    <cellStyle name="Normal 3 6 2 3 2 4" xfId="6444" xr:uid="{E20E091A-A731-4604-826A-A876145BF769}"/>
    <cellStyle name="Normal 3 6 2 3 2 5" xfId="4613" xr:uid="{CD91E44E-8096-48B2-A4CA-19CDCF306C97}"/>
    <cellStyle name="Normal 3 6 2 3 3" xfId="7000" xr:uid="{ED1930DB-7E2D-4F7A-9061-CB3AC2BF2DB3}"/>
    <cellStyle name="Normal 3 6 2 3 3 2" xfId="8519" xr:uid="{A1A62737-6158-4E2D-ABCF-8D1C75949C7E}"/>
    <cellStyle name="Normal 3 6 2 3 3 3" xfId="7769" xr:uid="{270F5322-4268-492D-B5FE-75DB756DD87A}"/>
    <cellStyle name="Normal 3 6 2 3 4" xfId="6758" xr:uid="{8C1F4CD8-D74F-4D64-AB71-AEDA2E51E425}"/>
    <cellStyle name="Normal 3 6 2 3 4 2" xfId="8316" xr:uid="{47D28EC4-C625-442B-BD5D-48921561B55E}"/>
    <cellStyle name="Normal 3 6 2 3 5" xfId="7566" xr:uid="{26C31829-759B-4E09-AF0A-04BB4ADCBB79}"/>
    <cellStyle name="Normal 3 6 2 3 6" xfId="5006" xr:uid="{7F5C314B-5244-4E05-8B55-F22E92F10DA5}"/>
    <cellStyle name="Normal 3 6 2 3 7" xfId="4337" xr:uid="{BE5AA852-D19E-4B06-B72F-15E72C288C9C}"/>
    <cellStyle name="Normal 3 6 2 4" xfId="2949" xr:uid="{00000000-0005-0000-0000-0000E2090000}"/>
    <cellStyle name="Normal 3 6 2 4 2" xfId="3665" xr:uid="{D6F300E8-768D-4CFF-B44D-E1B1A4547148}"/>
    <cellStyle name="Normal 3 6 2 4 2 2" xfId="7285" xr:uid="{FC9DCB36-5284-403E-BF7D-DA00B28E32F1}"/>
    <cellStyle name="Normal 3 6 2 4 2 2 2" xfId="8797" xr:uid="{612AB8D2-5AFC-4889-8265-32177CD5EA0E}"/>
    <cellStyle name="Normal 3 6 2 4 2 3" xfId="8047" xr:uid="{DE7242DD-99E2-4B78-930C-9FF75628796E}"/>
    <cellStyle name="Normal 3 6 2 4 2 4" xfId="6484" xr:uid="{4FF279D2-07BE-4097-9922-55A136BA7F90}"/>
    <cellStyle name="Normal 3 6 2 4 2 5" xfId="4533" xr:uid="{95EF7A27-BA9E-4A68-956C-8916925A349C}"/>
    <cellStyle name="Normal 3 6 2 4 3" xfId="7045" xr:uid="{FA52713A-24FC-4711-B4D1-DE9805FBBF8A}"/>
    <cellStyle name="Normal 3 6 2 4 3 2" xfId="8564" xr:uid="{459B7D15-648A-4AA7-A4DD-2DE48C9DBF32}"/>
    <cellStyle name="Normal 3 6 2 4 3 3" xfId="7814" xr:uid="{95A1830E-8C52-4ADD-8152-224BECD2A0CC}"/>
    <cellStyle name="Normal 3 6 2 4 4" xfId="6677" xr:uid="{80CEDCF1-0247-4EE7-8BE4-F9DA93199A0C}"/>
    <cellStyle name="Normal 3 6 2 4 4 2" xfId="8236" xr:uid="{5135700E-741B-409B-9AA2-37AC31DAED1A}"/>
    <cellStyle name="Normal 3 6 2 4 5" xfId="7486" xr:uid="{3A44F4E2-55AB-4A7E-AA5D-F8302E0B8D47}"/>
    <cellStyle name="Normal 3 6 2 4 6" xfId="5052" xr:uid="{7B4BE82D-0D59-4720-BA1F-7A299F28DEAB}"/>
    <cellStyle name="Normal 3 6 2 4 7" xfId="4257" xr:uid="{00F53AC5-842B-4BF5-9030-257F4AFB9DBE}"/>
    <cellStyle name="Normal 3 6 2 5" xfId="3520" xr:uid="{5A2C6C22-0E76-4DB4-9D0F-1B6E2A2CA1A5}"/>
    <cellStyle name="Normal 3 6 2 5 2" xfId="3814" xr:uid="{BCF557A9-C09F-42D1-B12C-E1560E5863CA}"/>
    <cellStyle name="Normal 3 6 2 5 2 2" xfId="8621" xr:uid="{1C9D44E3-F1C0-497B-A1AC-625158BB12C8}"/>
    <cellStyle name="Normal 3 6 2 5 2 3" xfId="7105" xr:uid="{9646AF35-5D2F-4BDB-8D44-C95153851E0F}"/>
    <cellStyle name="Normal 3 6 2 5 2 4" xfId="4666" xr:uid="{FCE244C6-6366-434E-B05F-56ECC98FD435}"/>
    <cellStyle name="Normal 3 6 2 5 3" xfId="7871" xr:uid="{983372F7-72AB-4A60-8FEB-BF97F1A67EFE}"/>
    <cellStyle name="Normal 3 6 2 5 4" xfId="5658" xr:uid="{D87EAC09-A209-480A-9645-041379F0153E}"/>
    <cellStyle name="Normal 3 6 2 5 5" xfId="4390" xr:uid="{A1D0B73E-87B1-4186-94EB-942C1C6F4071}"/>
    <cellStyle name="Normal 3 6 2 6" xfId="3575" xr:uid="{46D09A35-9FF2-4AB1-B724-FF37D021B241}"/>
    <cellStyle name="Normal 3 6 2 6 2" xfId="7331" xr:uid="{03DBC52F-446B-4F57-A96D-792A3F39BF0D}"/>
    <cellStyle name="Normal 3 6 2 6 2 2" xfId="8843" xr:uid="{7B1469F6-70F7-45D9-BBEA-7911EDCD9FA6}"/>
    <cellStyle name="Normal 3 6 2 6 3" xfId="8093" xr:uid="{828C48C6-B015-44BF-A27E-BD1EAA0E4B3B}"/>
    <cellStyle name="Normal 3 6 2 6 4" xfId="6537" xr:uid="{355B3656-C32B-4EB1-92D5-890DF288DD7A}"/>
    <cellStyle name="Normal 3 6 2 6 5" xfId="4443" xr:uid="{9A19EC67-69F1-48AD-AE0C-05C15656D7FC}"/>
    <cellStyle name="Normal 3 6 2 7" xfId="3861" xr:uid="{36F45DC8-BC38-4345-9857-B704026E2080}"/>
    <cellStyle name="Normal 3 6 2 7 2" xfId="8424" xr:uid="{7F22453B-332E-4ED7-BEE4-715907B7D0ED}"/>
    <cellStyle name="Normal 3 6 2 7 3" xfId="7674" xr:uid="{3E1C6906-C367-47C7-A941-816213776D46}"/>
    <cellStyle name="Normal 3 6 2 7 4" xfId="6905" xr:uid="{A84442D0-B9DC-4CE4-AE1D-99696BEE55CA}"/>
    <cellStyle name="Normal 3 6 2 7 5" xfId="4713" xr:uid="{B91F8AA9-D9E2-4DE6-9065-E895AA9B7E55}"/>
    <cellStyle name="Normal 3 6 2 8" xfId="4167" xr:uid="{A7E49ED8-841A-48B4-B9E0-A0C55ED9A729}"/>
    <cellStyle name="Normal 3 6 2 8 2" xfId="8375" xr:uid="{082B4A44-9A71-47B3-BD98-6FB8B5CFD5C7}"/>
    <cellStyle name="Normal 3 6 2 8 3" xfId="7625" xr:uid="{3A0BFDF7-2901-4C87-B9BF-CCBDA1925313}"/>
    <cellStyle name="Normal 3 6 2 8 4" xfId="6836" xr:uid="{38CA0CB4-2B7E-4F28-BC2E-FD44EF4E65BE}"/>
    <cellStyle name="Normal 3 6 2 9" xfId="6587" xr:uid="{4D6B98B8-08A4-42E6-B027-8805509373D0}"/>
    <cellStyle name="Normal 3 6 2 9 2" xfId="8146" xr:uid="{91AD9760-8ED1-439A-89AF-71C1E0902E98}"/>
    <cellStyle name="Normal 3 6 3" xfId="2887" xr:uid="{00000000-0005-0000-0000-000029090000}"/>
    <cellStyle name="Normal 3 6 3 2" xfId="2988" xr:uid="{00000000-0005-0000-0000-0000E5090000}"/>
    <cellStyle name="Normal 3 6 3 2 2" xfId="3704" xr:uid="{8C11DD68-D18A-443F-A5D3-E51FEABFB835}"/>
    <cellStyle name="Normal 3 6 3 2 2 2" xfId="8641" xr:uid="{19ADD9DE-FDDD-42E6-9D0F-E1A28FC5E951}"/>
    <cellStyle name="Normal 3 6 3 2 2 3" xfId="7891" xr:uid="{815D4336-94B4-4C44-89D7-9C3C42DE2581}"/>
    <cellStyle name="Normal 3 6 3 2 2 4" xfId="7126" xr:uid="{184AFB8A-765D-4C80-A92C-526D0256A38F}"/>
    <cellStyle name="Normal 3 6 3 2 2 5" xfId="4556" xr:uid="{0648C34A-8E06-4E5E-BAD9-46C3437EFAAA}"/>
    <cellStyle name="Normal 3 6 3 2 3" xfId="4280" xr:uid="{8E99ECCE-C2A0-4E90-9654-1A15DCE7C7DA}"/>
    <cellStyle name="Normal 3 6 3 2 3 2" xfId="8259" xr:uid="{B2C15FC5-4A0C-494E-9ACD-D505808A931B}"/>
    <cellStyle name="Normal 3 6 3 2 3 3" xfId="6700" xr:uid="{F7323B97-F612-4C73-9797-19CB8CB082D4}"/>
    <cellStyle name="Normal 3 6 3 2 4" xfId="7509" xr:uid="{E97A56F9-875F-45DC-812C-88F4293C8185}"/>
    <cellStyle name="Normal 3 6 3 2 5" xfId="5711" xr:uid="{F4041250-A483-4CEB-89A3-782712EB3855}"/>
    <cellStyle name="Normal 3 6 3 2 6" xfId="4116" xr:uid="{D8BC393B-F02A-4889-BB03-B212F08846F2}"/>
    <cellStyle name="Normal 3 6 3 3" xfId="3603" xr:uid="{282EA97D-A91F-4471-A1BF-8090B727040B}"/>
    <cellStyle name="Normal 3 6 3 3 2" xfId="8447" xr:uid="{549A1C3D-F318-4B73-8278-39944107636F}"/>
    <cellStyle name="Normal 3 6 3 3 3" xfId="7697" xr:uid="{26292048-84B0-4030-A200-CB0C784B9E5F}"/>
    <cellStyle name="Normal 3 6 3 3 4" xfId="6928" xr:uid="{3534D567-7D0B-4BCE-BD48-EC208BC40DDA}"/>
    <cellStyle name="Normal 3 6 3 3 5" xfId="4471" xr:uid="{9B5E296C-8477-45A1-A693-68468534B68E}"/>
    <cellStyle name="Normal 3 6 3 4" xfId="4195" xr:uid="{79A14D03-9C54-461A-83EF-3CA600D16889}"/>
    <cellStyle name="Normal 3 6 3 4 2" xfId="8174" xr:uid="{32AD943B-176D-4046-B4AF-3B39588A113B}"/>
    <cellStyle name="Normal 3 6 3 4 3" xfId="6615" xr:uid="{B85C5D45-B9F3-4EEE-9F8A-648B3AF43E84}"/>
    <cellStyle name="Normal 3 6 3 5" xfId="7424" xr:uid="{BD55BF2F-3768-4938-B67C-9C9A30D61C56}"/>
    <cellStyle name="Normal 3 6 3 6" xfId="4934" xr:uid="{47704649-6349-4C69-8B12-4B01EFE6AB13}"/>
    <cellStyle name="Normal 3 6 3 7" xfId="4007" xr:uid="{31484214-FB12-447B-AF2A-669AB2F32919}"/>
    <cellStyle name="Normal 3 6 4" xfId="3431" xr:uid="{00000000-0005-0000-0000-0000E6090000}"/>
    <cellStyle name="Normal 3 6 4 2" xfId="3744" xr:uid="{39B91C96-23DD-41C4-B8D2-2ED9855E6945}"/>
    <cellStyle name="Normal 3 6 4 2 2" xfId="7146" xr:uid="{0E949783-0DA8-4C01-9ACF-941E8C544370}"/>
    <cellStyle name="Normal 3 6 4 2 2 2" xfId="8659" xr:uid="{65E79D60-47C0-467F-970A-F8BD160DCC81}"/>
    <cellStyle name="Normal 3 6 4 2 3" xfId="7909" xr:uid="{B14C8F1C-FD14-40E1-ACB2-151C7D654A4C}"/>
    <cellStyle name="Normal 3 6 4 2 4" xfId="6289" xr:uid="{11794DE0-F4F2-44F2-A22D-51A2E4EA29E5}"/>
    <cellStyle name="Normal 3 6 4 2 5" xfId="4596" xr:uid="{81C44F08-9F46-4CD5-9F09-3ACAC53DDA60}"/>
    <cellStyle name="Normal 3 6 4 3" xfId="4320" xr:uid="{829E81CC-BE05-430C-9561-16631253CBF5}"/>
    <cellStyle name="Normal 3 6 4 3 2" xfId="8496" xr:uid="{6D8EF681-D9EE-4FB5-8421-34FC0E5FA9F8}"/>
    <cellStyle name="Normal 3 6 4 3 3" xfId="7746" xr:uid="{1D754F13-2825-4435-BC3C-898555D18101}"/>
    <cellStyle name="Normal 3 6 4 3 4" xfId="6977" xr:uid="{8B5AA092-DF52-456E-BB8F-5858FE0116AD}"/>
    <cellStyle name="Normal 3 6 4 4" xfId="6741" xr:uid="{754D558E-92CB-4161-87C8-9394C68E91B8}"/>
    <cellStyle name="Normal 3 6 4 4 2" xfId="8299" xr:uid="{AC88BA3C-53BD-498E-A5DE-BEAACB8A4C43}"/>
    <cellStyle name="Normal 3 6 4 5" xfId="7549" xr:uid="{169E3B74-F063-40CB-A47A-FE7BE3A9B627}"/>
    <cellStyle name="Normal 3 6 4 6" xfId="4983" xr:uid="{2277A704-1A9C-4545-8A41-ABA5247B4094}"/>
    <cellStyle name="Normal 3 6 4 7" xfId="4052" xr:uid="{6B9DA65C-7C35-4942-A17D-B27AC2D0E0F7}"/>
    <cellStyle name="Normal 3 6 5" xfId="2932" xr:uid="{00000000-0005-0000-0000-0000E1090000}"/>
    <cellStyle name="Normal 3 6 5 2" xfId="3648" xr:uid="{2C3A27EC-759E-4463-AE29-B3580151541A}"/>
    <cellStyle name="Normal 3 6 5 2 2" xfId="7162" xr:uid="{E8EB9A4B-FACC-4D03-BC5C-AD7311B6289B}"/>
    <cellStyle name="Normal 3 6 5 2 2 2" xfId="8675" xr:uid="{BE63EFC7-4C58-4317-B9FD-E09E6BA4FACB}"/>
    <cellStyle name="Normal 3 6 5 2 3" xfId="7925" xr:uid="{76E0D53F-4901-49E7-A096-A17F45E8D0AD}"/>
    <cellStyle name="Normal 3 6 5 2 4" xfId="6342" xr:uid="{677A1E25-61E2-40B1-B62C-7497CF4FBFCA}"/>
    <cellStyle name="Normal 3 6 5 2 5" xfId="4516" xr:uid="{466D72FF-A5AD-48CE-82A5-4F633F34C000}"/>
    <cellStyle name="Normal 3 6 5 3" xfId="7028" xr:uid="{CD0ABE72-4C73-4AEB-9B20-13F7EE77E02F}"/>
    <cellStyle name="Normal 3 6 5 3 2" xfId="8547" xr:uid="{F70F71E6-5EC6-42E7-8BF0-2CB1AEBE0EA5}"/>
    <cellStyle name="Normal 3 6 5 3 3" xfId="7797" xr:uid="{4B63D687-8D1C-4F96-B6DB-5D5ED55FBF59}"/>
    <cellStyle name="Normal 3 6 5 4" xfId="6660" xr:uid="{49E5D411-FA24-4BF8-937E-A537C9393C6B}"/>
    <cellStyle name="Normal 3 6 5 4 2" xfId="8219" xr:uid="{0C11B554-3734-47C0-80F7-CD8D93FEEB18}"/>
    <cellStyle name="Normal 3 6 5 5" xfId="7469" xr:uid="{248D31D4-406B-474E-970C-5E22143C32ED}"/>
    <cellStyle name="Normal 3 6 5 6" xfId="5035" xr:uid="{A54255EA-3A22-4A2F-A31B-AF247343D33C}"/>
    <cellStyle name="Normal 3 6 5 7" xfId="4240" xr:uid="{646A1E32-265D-45FF-88C2-CBF181EA24DD}"/>
    <cellStyle name="Normal 3 6 6" xfId="3503" xr:uid="{CBE4066B-F3AC-4B3B-8446-E7B4C0F3AD87}"/>
    <cellStyle name="Normal 3 6 6 2" xfId="3797" xr:uid="{9BB893BD-D82F-43CC-BF63-AB7EBB9CC182}"/>
    <cellStyle name="Normal 3 6 6 2 2" xfId="8603" xr:uid="{07868596-E43D-424F-9630-80E3CC0F25F8}"/>
    <cellStyle name="Normal 3 6 6 2 3" xfId="7086" xr:uid="{481A3DA9-3B69-434E-A209-13DBABC78447}"/>
    <cellStyle name="Normal 3 6 6 2 4" xfId="4649" xr:uid="{85972752-0D62-4908-B3D7-A6E55D2FA229}"/>
    <cellStyle name="Normal 3 6 6 3" xfId="7853" xr:uid="{B1589B50-136C-447E-84B4-79E864B2F790}"/>
    <cellStyle name="Normal 3 6 6 4" xfId="5565" xr:uid="{9395597C-80D8-4220-9181-6D3C95CB0540}"/>
    <cellStyle name="Normal 3 6 6 5" xfId="4373" xr:uid="{192CF525-CC69-4E41-B8E9-CE6B35534302}"/>
    <cellStyle name="Normal 3 6 7" xfId="3558" xr:uid="{DF4F406F-43CB-45EE-923D-1D3301AB5919}"/>
    <cellStyle name="Normal 3 6 7 2" xfId="7229" xr:uid="{771F519D-DB60-445B-A163-80295402E867}"/>
    <cellStyle name="Normal 3 6 7 2 2" xfId="8741" xr:uid="{0E991344-1530-4A19-8EC8-B770F78ADA45}"/>
    <cellStyle name="Normal 3 6 7 3" xfId="7991" xr:uid="{9ADCCE3C-A24C-4F3B-8724-F9C6A2336792}"/>
    <cellStyle name="Normal 3 6 7 4" xfId="6428" xr:uid="{183EAF04-FDF0-4A33-8924-AD4A382DB6B6}"/>
    <cellStyle name="Normal 3 6 7 5" xfId="4426" xr:uid="{BF1DEE7F-80CC-49C9-AE4B-6C3E3C90E3B2}"/>
    <cellStyle name="Normal 3 6 8" xfId="3844" xr:uid="{F61B5A56-3099-4239-A8E1-DE95495C4060}"/>
    <cellStyle name="Normal 3 6 8 2" xfId="7270" xr:uid="{E03A32F4-46A1-4057-AB8E-FC9D2DB103D3}"/>
    <cellStyle name="Normal 3 6 8 2 2" xfId="8782" xr:uid="{3CF51516-456A-4CF1-BE68-83937E2F4100}"/>
    <cellStyle name="Normal 3 6 8 3" xfId="8032" xr:uid="{D8CB82BE-5BD2-47EA-AAFB-CD2F5D3F3ED9}"/>
    <cellStyle name="Normal 3 6 8 4" xfId="6469" xr:uid="{C970262B-90A0-4790-8B96-CBC703DB0307}"/>
    <cellStyle name="Normal 3 6 8 5" xfId="4696" xr:uid="{D8356B14-3F31-4B82-98AE-89EAB03AB70A}"/>
    <cellStyle name="Normal 3 6 9" xfId="4150" xr:uid="{662B8530-BF1B-40B3-AF10-6D715D9EBCEE}"/>
    <cellStyle name="Normal 3 6 9 2" xfId="7314" xr:uid="{9610C48D-6563-46CF-942A-BFF8AED3AD71}"/>
    <cellStyle name="Normal 3 6 9 2 2" xfId="8826" xr:uid="{C53A178C-1889-48CF-8CAF-5455916130CA}"/>
    <cellStyle name="Normal 3 6 9 3" xfId="8076" xr:uid="{A48D7DD8-D539-402F-B3FE-B03F794BC801}"/>
    <cellStyle name="Normal 3 6 9 4" xfId="6520" xr:uid="{F439E1E7-6479-4399-8E6F-ADD87BF751F8}"/>
    <cellStyle name="Normal 3 7" xfId="30" xr:uid="{00000000-0005-0000-0000-00002B090000}"/>
    <cellStyle name="Normal 3 7 10" xfId="6860" xr:uid="{80396FC0-5E68-4FBF-B158-E95A5CDD7B47}"/>
    <cellStyle name="Normal 3 7 10 2" xfId="8390" xr:uid="{AD54D387-0B9D-4F1A-B3F5-7362C6BEEDD7}"/>
    <cellStyle name="Normal 3 7 10 3" xfId="7640" xr:uid="{A3B698B6-4FD7-4D5E-B072-507E3D2B3261}"/>
    <cellStyle name="Normal 3 7 11" xfId="6790" xr:uid="{60526C62-CD84-4BE2-986A-BFD6BEADA96E}"/>
    <cellStyle name="Normal 3 7 11 2" xfId="8347" xr:uid="{FA088ACB-C515-4D15-8537-3A1FADE22294}"/>
    <cellStyle name="Normal 3 7 11 3" xfId="7597" xr:uid="{DD7CEF1C-3A9D-446B-A6AB-DAB5F693AD1C}"/>
    <cellStyle name="Normal 3 7 12" xfId="6559" xr:uid="{41946C11-1CFE-4867-A067-2E405E6E6A9E}"/>
    <cellStyle name="Normal 3 7 12 2" xfId="8118" xr:uid="{687AD85C-F7E3-4A34-8431-967E0472E8E4}"/>
    <cellStyle name="Normal 3 7 13" xfId="7368" xr:uid="{3E932F51-6BC3-42E3-8517-A2E8FAC24543}"/>
    <cellStyle name="Normal 3 7 14" xfId="4738" xr:uid="{7C7BF668-BF59-4088-8E1E-5B493CDEB022}"/>
    <cellStyle name="Normal 3 7 15" xfId="3910" xr:uid="{E0965050-7287-45A7-91FA-FA04493CD1D1}"/>
    <cellStyle name="Normal 3 7 2" xfId="2846" xr:uid="{00000000-0005-0000-0000-00002C090000}"/>
    <cellStyle name="Normal 3 7 2 10" xfId="7385" xr:uid="{F0C3EBF8-318C-4DD9-A254-833307DC2EE3}"/>
    <cellStyle name="Normal 3 7 2 11" xfId="4828" xr:uid="{DAC894F6-96DF-4B42-86DE-6A9CA9AD9C78}"/>
    <cellStyle name="Normal 3 7 2 12" xfId="3974" xr:uid="{0FD6B4FD-ED73-42BD-96FD-27A2C9171212}"/>
    <cellStyle name="Normal 3 7 2 2" xfId="2893" xr:uid="{00000000-0005-0000-0000-00002C090000}"/>
    <cellStyle name="Normal 3 7 2 2 2" xfId="2994" xr:uid="{00000000-0005-0000-0000-0000E9090000}"/>
    <cellStyle name="Normal 3 7 2 2 2 2" xfId="3710" xr:uid="{1FA76C92-9452-4BC3-B732-D02ACCCC97F2}"/>
    <cellStyle name="Normal 3 7 2 2 2 2 2" xfId="8698" xr:uid="{AE9EC632-A306-40AE-8B33-21837B70BE01}"/>
    <cellStyle name="Normal 3 7 2 2 2 2 3" xfId="7948" xr:uid="{B0106997-4D1A-4919-898F-F77B03D728B7}"/>
    <cellStyle name="Normal 3 7 2 2 2 2 4" xfId="7186" xr:uid="{DB5B5261-DF86-4ED5-8DA1-E2D3C570DBD2}"/>
    <cellStyle name="Normal 3 7 2 2 2 2 5" xfId="4562" xr:uid="{4630269D-C6FB-435F-8AD7-AA2928B2F768}"/>
    <cellStyle name="Normal 3 7 2 2 2 3" xfId="6706" xr:uid="{E4AB7F3A-B85F-4C2A-B5AD-2C4C113F5B25}"/>
    <cellStyle name="Normal 3 7 2 2 2 3 2" xfId="8265" xr:uid="{D83B3B79-F6A4-4E1E-B338-AEC9ED0482A5}"/>
    <cellStyle name="Normal 3 7 2 2 2 4" xfId="7515" xr:uid="{EF9874BF-0231-4354-920A-BB5F4F995674}"/>
    <cellStyle name="Normal 3 7 2 2 2 5" xfId="6384" xr:uid="{05051A00-0BC4-49F3-8A8F-DE9869CF639E}"/>
    <cellStyle name="Normal 3 7 2 2 2 6" xfId="4286" xr:uid="{A747970B-DE8D-4B63-879E-FE37FBD819D1}"/>
    <cellStyle name="Normal 3 7 2 2 3" xfId="3609" xr:uid="{89FDE909-D9CD-41FD-83F5-7BBE93345D4E}"/>
    <cellStyle name="Normal 3 7 2 2 3 2" xfId="8459" xr:uid="{7B94C84F-6E8F-481B-BDA7-6ABD82C32CE9}"/>
    <cellStyle name="Normal 3 7 2 2 3 3" xfId="7709" xr:uid="{C62B8578-45F1-49D6-9871-83111DB8E948}"/>
    <cellStyle name="Normal 3 7 2 2 3 4" xfId="6940" xr:uid="{11D93AC7-7725-442C-A7A9-D5E48EC2B2AE}"/>
    <cellStyle name="Normal 3 7 2 2 3 5" xfId="4477" xr:uid="{4E0E2495-1F11-425B-BCFF-EC75D0BE8D36}"/>
    <cellStyle name="Normal 3 7 2 2 4" xfId="4201" xr:uid="{4E138CED-AA27-42F5-9811-1DD6848E93F5}"/>
    <cellStyle name="Normal 3 7 2 2 4 2" xfId="8180" xr:uid="{00230514-192E-472B-A24B-84A4C0EDD5C1}"/>
    <cellStyle name="Normal 3 7 2 2 4 3" xfId="6621" xr:uid="{ACCAA3EA-7EB1-4A64-9D85-4B4EC3AAACC7}"/>
    <cellStyle name="Normal 3 7 2 2 5" xfId="7430" xr:uid="{B896F2E4-32A9-4F03-97A5-4688F0A4F817}"/>
    <cellStyle name="Normal 3 7 2 2 6" xfId="4946" xr:uid="{C613E663-5365-4D01-ABD4-9A1FEE358B93}"/>
    <cellStyle name="Normal 3 7 2 2 7" xfId="4063" xr:uid="{2DA04E5B-C532-4BF5-8E84-01E7694C2C07}"/>
    <cellStyle name="Normal 3 7 2 3" xfId="3438" xr:uid="{00000000-0005-0000-0000-0000EA090000}"/>
    <cellStyle name="Normal 3 7 2 3 2" xfId="3750" xr:uid="{839F007E-51A4-4385-AA3B-CA1D8DD4D49A}"/>
    <cellStyle name="Normal 3 7 2 3 2 2" xfId="7234" xr:uid="{C02C482F-5BBE-4CF2-A349-628D1DDDC6F7}"/>
    <cellStyle name="Normal 3 7 2 3 2 2 2" xfId="8746" xr:uid="{B6F58EDD-EE53-43B7-928D-10CAFBEC6DC2}"/>
    <cellStyle name="Normal 3 7 2 3 2 3" xfId="7996" xr:uid="{9AE6F422-3BBB-4FF2-AA0B-48B10F505515}"/>
    <cellStyle name="Normal 3 7 2 3 2 4" xfId="6433" xr:uid="{FDE61012-0981-4339-86D8-7A996B2AE97A}"/>
    <cellStyle name="Normal 3 7 2 3 2 5" xfId="4602" xr:uid="{643DAF34-8030-4C6A-9A0F-C8688551D3B4}"/>
    <cellStyle name="Normal 3 7 2 3 3" xfId="6989" xr:uid="{6BA3FBAB-3017-482C-AC5D-394CCE514A1E}"/>
    <cellStyle name="Normal 3 7 2 3 3 2" xfId="8508" xr:uid="{A1E4EE11-B229-459A-BBA6-54CDD078C483}"/>
    <cellStyle name="Normal 3 7 2 3 3 3" xfId="7758" xr:uid="{CE51E9E4-52C6-4D21-B887-304BBB91BBA5}"/>
    <cellStyle name="Normal 3 7 2 3 4" xfId="6747" xr:uid="{FCBE8D05-AB13-4BD3-AA6F-84B93CAF5267}"/>
    <cellStyle name="Normal 3 7 2 3 4 2" xfId="8305" xr:uid="{5FEDAAC9-D849-4AAD-921E-0CD083382C78}"/>
    <cellStyle name="Normal 3 7 2 3 5" xfId="7555" xr:uid="{06001243-05BB-437A-8E2C-F524D08E5ED8}"/>
    <cellStyle name="Normal 3 7 2 3 6" xfId="4995" xr:uid="{6669427B-D229-4755-A99F-7380DBB1CDC7}"/>
    <cellStyle name="Normal 3 7 2 3 7" xfId="4326" xr:uid="{0A2CB6D6-2D3B-42F3-B161-69A7D679C31F}"/>
    <cellStyle name="Normal 3 7 2 4" xfId="2938" xr:uid="{00000000-0005-0000-0000-0000E8090000}"/>
    <cellStyle name="Normal 3 7 2 4 2" xfId="3654" xr:uid="{2B85E258-44E9-495C-B1BB-015D136C0FC5}"/>
    <cellStyle name="Normal 3 7 2 4 2 2" xfId="7276" xr:uid="{8E641DA7-9256-4F6D-9C94-8BD0575B68A3}"/>
    <cellStyle name="Normal 3 7 2 4 2 2 2" xfId="8788" xr:uid="{E8DEE0B6-B34A-4824-A24A-1BC1166A7230}"/>
    <cellStyle name="Normal 3 7 2 4 2 3" xfId="8038" xr:uid="{5887AE9B-FC5C-4DCD-969F-0DC04BAC9959}"/>
    <cellStyle name="Normal 3 7 2 4 2 4" xfId="6475" xr:uid="{006AF284-F00D-4BFF-8639-B818A3D9AF94}"/>
    <cellStyle name="Normal 3 7 2 4 2 5" xfId="4522" xr:uid="{8510FE9A-E73E-43F4-BE71-4633BF33F128}"/>
    <cellStyle name="Normal 3 7 2 4 3" xfId="7034" xr:uid="{551E572A-5AD3-42ED-B60E-AEFF2D283FBF}"/>
    <cellStyle name="Normal 3 7 2 4 3 2" xfId="8553" xr:uid="{26ED1BC5-9645-4FEE-848C-8A1DBEFFDDEA}"/>
    <cellStyle name="Normal 3 7 2 4 3 3" xfId="7803" xr:uid="{794A20D7-6167-4901-B55E-2249AAA46225}"/>
    <cellStyle name="Normal 3 7 2 4 4" xfId="6666" xr:uid="{8C6484DA-7FEF-4E49-883C-333A1EE23A5D}"/>
    <cellStyle name="Normal 3 7 2 4 4 2" xfId="8225" xr:uid="{02CC37A8-E807-4CCA-BC77-441FD46EAA34}"/>
    <cellStyle name="Normal 3 7 2 4 5" xfId="7475" xr:uid="{380CAD21-1172-40C3-AA75-334B33AD05B7}"/>
    <cellStyle name="Normal 3 7 2 4 6" xfId="5041" xr:uid="{FFF3A559-30ED-44B8-B241-83035E0F0115}"/>
    <cellStyle name="Normal 3 7 2 4 7" xfId="4246" xr:uid="{80923019-3A2D-4658-98E6-DCA00BC77C10}"/>
    <cellStyle name="Normal 3 7 2 5" xfId="3509" xr:uid="{F3F75F3C-D711-4712-BBE9-7F0917667408}"/>
    <cellStyle name="Normal 3 7 2 5 2" xfId="3803" xr:uid="{F1EF8AA0-AD93-4C0B-96E6-ECD61B8744E1}"/>
    <cellStyle name="Normal 3 7 2 5 2 2" xfId="8610" xr:uid="{5238C217-BD4D-40EF-94AA-4DB9C780F7B0}"/>
    <cellStyle name="Normal 3 7 2 5 2 3" xfId="7094" xr:uid="{2A0116F9-D006-445A-AD0F-627A3143B109}"/>
    <cellStyle name="Normal 3 7 2 5 2 4" xfId="4655" xr:uid="{54862C1D-6B64-47CC-96CE-02E36D1A2622}"/>
    <cellStyle name="Normal 3 7 2 5 3" xfId="7860" xr:uid="{0DA56113-8482-4320-A649-B2D6FC733B7A}"/>
    <cellStyle name="Normal 3 7 2 5 4" xfId="5647" xr:uid="{455DFC12-2861-492F-B361-2DAE55931E44}"/>
    <cellStyle name="Normal 3 7 2 5 5" xfId="4379" xr:uid="{F71C7890-4E62-4014-AA07-257F93E7DE81}"/>
    <cellStyle name="Normal 3 7 2 6" xfId="3564" xr:uid="{9D94B9F5-560D-460F-B879-69329F6C0DA9}"/>
    <cellStyle name="Normal 3 7 2 6 2" xfId="7320" xr:uid="{880053C1-C21F-4328-B192-86F24ACFA7BA}"/>
    <cellStyle name="Normal 3 7 2 6 2 2" xfId="8832" xr:uid="{DF02C840-D500-4642-A28C-DA637067A5BC}"/>
    <cellStyle name="Normal 3 7 2 6 3" xfId="8082" xr:uid="{8B856139-47DD-4ED8-97F5-D85D8131B290}"/>
    <cellStyle name="Normal 3 7 2 6 4" xfId="6526" xr:uid="{19A91DFA-0B49-4B11-96B9-C0375516E37E}"/>
    <cellStyle name="Normal 3 7 2 6 5" xfId="4432" xr:uid="{77384F7E-C24F-400A-AC28-3C8C343F3318}"/>
    <cellStyle name="Normal 3 7 2 7" xfId="3850" xr:uid="{A77A7EC3-6D0A-42A3-8609-760AB17541F9}"/>
    <cellStyle name="Normal 3 7 2 7 2" xfId="8413" xr:uid="{B60B8066-A786-4059-B83D-26C392DE2E8A}"/>
    <cellStyle name="Normal 3 7 2 7 3" xfId="7663" xr:uid="{530C97D7-A0FA-468D-80F5-A46D0F9C8F4F}"/>
    <cellStyle name="Normal 3 7 2 7 4" xfId="6892" xr:uid="{5450F50F-57D6-41DF-85FA-6FD44AFECF0D}"/>
    <cellStyle name="Normal 3 7 2 7 5" xfId="4702" xr:uid="{DD88BB2A-75EF-497F-81DF-6244877FD6CA}"/>
    <cellStyle name="Normal 3 7 2 8" xfId="4156" xr:uid="{CEA73171-63D9-4FAE-A951-04CBACF5110A}"/>
    <cellStyle name="Normal 3 7 2 8 2" xfId="8364" xr:uid="{A4D78F9B-FF59-49DC-AD0B-515D4D8B4F8C}"/>
    <cellStyle name="Normal 3 7 2 8 3" xfId="7614" xr:uid="{F4C139AD-8D7D-4C5E-AF64-5E777E869196}"/>
    <cellStyle name="Normal 3 7 2 8 4" xfId="6825" xr:uid="{CA4B11BE-392E-450A-B16F-37E0A24D99D1}"/>
    <cellStyle name="Normal 3 7 2 9" xfId="6576" xr:uid="{5825A6EA-D971-4194-A232-1F3F90020886}"/>
    <cellStyle name="Normal 3 7 2 9 2" xfId="8135" xr:uid="{045AC895-64E5-475D-B63F-58CE4CC7F49F}"/>
    <cellStyle name="Normal 3 7 3" xfId="2876" xr:uid="{00000000-0005-0000-0000-00002B090000}"/>
    <cellStyle name="Normal 3 7 3 2" xfId="2961" xr:uid="{00000000-0005-0000-0000-0000EB090000}"/>
    <cellStyle name="Normal 3 7 3 2 2" xfId="3677" xr:uid="{812FD2E1-F965-4273-98E5-5F9E5CCF2973}"/>
    <cellStyle name="Normal 3 7 3 2 2 2" xfId="8630" xr:uid="{E72E5809-8705-46C7-824D-E136612AFA85}"/>
    <cellStyle name="Normal 3 7 3 2 2 3" xfId="7880" xr:uid="{7F53C40C-3A2D-4261-8C17-893694DC6AFB}"/>
    <cellStyle name="Normal 3 7 3 2 2 4" xfId="7114" xr:uid="{7C0A4FA6-B7AA-4165-AB35-A624F59C7EF9}"/>
    <cellStyle name="Normal 3 7 3 2 2 5" xfId="4545" xr:uid="{F20BB667-CBEF-46E3-8E9B-D7FBB3ED87AA}"/>
    <cellStyle name="Normal 3 7 3 2 3" xfId="4269" xr:uid="{54B2679B-F575-4AA7-87B5-EA20D76C99A5}"/>
    <cellStyle name="Normal 3 7 3 2 3 2" xfId="8248" xr:uid="{3BFC3D88-9E4F-4A42-9724-8DCDE51DC69F}"/>
    <cellStyle name="Normal 3 7 3 2 3 3" xfId="6689" xr:uid="{2B4D2A9C-62E4-4818-B39B-394634A778A8}"/>
    <cellStyle name="Normal 3 7 3 2 4" xfId="7498" xr:uid="{EB533A12-F348-4276-B163-5C2745713E8B}"/>
    <cellStyle name="Normal 3 7 3 2 5" xfId="5698" xr:uid="{A9A0513F-7D5C-4C9A-8B26-BDBEEDD7F52F}"/>
    <cellStyle name="Normal 3 7 3 2 6" xfId="4105" xr:uid="{F413C53A-A68C-44CB-843F-1F9EDB83AD5C}"/>
    <cellStyle name="Normal 3 7 3 3" xfId="3592" xr:uid="{33ECE141-9EDE-4EE6-8623-F1E3C85CC679}"/>
    <cellStyle name="Normal 3 7 3 3 2" xfId="8436" xr:uid="{D4C63BAB-9EAD-4297-9DC0-80A76C8DFF13}"/>
    <cellStyle name="Normal 3 7 3 3 3" xfId="7686" xr:uid="{C2E80F4E-DE29-41C4-9B14-440E5372756C}"/>
    <cellStyle name="Normal 3 7 3 3 4" xfId="6917" xr:uid="{890D12D1-A769-40B5-898F-E486B1E9088A}"/>
    <cellStyle name="Normal 3 7 3 3 5" xfId="4460" xr:uid="{5AAEBC11-830D-43D9-930A-46D8A7E38AD0}"/>
    <cellStyle name="Normal 3 7 3 4" xfId="4184" xr:uid="{675D5090-79CD-47B9-BBEB-E8DF3A2285EC}"/>
    <cellStyle name="Normal 3 7 3 4 2" xfId="8163" xr:uid="{41578FD8-4C20-4443-B4D3-F02935656EE8}"/>
    <cellStyle name="Normal 3 7 3 4 3" xfId="6604" xr:uid="{B2D9E0A7-5F9B-44C8-B0BF-39AB403DFC0E}"/>
    <cellStyle name="Normal 3 7 3 5" xfId="7413" xr:uid="{4CF41657-EFFE-4C0F-A3C4-9473C8A664B3}"/>
    <cellStyle name="Normal 3 7 3 6" xfId="4923" xr:uid="{8FB7FD94-528A-4526-B707-33ADFFDB41BB}"/>
    <cellStyle name="Normal 3 7 3 7" xfId="3996" xr:uid="{ED193946-47AB-45C9-9480-6A123F2244AC}"/>
    <cellStyle name="Normal 3 7 4" xfId="3017" xr:uid="{00000000-0005-0000-0000-0000EC090000}"/>
    <cellStyle name="Normal 3 7 4 2" xfId="3733" xr:uid="{225395F2-41EB-4553-A20C-5ABA94EB615E}"/>
    <cellStyle name="Normal 3 7 4 2 2" xfId="7134" xr:uid="{69C5D9A2-C4E2-450B-B294-84ACA590CD7D}"/>
    <cellStyle name="Normal 3 7 4 2 2 2" xfId="8649" xr:uid="{D539E57D-7F9D-4139-B4A1-94275F6FF388}"/>
    <cellStyle name="Normal 3 7 4 2 3" xfId="7899" xr:uid="{1FFF2F16-1822-4C18-92C5-976C4F51D717}"/>
    <cellStyle name="Normal 3 7 4 2 4" xfId="5720" xr:uid="{D83081CE-86EB-4CA1-9742-04596EF3FD94}"/>
    <cellStyle name="Normal 3 7 4 2 5" xfId="4585" xr:uid="{6E6D321B-B40E-40F6-8D9D-6C52D2C81FA8}"/>
    <cellStyle name="Normal 3 7 4 3" xfId="4309" xr:uid="{6AD4F9C2-4D44-4A54-8DA1-146A60CCEE73}"/>
    <cellStyle name="Normal 3 7 4 3 2" xfId="8485" xr:uid="{25613628-4990-425B-AEE2-0BAEE52E1E63}"/>
    <cellStyle name="Normal 3 7 4 3 3" xfId="7735" xr:uid="{75F75CAB-6676-4960-9FCF-0323CB54C4DC}"/>
    <cellStyle name="Normal 3 7 4 3 4" xfId="6966" xr:uid="{783BA19B-8145-4595-8891-787A3987F1D0}"/>
    <cellStyle name="Normal 3 7 4 4" xfId="6729" xr:uid="{307B538E-56AC-49EF-B185-8E67F660E02B}"/>
    <cellStyle name="Normal 3 7 4 4 2" xfId="8288" xr:uid="{1C3F9C09-A363-45D7-BC71-5236511EEF58}"/>
    <cellStyle name="Normal 3 7 4 5" xfId="7538" xr:uid="{96BCCE8B-DAE8-42CF-82C6-9E866F93635F}"/>
    <cellStyle name="Normal 3 7 4 6" xfId="4972" xr:uid="{2EC6D403-6A83-4E4D-A8CF-FB5FB9443E54}"/>
    <cellStyle name="Normal 3 7 4 7" xfId="4023" xr:uid="{D5F013BC-45CE-49A3-8E0D-47141C0DA3FD}"/>
    <cellStyle name="Normal 3 7 5" xfId="2921" xr:uid="{00000000-0005-0000-0000-0000E7090000}"/>
    <cellStyle name="Normal 3 7 5 2" xfId="3637" xr:uid="{FC2B1AB0-3091-4A6B-9E87-3F1B6D548E25}"/>
    <cellStyle name="Normal 3 7 5 2 2" xfId="7151" xr:uid="{D350F1FE-B042-4C5F-A79A-9C7B8AFBAEA7}"/>
    <cellStyle name="Normal 3 7 5 2 2 2" xfId="8664" xr:uid="{A69A5A4A-95F4-4939-9357-E22186FDDC08}"/>
    <cellStyle name="Normal 3 7 5 2 3" xfId="7914" xr:uid="{B89767BE-8D43-4FF7-A813-1DFA821129A1}"/>
    <cellStyle name="Normal 3 7 5 2 4" xfId="6330" xr:uid="{A0CA8411-0B54-414D-969E-5F217E81D7A5}"/>
    <cellStyle name="Normal 3 7 5 2 5" xfId="4505" xr:uid="{20148DB5-2FF9-4F21-A885-5A6B4A76472C}"/>
    <cellStyle name="Normal 3 7 5 3" xfId="7017" xr:uid="{7C7392E1-D72D-47C5-9F2F-DC73866167E1}"/>
    <cellStyle name="Normal 3 7 5 3 2" xfId="8536" xr:uid="{CC64BE08-CFE5-4158-B9F2-DD83589203DC}"/>
    <cellStyle name="Normal 3 7 5 3 3" xfId="7786" xr:uid="{5A16DF77-ACBC-40AB-88ED-54AB35C0C55A}"/>
    <cellStyle name="Normal 3 7 5 4" xfId="6649" xr:uid="{1C36A326-B25E-4737-BF82-765AA1FB83B2}"/>
    <cellStyle name="Normal 3 7 5 4 2" xfId="8208" xr:uid="{B10A5FBA-3806-43B7-BFAA-14D562E524A4}"/>
    <cellStyle name="Normal 3 7 5 5" xfId="7458" xr:uid="{B11D7A35-1729-4A98-8987-CAEECD2B4043}"/>
    <cellStyle name="Normal 3 7 5 6" xfId="5024" xr:uid="{D6DFE6EE-01AC-4135-9822-450D4613CB51}"/>
    <cellStyle name="Normal 3 7 5 7" xfId="4229" xr:uid="{C41FEBF8-BE6D-4005-97B8-DCA75CDF57AC}"/>
    <cellStyle name="Normal 3 7 6" xfId="3492" xr:uid="{20158311-CF54-4F30-8BFA-2A340B67992B}"/>
    <cellStyle name="Normal 3 7 6 2" xfId="3786" xr:uid="{53ECB75F-D4B7-45C2-8E5E-905F8EB828F2}"/>
    <cellStyle name="Normal 3 7 6 2 2" xfId="8581" xr:uid="{DF6130E0-29A1-41DB-A891-9E18D03FB3A2}"/>
    <cellStyle name="Normal 3 7 6 2 3" xfId="7062" xr:uid="{D13F9CCF-1E58-47B2-B408-7448E7130084}"/>
    <cellStyle name="Normal 3 7 6 2 4" xfId="4638" xr:uid="{17BADF12-AD4A-4427-AA62-8CC0EC51BCF1}"/>
    <cellStyle name="Normal 3 7 6 3" xfId="7831" xr:uid="{607AFFFE-578C-4709-8F6A-C8E29E48AC84}"/>
    <cellStyle name="Normal 3 7 6 4" xfId="5070" xr:uid="{A8C38283-97D7-4AA2-8E91-13560ED1DBF2}"/>
    <cellStyle name="Normal 3 7 6 5" xfId="4362" xr:uid="{5481B67D-7D46-47BF-80F9-DA1CF9E1D098}"/>
    <cellStyle name="Normal 3 7 7" xfId="3547" xr:uid="{61B0B0F3-80F8-4946-B1B0-2FB847E00274}"/>
    <cellStyle name="Normal 3 7 7 2" xfId="7218" xr:uid="{B2E37391-1395-4A12-A98F-82A06669812A}"/>
    <cellStyle name="Normal 3 7 7 2 2" xfId="8730" xr:uid="{9C541428-73E6-4D45-894F-BFE722CA4969}"/>
    <cellStyle name="Normal 3 7 7 3" xfId="7980" xr:uid="{A17EC3C4-0A4D-441F-B666-078AEA28B3EA}"/>
    <cellStyle name="Normal 3 7 7 4" xfId="6417" xr:uid="{1AA8F14A-347A-4C64-B4CB-D42A57882032}"/>
    <cellStyle name="Normal 3 7 7 5" xfId="4415" xr:uid="{0F404CB0-ECFF-4D5F-9E24-EEFF1B54C173}"/>
    <cellStyle name="Normal 3 7 8" xfId="3833" xr:uid="{5E413355-FB4F-409C-B590-0F293529F190}"/>
    <cellStyle name="Normal 3 7 8 2" xfId="7260" xr:uid="{E6A266CF-E2EF-4715-93CE-4CB50C86DDCB}"/>
    <cellStyle name="Normal 3 7 8 2 2" xfId="8772" xr:uid="{A0A6E3ED-8683-4EA2-8392-166AB2CCAA06}"/>
    <cellStyle name="Normal 3 7 8 3" xfId="8022" xr:uid="{94CFC062-9E0C-4722-A4BF-E7F499C7A5A1}"/>
    <cellStyle name="Normal 3 7 8 4" xfId="6459" xr:uid="{01625282-DD13-4621-A001-5C2AC0686A7C}"/>
    <cellStyle name="Normal 3 7 8 5" xfId="4685" xr:uid="{056ED0FB-3118-4033-B664-186DC8233624}"/>
    <cellStyle name="Normal 3 7 9" xfId="4135" xr:uid="{10B6BE3E-6E90-44F0-88EA-BCCEDB7FB541}"/>
    <cellStyle name="Normal 3 7 9 2" xfId="7303" xr:uid="{63C141E7-6614-46ED-9234-D8C6D4528E48}"/>
    <cellStyle name="Normal 3 7 9 2 2" xfId="8815" xr:uid="{5E807A96-3BE3-4AE1-829D-804761F2CAF0}"/>
    <cellStyle name="Normal 3 7 9 3" xfId="8065" xr:uid="{B656CBDC-2412-4A07-8E82-446BD8FD1104}"/>
    <cellStyle name="Normal 3 7 9 4" xfId="6502" xr:uid="{D06527F1-5F02-4BB8-AC5D-B87F1FBD1B83}"/>
    <cellStyle name="Normal 3 8" xfId="29" xr:uid="{00000000-0005-0000-0000-00002D090000}"/>
    <cellStyle name="Normal 3 8 10" xfId="6880" xr:uid="{F9F95088-BA04-497A-ACC0-8EE97F4205A0}"/>
    <cellStyle name="Normal 3 8 11" xfId="6789" xr:uid="{78F0D79C-DC26-46B5-9BA9-189132FC2373}"/>
    <cellStyle name="Normal 3 8 11 2" xfId="8346" xr:uid="{9199A37C-4814-4A55-B26F-59CA78143B5C}"/>
    <cellStyle name="Normal 3 8 11 3" xfId="7596" xr:uid="{4154525A-1069-4946-8412-30F666C7CFAA}"/>
    <cellStyle name="Normal 3 8 12" xfId="6558" xr:uid="{0F0CFB29-5C51-4899-81A6-40B76D33A9EA}"/>
    <cellStyle name="Normal 3 8 12 2" xfId="8117" xr:uid="{3E4102DC-A40A-4646-B6EA-93B135A0C050}"/>
    <cellStyle name="Normal 3 8 13" xfId="7367" xr:uid="{8A51472D-A0F8-4E37-8D07-0229D830C9BB}"/>
    <cellStyle name="Normal 3 8 14" xfId="4810" xr:uid="{E8258FAC-7E8F-46FF-BD4D-2B7E189CA318}"/>
    <cellStyle name="Normal 3 8 15" xfId="3909" xr:uid="{1BB26DDB-5F86-4C3F-8B03-8D2455A9C757}"/>
    <cellStyle name="Normal 3 8 2" xfId="2845" xr:uid="{00000000-0005-0000-0000-00002E090000}"/>
    <cellStyle name="Normal 3 8 2 10" xfId="5040" xr:uid="{A52117C9-BC46-4A4D-B423-991FF8012BA3}"/>
    <cellStyle name="Normal 3 8 2 11" xfId="3973" xr:uid="{F79D32F7-F957-49C9-B777-0E758BF63439}"/>
    <cellStyle name="Normal 3 8 2 2" xfId="2892" xr:uid="{00000000-0005-0000-0000-00002E090000}"/>
    <cellStyle name="Normal 3 8 2 2 2" xfId="2993" xr:uid="{00000000-0005-0000-0000-0000EF090000}"/>
    <cellStyle name="Normal 3 8 2 2 2 2" xfId="3709" xr:uid="{C29180C0-4424-4AAF-A750-97E4629C3F58}"/>
    <cellStyle name="Normal 3 8 2 2 2 2 2" xfId="8264" xr:uid="{F94B4C52-BB41-4358-B20C-865EA0851A75}"/>
    <cellStyle name="Normal 3 8 2 2 2 2 3" xfId="4561" xr:uid="{9BAFF59C-68F4-4FCF-A56C-205AD672FF06}"/>
    <cellStyle name="Normal 3 8 2 2 2 3" xfId="7514" xr:uid="{A252028F-9ACD-4BFE-AAC0-6BE0D8AEF57A}"/>
    <cellStyle name="Normal 3 8 2 2 2 4" xfId="6705" xr:uid="{7534CDF3-D19F-40A4-AEA3-7D7A9C78C0D4}"/>
    <cellStyle name="Normal 3 8 2 2 2 5" xfId="4285" xr:uid="{E381D618-73E8-403A-ABC6-C055672833FF}"/>
    <cellStyle name="Normal 3 8 2 2 3" xfId="3608" xr:uid="{19DBC340-D936-4A59-B454-8936BF70FCDF}"/>
    <cellStyle name="Normal 3 8 2 2 3 2" xfId="8609" xr:uid="{08F9B3CA-D5D6-4796-9F5B-8D93BED3FAB9}"/>
    <cellStyle name="Normal 3 8 2 2 3 3" xfId="7859" xr:uid="{44EC0080-8F52-463C-9FF6-4C3E61A0D644}"/>
    <cellStyle name="Normal 3 8 2 2 3 4" xfId="7093" xr:uid="{A2BBA3FD-4CB3-4902-844B-6882395ADC67}"/>
    <cellStyle name="Normal 3 8 2 2 3 5" xfId="4476" xr:uid="{15C7D9E4-3188-4F9D-8BD0-B8D4BDE9FB4D}"/>
    <cellStyle name="Normal 3 8 2 2 4" xfId="4200" xr:uid="{183C04E4-1B2F-4F66-AB78-EEB65641F6BF}"/>
    <cellStyle name="Normal 3 8 2 2 4 2" xfId="8179" xr:uid="{44751EDC-F812-4B84-B2E0-B002C1B16416}"/>
    <cellStyle name="Normal 3 8 2 2 4 3" xfId="6620" xr:uid="{0FAEBCB4-7F91-4E03-B6E5-2BF7D91E3B21}"/>
    <cellStyle name="Normal 3 8 2 2 5" xfId="7429" xr:uid="{17B11522-2B8D-47C3-B338-E224D0869B25}"/>
    <cellStyle name="Normal 3 8 2 2 6" xfId="5646" xr:uid="{E826D7D1-4859-40FF-A05D-8FFBCF20252D}"/>
    <cellStyle name="Normal 3 8 2 2 7" xfId="4062" xr:uid="{D504EC85-2B17-4AE5-B32F-93045E623A28}"/>
    <cellStyle name="Normal 3 8 2 3" xfId="3437" xr:uid="{00000000-0005-0000-0000-0000F0090000}"/>
    <cellStyle name="Normal 3 8 2 3 2" xfId="3749" xr:uid="{07C0838D-30BC-4D39-97FB-D7043EB821BB}"/>
    <cellStyle name="Normal 3 8 2 3 2 2" xfId="8745" xr:uid="{FB6F5508-6E82-4C3E-9C35-2BE8E874AA0B}"/>
    <cellStyle name="Normal 3 8 2 3 2 3" xfId="7995" xr:uid="{2E45161C-DC41-4533-B612-25AC95A1AC35}"/>
    <cellStyle name="Normal 3 8 2 3 2 4" xfId="7233" xr:uid="{D55BDF33-1889-4886-844B-4FF83D666BC9}"/>
    <cellStyle name="Normal 3 8 2 3 2 5" xfId="4601" xr:uid="{B119D3FE-70F8-4EEA-B7E0-3D8A9B13AC9D}"/>
    <cellStyle name="Normal 3 8 2 3 3" xfId="6746" xr:uid="{93276233-3B35-46D5-8B21-8B788FBC4417}"/>
    <cellStyle name="Normal 3 8 2 3 3 2" xfId="8304" xr:uid="{CDAB9270-D23D-4C33-8095-9B21A63F5F93}"/>
    <cellStyle name="Normal 3 8 2 3 4" xfId="7554" xr:uid="{89919FD1-A208-4359-8E9D-C59C7BD77D29}"/>
    <cellStyle name="Normal 3 8 2 3 5" xfId="6432" xr:uid="{73758322-5941-4D37-96CF-FFABD0F6A136}"/>
    <cellStyle name="Normal 3 8 2 3 6" xfId="4325" xr:uid="{D03614C3-8140-4E71-B38E-55F040F326C4}"/>
    <cellStyle name="Normal 3 8 2 4" xfId="2937" xr:uid="{00000000-0005-0000-0000-0000EE090000}"/>
    <cellStyle name="Normal 3 8 2 4 2" xfId="3653" xr:uid="{4108B1B7-86DB-4EB4-9CF5-F903099B689C}"/>
    <cellStyle name="Normal 3 8 2 4 2 2" xfId="8787" xr:uid="{EBF44527-99E4-4DEC-9B45-E09CBE55EA55}"/>
    <cellStyle name="Normal 3 8 2 4 2 3" xfId="8037" xr:uid="{3CE7F83C-13F2-4CF0-A1D8-F972424E13D9}"/>
    <cellStyle name="Normal 3 8 2 4 2 4" xfId="7275" xr:uid="{C4EF3CBD-1449-43EA-A796-D4346A229FBD}"/>
    <cellStyle name="Normal 3 8 2 4 2 5" xfId="4521" xr:uid="{D919E2B3-3292-4C52-A032-9AB7C6B75333}"/>
    <cellStyle name="Normal 3 8 2 4 3" xfId="6665" xr:uid="{397897DD-AEEA-47EE-A065-5222871783BA}"/>
    <cellStyle name="Normal 3 8 2 4 3 2" xfId="8224" xr:uid="{50E06A52-FF52-49B3-88F8-3E2284595390}"/>
    <cellStyle name="Normal 3 8 2 4 4" xfId="7474" xr:uid="{201A0DA0-9981-4968-B324-6ABFF6B25F63}"/>
    <cellStyle name="Normal 3 8 2 4 5" xfId="6474" xr:uid="{49F6F887-4949-41F1-89E7-B85FC57DFB19}"/>
    <cellStyle name="Normal 3 8 2 4 6" xfId="4245" xr:uid="{98F48FDC-51F6-4B9B-B438-62BF2A37089D}"/>
    <cellStyle name="Normal 3 8 2 5" xfId="3508" xr:uid="{7C4A7433-161B-49D8-B239-3C877C9D3CB0}"/>
    <cellStyle name="Normal 3 8 2 5 2" xfId="3802" xr:uid="{2201D3AC-4CAF-4C85-9E0D-4FAE697DA82D}"/>
    <cellStyle name="Normal 3 8 2 5 2 2" xfId="8831" xr:uid="{3E740441-8CA1-4676-B930-1B6C67DC6D49}"/>
    <cellStyle name="Normal 3 8 2 5 2 3" xfId="7319" xr:uid="{9EE035E3-12D4-44D1-A571-3C3D1A325FC3}"/>
    <cellStyle name="Normal 3 8 2 5 2 4" xfId="4654" xr:uid="{FA57D58E-CE74-4722-BF8C-472ABF74448B}"/>
    <cellStyle name="Normal 3 8 2 5 3" xfId="8081" xr:uid="{F2442E27-D27D-48D8-B182-4BB9283432A4}"/>
    <cellStyle name="Normal 3 8 2 5 4" xfId="6525" xr:uid="{0C3EEFFF-C5ED-428D-9B60-788986CAD6D1}"/>
    <cellStyle name="Normal 3 8 2 5 5" xfId="4378" xr:uid="{9CDCC1D4-A9DD-4E52-8513-B431D26FAB7A}"/>
    <cellStyle name="Normal 3 8 2 6" xfId="3563" xr:uid="{521DE106-0CA9-4E4B-8B30-EB6A7EAE08BC}"/>
    <cellStyle name="Normal 3 8 2 6 2" xfId="8552" xr:uid="{713CB070-2411-4B2D-AF17-4567AAD6CB62}"/>
    <cellStyle name="Normal 3 8 2 6 3" xfId="7802" xr:uid="{37CDF167-078C-402B-8693-8B1CFDF639FF}"/>
    <cellStyle name="Normal 3 8 2 6 4" xfId="7033" xr:uid="{E3675935-4F15-4E90-9969-09639BA71610}"/>
    <cellStyle name="Normal 3 8 2 6 5" xfId="4431" xr:uid="{A6178E8E-64CB-4222-B375-04C00D6DB8CE}"/>
    <cellStyle name="Normal 3 8 2 7" xfId="3849" xr:uid="{EB139E4D-528D-4B38-A009-C2C204A39586}"/>
    <cellStyle name="Normal 3 8 2 7 2" xfId="8363" xr:uid="{A0B26A7A-51B6-4BEF-9878-4293E6578F4E}"/>
    <cellStyle name="Normal 3 8 2 7 3" xfId="7613" xr:uid="{D32B0F88-8A5C-47F7-A9D3-A39AE1066CEA}"/>
    <cellStyle name="Normal 3 8 2 7 4" xfId="6824" xr:uid="{486C0C6A-AAAE-4429-80D1-94A965138657}"/>
    <cellStyle name="Normal 3 8 2 7 5" xfId="4701" xr:uid="{E4884487-BB5E-499A-B865-4B035CD42A39}"/>
    <cellStyle name="Normal 3 8 2 8" xfId="4155" xr:uid="{FDE65168-E3E9-44D7-B249-96EFC9148986}"/>
    <cellStyle name="Normal 3 8 2 8 2" xfId="8134" xr:uid="{75489528-D152-41FD-9C06-CE41E9C66B43}"/>
    <cellStyle name="Normal 3 8 2 8 3" xfId="6575" xr:uid="{3AE487E7-127A-4203-BB95-A0969984C967}"/>
    <cellStyle name="Normal 3 8 2 9" xfId="7384" xr:uid="{983131C3-41A9-43B1-9F3F-C297C55ED917}"/>
    <cellStyle name="Normal 3 8 3" xfId="2875" xr:uid="{00000000-0005-0000-0000-00002D090000}"/>
    <cellStyle name="Normal 3 8 3 2" xfId="2960" xr:uid="{00000000-0005-0000-0000-0000F1090000}"/>
    <cellStyle name="Normal 3 8 3 2 2" xfId="3676" xr:uid="{49D3476E-DC05-4C1C-A258-0DF9F9DC78A4}"/>
    <cellStyle name="Normal 3 8 3 2 2 2" xfId="8629" xr:uid="{AE6FDC36-B9E7-4D63-8297-652B81E48027}"/>
    <cellStyle name="Normal 3 8 3 2 2 3" xfId="7879" xr:uid="{C3D47747-50CA-4B7D-AE6E-89AFF5159CC1}"/>
    <cellStyle name="Normal 3 8 3 2 2 4" xfId="7113" xr:uid="{4720BF7D-1A9A-40AB-9CF5-6D3CFEB4188F}"/>
    <cellStyle name="Normal 3 8 3 2 2 5" xfId="4544" xr:uid="{2B424F2A-6A4E-405E-A420-A8E35CEDCC81}"/>
    <cellStyle name="Normal 3 8 3 2 3" xfId="4268" xr:uid="{AAD6DEB3-8BE6-4AF0-9E51-B006BA0F5E22}"/>
    <cellStyle name="Normal 3 8 3 2 3 2" xfId="8247" xr:uid="{6DC5A2AE-2200-41A8-9CF9-ED2830E48B07}"/>
    <cellStyle name="Normal 3 8 3 2 3 3" xfId="6688" xr:uid="{6CB7AB72-299E-485A-9C20-075E91B6ABD4}"/>
    <cellStyle name="Normal 3 8 3 2 4" xfId="7497" xr:uid="{229FB8E2-58D9-42E0-8B08-E1DC875A0D56}"/>
    <cellStyle name="Normal 3 8 3 2 5" xfId="5697" xr:uid="{15CBB319-6461-454B-B9FD-86BF0E01A518}"/>
    <cellStyle name="Normal 3 8 3 2 6" xfId="4104" xr:uid="{2FE97779-CAC7-47E8-8113-B3AE788EBAA1}"/>
    <cellStyle name="Normal 3 8 3 3" xfId="3591" xr:uid="{517B4D73-25FB-470F-8E7B-6130C652FEBE}"/>
    <cellStyle name="Normal 3 8 3 3 2" xfId="8535" xr:uid="{15A74476-964F-40B7-A478-8BDDADD23905}"/>
    <cellStyle name="Normal 3 8 3 3 3" xfId="7785" xr:uid="{6383C904-3F15-464E-A3E8-5674A5682483}"/>
    <cellStyle name="Normal 3 8 3 3 4" xfId="7016" xr:uid="{364ACCBC-C8F1-4017-A8FE-63F770B25FEE}"/>
    <cellStyle name="Normal 3 8 3 3 5" xfId="4459" xr:uid="{927B90EE-A62C-49EB-94E3-E74F1D735A3C}"/>
    <cellStyle name="Normal 3 8 3 4" xfId="4183" xr:uid="{8EA72D7C-3AD7-46DA-8264-1CA01736AE22}"/>
    <cellStyle name="Normal 3 8 3 4 2" xfId="8162" xr:uid="{9EC8616E-47DC-404A-97FF-FC27AEE249A1}"/>
    <cellStyle name="Normal 3 8 3 4 3" xfId="6603" xr:uid="{36A3147E-E0A3-4114-8422-D1B555671ABD}"/>
    <cellStyle name="Normal 3 8 3 5" xfId="7412" xr:uid="{56DD7821-657C-4F88-9C55-BC55DFC12675}"/>
    <cellStyle name="Normal 3 8 3 6" xfId="5023" xr:uid="{E4394CC3-9E8B-4E6F-BF06-3BF30327E8BC}"/>
    <cellStyle name="Normal 3 8 3 7" xfId="3995" xr:uid="{63118EBD-9E63-42C3-876B-D89B7F776109}"/>
    <cellStyle name="Normal 3 8 4" xfId="3016" xr:uid="{00000000-0005-0000-0000-0000F2090000}"/>
    <cellStyle name="Normal 3 8 4 2" xfId="3732" xr:uid="{434E244B-2255-4BE1-9060-8FC4AA4A454E}"/>
    <cellStyle name="Normal 3 8 4 2 2" xfId="8580" xr:uid="{70C97528-EC95-45C1-B7A4-12D5BDD88250}"/>
    <cellStyle name="Normal 3 8 4 2 3" xfId="7830" xr:uid="{8909A35D-D2FF-4CB5-9158-FC98A162CA07}"/>
    <cellStyle name="Normal 3 8 4 2 4" xfId="7061" xr:uid="{6952524D-D8A4-4D89-AEA7-F57B371A74BF}"/>
    <cellStyle name="Normal 3 8 4 2 5" xfId="4584" xr:uid="{AD33105F-6ED4-4299-B14D-85655C1B2E8E}"/>
    <cellStyle name="Normal 3 8 4 3" xfId="4308" xr:uid="{28053ED3-3171-4E12-AE36-B4081CF8C948}"/>
    <cellStyle name="Normal 3 8 4 3 2" xfId="8287" xr:uid="{C7763B30-1DD5-4421-B101-7BC561A3D309}"/>
    <cellStyle name="Normal 3 8 4 3 3" xfId="6728" xr:uid="{A893EE78-3EA4-46E3-9254-5AFC123FB675}"/>
    <cellStyle name="Normal 3 8 4 4" xfId="7537" xr:uid="{CA4AF932-5345-4A3C-B32B-EC70D32B63DC}"/>
    <cellStyle name="Normal 3 8 4 5" xfId="5069" xr:uid="{F5232430-8195-40F0-B90C-80A69D7530B9}"/>
    <cellStyle name="Normal 3 8 4 6" xfId="4022" xr:uid="{653EF048-EA62-4237-8ACA-63B23DF5B4A6}"/>
    <cellStyle name="Normal 3 8 5" xfId="2920" xr:uid="{00000000-0005-0000-0000-0000ED090000}"/>
    <cellStyle name="Normal 3 8 5 2" xfId="3636" xr:uid="{855E75B6-1A8E-4F81-9721-C034EA8E92B2}"/>
    <cellStyle name="Normal 3 8 5 2 2" xfId="8663" xr:uid="{7F722C60-AE1E-4DCD-BE27-354E93219BBC}"/>
    <cellStyle name="Normal 3 8 5 2 3" xfId="7913" xr:uid="{F834EF3D-6F66-49CB-9DCD-684B3708A06B}"/>
    <cellStyle name="Normal 3 8 5 2 4" xfId="7150" xr:uid="{86D300D5-832C-4FBF-B351-949F8F0C27FD}"/>
    <cellStyle name="Normal 3 8 5 2 5" xfId="4504" xr:uid="{94BACBE1-EDCA-4DFB-8AFD-8CBFFB77A947}"/>
    <cellStyle name="Normal 3 8 5 3" xfId="6648" xr:uid="{81C8B89A-4AD0-402F-BB71-879F84039162}"/>
    <cellStyle name="Normal 3 8 5 3 2" xfId="8207" xr:uid="{0779F9BB-F029-4D04-BA78-949ACE5A6654}"/>
    <cellStyle name="Normal 3 8 5 4" xfId="7457" xr:uid="{C6BAC7BD-F8CE-42A9-8C00-EE894C95BDF9}"/>
    <cellStyle name="Normal 3 8 5 5" xfId="6329" xr:uid="{63A2F2D6-D20B-41FF-A53F-BFE06331EC27}"/>
    <cellStyle name="Normal 3 8 5 6" xfId="4228" xr:uid="{0F12035D-50CF-43F1-AACA-9FBDE4433F93}"/>
    <cellStyle name="Normal 3 8 6" xfId="3491" xr:uid="{D0BABCE3-D8F3-440A-8970-30EFEF1F8E3A}"/>
    <cellStyle name="Normal 3 8 6 2" xfId="3785" xr:uid="{50F4AEC2-025C-463B-A781-2F83D31F3DD5}"/>
    <cellStyle name="Normal 3 8 6 2 2" xfId="8687" xr:uid="{D60DFD73-3AC9-45AB-AB35-14E6D1825CE1}"/>
    <cellStyle name="Normal 3 8 6 2 3" xfId="7174" xr:uid="{8FC03D3C-CDC6-4D9C-A19E-4AA5B2C81732}"/>
    <cellStyle name="Normal 3 8 6 2 4" xfId="4637" xr:uid="{440AF073-D0CD-4B93-AE6F-A56E452BF25A}"/>
    <cellStyle name="Normal 3 8 6 3" xfId="7937" xr:uid="{2331FBA9-C09D-4028-8CA8-E79EF2997896}"/>
    <cellStyle name="Normal 3 8 6 4" xfId="6354" xr:uid="{AFA0040F-E431-4A8E-B413-1B722A5AC3DE}"/>
    <cellStyle name="Normal 3 8 6 5" xfId="4361" xr:uid="{386AA1D9-0F99-42F3-B8A5-71F88BFF6942}"/>
    <cellStyle name="Normal 3 8 7" xfId="3546" xr:uid="{CFF456F4-4940-466B-A3A0-87DA8977E867}"/>
    <cellStyle name="Normal 3 8 7 2" xfId="7217" xr:uid="{69E2ADBE-AD2E-4411-BFC8-A6AD69029F97}"/>
    <cellStyle name="Normal 3 8 7 2 2" xfId="8729" xr:uid="{80DCADDC-DA6E-496F-AD46-EA936EDEF9BE}"/>
    <cellStyle name="Normal 3 8 7 3" xfId="7979" xr:uid="{D6B2FF26-295A-4A9A-884B-136A2B71714D}"/>
    <cellStyle name="Normal 3 8 7 4" xfId="6416" xr:uid="{276133DD-4E68-474E-923C-8D07AD83837E}"/>
    <cellStyle name="Normal 3 8 7 5" xfId="4414" xr:uid="{77C3325C-2B53-43BE-AD31-A49622140648}"/>
    <cellStyle name="Normal 3 8 8" xfId="3832" xr:uid="{EB2ED440-1FA3-49E7-B66C-A38A51692247}"/>
    <cellStyle name="Normal 3 8 8 2" xfId="7259" xr:uid="{FD0C4659-9134-4E69-92FC-1F069C4180A1}"/>
    <cellStyle name="Normal 3 8 8 2 2" xfId="8771" xr:uid="{D223862E-99DE-4CDC-83BD-5B7305A80BBA}"/>
    <cellStyle name="Normal 3 8 8 3" xfId="8021" xr:uid="{A6DFC5C0-AFE5-46BB-A204-ED5CCC52470C}"/>
    <cellStyle name="Normal 3 8 8 4" xfId="6458" xr:uid="{75C82747-104E-4A89-BEBA-032F28DF6806}"/>
    <cellStyle name="Normal 3 8 8 5" xfId="4684" xr:uid="{85C5F115-FB9D-487B-9D42-094B5D390745}"/>
    <cellStyle name="Normal 3 8 9" xfId="4134" xr:uid="{E14E4C91-5154-401B-847D-DE6A1FF9C42D}"/>
    <cellStyle name="Normal 3 8 9 2" xfId="7302" xr:uid="{8BF78F80-080F-4D15-B761-623F095ED109}"/>
    <cellStyle name="Normal 3 8 9 2 2" xfId="8814" xr:uid="{68D1C161-0E44-4BD3-8708-D1572E02391B}"/>
    <cellStyle name="Normal 3 8 9 3" xfId="8064" xr:uid="{C5A338A3-9D73-47C9-B6E0-0F01A5988447}"/>
    <cellStyle name="Normal 3 8 9 4" xfId="6501" xr:uid="{B69FAF9B-F387-47D5-82BE-91456B09BC70}"/>
    <cellStyle name="Normal 3 9" xfId="27" xr:uid="{00000000-0005-0000-0000-00002F090000}"/>
    <cellStyle name="Normal 3 9 10" xfId="7365" xr:uid="{F95C9883-232C-4C9E-B54E-68566AD2E903}"/>
    <cellStyle name="Normal 3 9 11" xfId="5021" xr:uid="{4B2BAAA6-C2FC-4F74-9449-8256BFFDCAE7}"/>
    <cellStyle name="Normal 3 9 12" xfId="3907" xr:uid="{F3DAB990-A6F4-4C85-A28C-8C0C4AC124DA}"/>
    <cellStyle name="Normal 3 9 2" xfId="2873" xr:uid="{00000000-0005-0000-0000-00002F090000}"/>
    <cellStyle name="Normal 3 9 2 2" xfId="2958" xr:uid="{00000000-0005-0000-0000-0000F4090000}"/>
    <cellStyle name="Normal 3 9 2 2 2" xfId="3674" xr:uid="{033D1466-92E7-4593-806E-2E7AB3B42F0C}"/>
    <cellStyle name="Normal 3 9 2 2 2 2" xfId="8245" xr:uid="{4270083B-C334-4644-8214-9844207BE72C}"/>
    <cellStyle name="Normal 3 9 2 2 2 3" xfId="4542" xr:uid="{CC11BD5C-5F51-4E93-B20F-D46F23B2207C}"/>
    <cellStyle name="Normal 3 9 2 2 3" xfId="4266" xr:uid="{29CE5C86-2695-4CBB-8519-8629007E43DA}"/>
    <cellStyle name="Normal 3 9 2 2 3 2" xfId="7495" xr:uid="{92201DB5-FBBC-4F09-BEA6-383E471688C0}"/>
    <cellStyle name="Normal 3 9 2 2 4" xfId="6686" xr:uid="{CACB2D6C-C26C-4B91-AFA5-C737EA30D901}"/>
    <cellStyle name="Normal 3 9 2 2 5" xfId="4093" xr:uid="{4622341E-D63A-40F9-879A-1410A9A42C2A}"/>
    <cellStyle name="Normal 3 9 2 3" xfId="3589" xr:uid="{C20B74A4-C262-40A4-9284-886AACD11385}"/>
    <cellStyle name="Normal 3 9 2 3 2" xfId="8578" xr:uid="{1842DBE1-5415-43E8-9B88-9559AC17DB33}"/>
    <cellStyle name="Normal 3 9 2 3 3" xfId="7828" xr:uid="{068CF67E-0772-41B7-ADC8-A58BF2074ED8}"/>
    <cellStyle name="Normal 3 9 2 3 4" xfId="7059" xr:uid="{74C159E0-405C-4135-8C8B-A3B8A62999A3}"/>
    <cellStyle name="Normal 3 9 2 3 5" xfId="4457" xr:uid="{6A52AE3E-618B-405C-AA2E-55F6EEE50655}"/>
    <cellStyle name="Normal 3 9 2 4" xfId="4181" xr:uid="{CB5C305B-0FDF-4AA9-AC45-D9D6DB47B682}"/>
    <cellStyle name="Normal 3 9 2 4 2" xfId="8160" xr:uid="{9E6C4AF9-A323-4B5C-9237-985F214FC4DD}"/>
    <cellStyle name="Normal 3 9 2 4 3" xfId="6601" xr:uid="{CB4F03EE-9CD6-4606-B8E7-AFB981194CC2}"/>
    <cellStyle name="Normal 3 9 2 5" xfId="7410" xr:uid="{AABAB7D7-1A72-4D0F-884D-3355FD0FC60E}"/>
    <cellStyle name="Normal 3 9 2 6" xfId="5067" xr:uid="{2DDD0F59-24F0-4008-ABBF-E13C0457FE7D}"/>
    <cellStyle name="Normal 3 9 2 7" xfId="3971" xr:uid="{0A64F0DB-AA04-4DDA-8CDA-CA35C07A5B00}"/>
    <cellStyle name="Normal 3 9 3" xfId="3014" xr:uid="{00000000-0005-0000-0000-0000F5090000}"/>
    <cellStyle name="Normal 3 9 3 2" xfId="3730" xr:uid="{DBF96E72-1FA3-43AC-9CB8-7E3FD4E4C182}"/>
    <cellStyle name="Normal 3 9 3 2 2" xfId="4582" xr:uid="{BB8F3191-1848-449B-85CF-0BDEA68E91FE}"/>
    <cellStyle name="Normal 3 9 3 2 2 2" xfId="8685" xr:uid="{89388156-D602-424A-93F1-17184BD2E65B}"/>
    <cellStyle name="Normal 3 9 3 2 3" xfId="7935" xr:uid="{A1504CE8-5549-4A1F-8B76-6FF9C2031FA9}"/>
    <cellStyle name="Normal 3 9 3 2 4" xfId="7172" xr:uid="{F28B3DB4-76FE-473F-A591-CB6D0F04CA5C}"/>
    <cellStyle name="Normal 3 9 3 2 5" xfId="4102" xr:uid="{77E2E859-A025-4A70-A470-F7A7D14174EC}"/>
    <cellStyle name="Normal 3 9 3 3" xfId="4306" xr:uid="{94E05356-C7D5-43E7-9BBB-264F4A6DD4AB}"/>
    <cellStyle name="Normal 3 9 3 3 2" xfId="8285" xr:uid="{B70D7114-01BC-4F52-9066-85575046717A}"/>
    <cellStyle name="Normal 3 9 3 3 3" xfId="6726" xr:uid="{6BD41D72-6E4B-443B-BF63-7BF4C1A110B3}"/>
    <cellStyle name="Normal 3 9 3 4" xfId="7535" xr:uid="{AD1BB24F-F958-42DC-AF94-8F9BBAB41FB4}"/>
    <cellStyle name="Normal 3 9 3 5" xfId="6352" xr:uid="{41B2CFAE-C8B8-4A6F-90C9-9619B9A58CE5}"/>
    <cellStyle name="Normal 3 9 3 6" xfId="3993" xr:uid="{832E6EB3-F41E-47AC-A281-34CBDABD15B7}"/>
    <cellStyle name="Normal 3 9 4" xfId="2918" xr:uid="{00000000-0005-0000-0000-0000F3090000}"/>
    <cellStyle name="Normal 3 9 4 2" xfId="3634" xr:uid="{D9A810A0-223B-49EC-AC00-77008249A160}"/>
    <cellStyle name="Normal 3 9 4 2 2" xfId="8727" xr:uid="{02944F4D-448F-473C-8402-02FFAC20EF42}"/>
    <cellStyle name="Normal 3 9 4 2 3" xfId="7977" xr:uid="{D7F7EB09-C41E-4EA6-B999-EDA69446FA71}"/>
    <cellStyle name="Normal 3 9 4 2 4" xfId="7215" xr:uid="{B4B427A7-0EF2-462F-BFE3-E8769704FBC3}"/>
    <cellStyle name="Normal 3 9 4 2 5" xfId="4502" xr:uid="{95F9A30F-B1CF-4B48-942B-5F08607F69AA}"/>
    <cellStyle name="Normal 3 9 4 3" xfId="4226" xr:uid="{3AC665C4-77B1-40FB-BEEB-B1BE1EF848AE}"/>
    <cellStyle name="Normal 3 9 4 3 2" xfId="8205" xr:uid="{B509EA22-4645-43F2-B856-2A53C02F5CCF}"/>
    <cellStyle name="Normal 3 9 4 3 3" xfId="6646" xr:uid="{CFC87D6E-003C-422F-AC54-CEEBA2C21518}"/>
    <cellStyle name="Normal 3 9 4 4" xfId="7455" xr:uid="{A1A89A28-A537-4DCE-8676-874421F03C5B}"/>
    <cellStyle name="Normal 3 9 4 5" xfId="6414" xr:uid="{D7BF4E96-296D-4D53-96CC-43730B15B2B0}"/>
    <cellStyle name="Normal 3 9 4 6" xfId="4020" xr:uid="{189A0E50-E968-44C8-B283-AC0400A72BE3}"/>
    <cellStyle name="Normal 3 9 5" xfId="3489" xr:uid="{53280BA2-4D72-4557-8BB1-7532A2C53242}"/>
    <cellStyle name="Normal 3 9 5 2" xfId="3783" xr:uid="{6A1666C3-E353-4767-9AD1-10B93FB30AAD}"/>
    <cellStyle name="Normal 3 9 5 2 2" xfId="8770" xr:uid="{D8CDEA6D-B9E9-47F9-8F74-61565F919784}"/>
    <cellStyle name="Normal 3 9 5 2 3" xfId="7258" xr:uid="{AA6A6A57-CB52-4A80-BA47-1045C1CD16C3}"/>
    <cellStyle name="Normal 3 9 5 2 4" xfId="4635" xr:uid="{21C1E539-A604-49E9-8FE9-25000DA54625}"/>
    <cellStyle name="Normal 3 9 5 3" xfId="8020" xr:uid="{BFD25962-CC21-4410-BE18-0FEEDA44BBC0}"/>
    <cellStyle name="Normal 3 9 5 4" xfId="6457" xr:uid="{11E3320C-F643-4342-85E4-3FCCE0D2A413}"/>
    <cellStyle name="Normal 3 9 5 5" xfId="4359" xr:uid="{00698C2F-D1C2-43B6-A729-E2445238E6A2}"/>
    <cellStyle name="Normal 3 9 6" xfId="3544" xr:uid="{95025DF6-2000-47A0-A4BB-B7DEA3FC9123}"/>
    <cellStyle name="Normal 3 9 6 2" xfId="7300" xr:uid="{491F7C03-D5EA-4FB6-8859-C29C6EB5AC44}"/>
    <cellStyle name="Normal 3 9 6 2 2" xfId="8812" xr:uid="{61F4B5E9-281C-436C-9444-5A2704382015}"/>
    <cellStyle name="Normal 3 9 6 3" xfId="8062" xr:uid="{0B3CC2E5-812C-47CC-AC0D-A56FE706517F}"/>
    <cellStyle name="Normal 3 9 6 4" xfId="6499" xr:uid="{7C188167-B6D9-45B2-B75E-DFF6B9AE67BF}"/>
    <cellStyle name="Normal 3 9 6 5" xfId="4412" xr:uid="{6967273C-55FD-4B2E-8A5C-8E8D7F956F48}"/>
    <cellStyle name="Normal 3 9 7" xfId="3830" xr:uid="{88D46C35-2D63-4B0E-B0C6-2F15F13263DA}"/>
    <cellStyle name="Normal 3 9 7 2" xfId="8533" xr:uid="{4F9541FC-D362-472A-9E49-DF14D22EDCC8}"/>
    <cellStyle name="Normal 3 9 7 3" xfId="7783" xr:uid="{C9EE8F0A-43FA-4B9C-9D69-5B48E41F1229}"/>
    <cellStyle name="Normal 3 9 7 4" xfId="7014" xr:uid="{348BBAEB-4EE0-4911-99E8-85F7EC5AA898}"/>
    <cellStyle name="Normal 3 9 7 5" xfId="4682" xr:uid="{0E06BD80-C900-4675-9B45-723B5BC65295}"/>
    <cellStyle name="Normal 3 9 8" xfId="4132" xr:uid="{A553BCB4-F73F-4E2D-BFE3-39E9C7DC2C57}"/>
    <cellStyle name="Normal 3 9 8 2" xfId="8344" xr:uid="{77E27852-CA65-4A3B-8E3B-652BEC6E5945}"/>
    <cellStyle name="Normal 3 9 8 3" xfId="7594" xr:uid="{A980FC89-586A-4B73-8ADA-1248A142B181}"/>
    <cellStyle name="Normal 3 9 8 4" xfId="6787" xr:uid="{7EE29C71-FA9C-44D0-8E86-B7B66051AD9E}"/>
    <cellStyle name="Normal 3 9 9" xfId="6556" xr:uid="{E3C2FC91-C630-49F5-A051-3214E0E91184}"/>
    <cellStyle name="Normal 3 9 9 2" xfId="8115" xr:uid="{4ADBB366-EA56-4DAA-9DA1-6797C71B1112}"/>
    <cellStyle name="Normal 4" xfId="16" xr:uid="{00000000-0005-0000-0000-000008000000}"/>
    <cellStyle name="Normal 4 10" xfId="2867" xr:uid="{00000000-0005-0000-0000-000030090000}"/>
    <cellStyle name="Normal 4 10 2" xfId="3013" xr:uid="{00000000-0005-0000-0000-0000F7090000}"/>
    <cellStyle name="Normal 4 10 2 2" xfId="3729" xr:uid="{75E9D6E9-6600-458B-8C1E-5CBC6C5F7A3C}"/>
    <cellStyle name="Normal 4 10 2 2 2" xfId="8284" xr:uid="{E30A31E4-DC31-464E-B1CB-0AF4FBCB95FC}"/>
    <cellStyle name="Normal 4 10 2 2 3" xfId="4581" xr:uid="{9CB5109D-A959-410C-A18F-AEC4A412DB50}"/>
    <cellStyle name="Normal 4 10 2 3" xfId="7534" xr:uid="{641E9F45-CE8D-45EB-85D2-274DE967721C}"/>
    <cellStyle name="Normal 4 10 2 4" xfId="6725" xr:uid="{5EDF7AAC-8926-4C75-A6FC-98ED877800B3}"/>
    <cellStyle name="Normal 4 10 2 5" xfId="4305" xr:uid="{3F7C7922-B64F-4B1C-9D78-23CED1096017}"/>
    <cellStyle name="Normal 4 10 3" xfId="3583" xr:uid="{06DE9B5F-4DC8-4D97-A767-99B2B306FEDF}"/>
    <cellStyle name="Normal 4 10 3 2" xfId="8572" xr:uid="{1CD4205F-BF79-4A1A-8327-86830D0C8AE4}"/>
    <cellStyle name="Normal 4 10 3 3" xfId="7822" xr:uid="{EB925CEE-600E-4AEE-8122-D30096F90A95}"/>
    <cellStyle name="Normal 4 10 3 4" xfId="7053" xr:uid="{2584D403-87FB-4867-9469-E5D6283865C3}"/>
    <cellStyle name="Normal 4 10 3 5" xfId="4451" xr:uid="{A1C948BA-0DA7-4974-8A25-5171A015DBE2}"/>
    <cellStyle name="Normal 4 10 4" xfId="6595" xr:uid="{4C1E2293-A6ED-4699-A457-AB07D8FC3A74}"/>
    <cellStyle name="Normal 4 10 4 2" xfId="8154" xr:uid="{E88F21A6-7687-4E33-B89D-E8121E0DADAA}"/>
    <cellStyle name="Normal 4 10 5" xfId="7404" xr:uid="{9688E1BF-3A42-4E35-B318-49474E5FEE02}"/>
    <cellStyle name="Normal 4 10 6" xfId="5061" xr:uid="{7AA9AD59-E34B-49A7-902D-7939ED75A2CF}"/>
    <cellStyle name="Normal 4 10 7" xfId="4175" xr:uid="{2EE34344-0735-4AB8-B35B-AB76A84862D1}"/>
    <cellStyle name="Normal 4 11" xfId="3478" xr:uid="{00000000-0005-0000-0000-000006000000}"/>
    <cellStyle name="Normal 4 11 2" xfId="3772" xr:uid="{961B4A3D-0C47-4DCA-91A6-8326AE3B2EC6}"/>
    <cellStyle name="Normal 4 11 2 2" xfId="8680" xr:uid="{E09BEC9A-6A25-424E-AFBC-2E35C07D99A8}"/>
    <cellStyle name="Normal 4 11 2 3" xfId="7930" xr:uid="{91878283-1C3C-4584-9209-F8DD86AC01A6}"/>
    <cellStyle name="Normal 4 11 2 4" xfId="7167" xr:uid="{7852ED9C-DC70-4C4B-9F83-0E2DC93E6BC9}"/>
    <cellStyle name="Normal 4 11 2 5" xfId="4624" xr:uid="{30EB72B0-BEAC-4738-A4B1-A772166E2CF7}"/>
    <cellStyle name="Normal 4 11 3" xfId="6769" xr:uid="{93C5A4D6-0D6E-4067-A34B-2D85316654FF}"/>
    <cellStyle name="Normal 4 11 3 2" xfId="8327" xr:uid="{5EBFFD7B-36E9-401C-8878-46ABBF85CE98}"/>
    <cellStyle name="Normal 4 11 4" xfId="7577" xr:uid="{A32B8B33-1C69-4894-95B7-01C9ED87B146}"/>
    <cellStyle name="Normal 4 11 5" xfId="6347" xr:uid="{10B3F1F6-A32B-4A43-8274-04A1DAABCF6E}"/>
    <cellStyle name="Normal 4 11 6" xfId="4348" xr:uid="{4CA42650-5BA6-42AD-9B94-03C7D8DA8B32}"/>
    <cellStyle name="Normal 4 12" xfId="2912" xr:uid="{00000000-0005-0000-0000-0000F6090000}"/>
    <cellStyle name="Normal 4 12 2" xfId="3628" xr:uid="{46E7F2D0-0A30-4BB4-A6C6-CE658E1EA4F0}"/>
    <cellStyle name="Normal 4 12 2 2" xfId="8723" xr:uid="{21E9C8F3-DD00-457B-B26E-A7F21CE19E3A}"/>
    <cellStyle name="Normal 4 12 2 3" xfId="7973" xr:uid="{524C2E8C-5613-42E5-B4C6-ADF0484A42F1}"/>
    <cellStyle name="Normal 4 12 2 4" xfId="7211" xr:uid="{D36A3FD7-6319-483D-AB69-3694C572FB56}"/>
    <cellStyle name="Normal 4 12 2 5" xfId="4496" xr:uid="{7EE54B7B-02AB-43C0-983D-CF70D012744C}"/>
    <cellStyle name="Normal 4 12 3" xfId="6640" xr:uid="{2F90D453-10A5-4392-986A-D9BB4609560A}"/>
    <cellStyle name="Normal 4 12 3 2" xfId="8199" xr:uid="{820A78C2-05C6-472C-A1D0-58BE8A17D97E}"/>
    <cellStyle name="Normal 4 12 4" xfId="7449" xr:uid="{EEC6A822-0B66-4CB6-B898-10BD3FEF38FF}"/>
    <cellStyle name="Normal 4 12 5" xfId="6410" xr:uid="{2D35D738-602A-4DC3-9E0D-45F83851BB65}"/>
    <cellStyle name="Normal 4 12 6" xfId="4220" xr:uid="{52ED6D2C-4842-4BFB-B202-7CC25AED25D6}"/>
    <cellStyle name="Normal 4 13" xfId="3483" xr:uid="{61C29BCE-B602-492B-8286-E2C3368A95C4}"/>
    <cellStyle name="Normal 4 13 2" xfId="3777" xr:uid="{F7DB15C6-9AF5-4F79-9B7E-BA84D30C2461}"/>
    <cellStyle name="Normal 4 13 2 2" xfId="8765" xr:uid="{733B45DC-BD40-4090-A098-69A2111D5A20}"/>
    <cellStyle name="Normal 4 13 2 3" xfId="7253" xr:uid="{49247F16-96A2-44D5-807A-DD6B8DDB6140}"/>
    <cellStyle name="Normal 4 13 2 4" xfId="4629" xr:uid="{201EFABC-8DF2-4B8A-B6FF-C3962529752B}"/>
    <cellStyle name="Normal 4 13 3" xfId="8015" xr:uid="{F1740D43-9BDF-4AC5-BFA6-03F666AAE204}"/>
    <cellStyle name="Normal 4 13 4" xfId="6452" xr:uid="{6B7EA4F7-F5AD-4775-9B48-1444AABC137F}"/>
    <cellStyle name="Normal 4 13 5" xfId="4353" xr:uid="{758EB8D7-195C-4644-B9D5-E2733CBB8A5E}"/>
    <cellStyle name="Normal 4 14" xfId="3533" xr:uid="{57745CC4-8191-4F73-9FC6-7D3A5E749E51}"/>
    <cellStyle name="Normal 4 14 2" xfId="7294" xr:uid="{BB2ADFDD-25B7-4937-AB97-60E3FD1A5980}"/>
    <cellStyle name="Normal 4 14 2 2" xfId="8806" xr:uid="{7D9B69D8-8BC1-4156-AA9E-4C270375C76E}"/>
    <cellStyle name="Normal 4 14 3" xfId="8056" xr:uid="{A4527A29-0695-4359-8D41-A51A198C87EE}"/>
    <cellStyle name="Normal 4 14 4" xfId="6493" xr:uid="{BE71DBE0-823C-413C-8F08-1301A491DE74}"/>
    <cellStyle name="Normal 4 14 5" xfId="4401" xr:uid="{D40D610D-9274-43CE-8396-94393F36F309}"/>
    <cellStyle name="Normal 4 15" xfId="3824" xr:uid="{3848A033-99D1-45C9-B0B2-66446092DAD2}"/>
    <cellStyle name="Normal 4 15 2" xfId="8338" xr:uid="{90535BE5-02D4-43BC-8A05-6620E5EA398D}"/>
    <cellStyle name="Normal 4 15 3" xfId="7588" xr:uid="{25F08FAB-1012-4697-82C4-A7B62CA56A74}"/>
    <cellStyle name="Normal 4 15 4" xfId="6781" xr:uid="{3430BA00-5E86-4696-9A6A-9C9AFA10A940}"/>
    <cellStyle name="Normal 4 15 5" xfId="4676" xr:uid="{2FBDC79C-8F02-4AF7-9E1E-3A304D552B90}"/>
    <cellStyle name="Normal 4 16" xfId="4121" xr:uid="{B646A0F0-95A1-4829-804B-A365104E1D56}"/>
    <cellStyle name="Normal 4 16 2" xfId="8104" xr:uid="{59F0B069-83A7-4579-A324-04703F5802D0}"/>
    <cellStyle name="Normal 4 16 3" xfId="6545" xr:uid="{ED3CBF1A-AC07-49D4-9923-9C82E2B390A5}"/>
    <cellStyle name="Normal 4 17" xfId="7354" xr:uid="{40EB7FFF-464F-46D8-86CB-700E8130D479}"/>
    <cellStyle name="Normal 4 2" xfId="2259" xr:uid="{00000000-0005-0000-0000-000031090000}"/>
    <cellStyle name="Normal 4 2 10" xfId="5573" xr:uid="{C891251D-B171-4934-84DC-ECBF93DF5B94}"/>
    <cellStyle name="Normal 4 2 11" xfId="6514" xr:uid="{992D886D-E325-4552-B5EC-7852620F3A24}"/>
    <cellStyle name="Normal 4 2 11 2" xfId="7309" xr:uid="{FA766E64-4E43-4C25-BF07-7E60317DDBBF}"/>
    <cellStyle name="Normal 4 2 11 2 2" xfId="8821" xr:uid="{A1DECA11-6D52-4FF6-BEC7-DF480B8233C7}"/>
    <cellStyle name="Normal 4 2 11 3" xfId="8071" xr:uid="{B00356A4-8593-4333-ABBA-76B8BD0949E5}"/>
    <cellStyle name="Normal 4 2 12" xfId="6872" xr:uid="{7CA4A31E-DA8A-4D1A-8E45-46CABA0743A4}"/>
    <cellStyle name="Normal 4 2 12 2" xfId="8396" xr:uid="{224774E7-07E2-4513-BA76-A24BE670A056}"/>
    <cellStyle name="Normal 4 2 12 3" xfId="7646" xr:uid="{618AAD37-A3C1-40E4-AFA6-1C6344791AD9}"/>
    <cellStyle name="Normal 4 2 13" xfId="6813" xr:uid="{6D7E09F8-1C59-4C96-8A24-C24F112CEC59}"/>
    <cellStyle name="Normal 4 2 13 2" xfId="8353" xr:uid="{DDD805E0-4B28-49C4-BF29-B13D7240285B}"/>
    <cellStyle name="Normal 4 2 13 3" xfId="7603" xr:uid="{8C4AFB23-2906-42A6-BA1B-3353F5334300}"/>
    <cellStyle name="Normal 4 2 14" xfId="6565" xr:uid="{0E1A904E-5694-40FE-8EF2-3700A19A3085}"/>
    <cellStyle name="Normal 4 2 14 2" xfId="8124" xr:uid="{F791F70F-D29E-4407-8D8C-77D5D2D46F3A}"/>
    <cellStyle name="Normal 4 2 15" xfId="7374" xr:uid="{4E642C89-9C04-4400-B57B-AD6D6622919D}"/>
    <cellStyle name="Normal 4 2 16" xfId="4770" xr:uid="{AB6F774D-85CF-4F8E-B826-0111E72DF4A6}"/>
    <cellStyle name="Normal 4 2 17" xfId="3956" xr:uid="{2F4DDF01-1445-40EC-A5E6-923FC2B6DA28}"/>
    <cellStyle name="Normal 4 2 2" xfId="2852" xr:uid="{00000000-0005-0000-0000-000032090000}"/>
    <cellStyle name="Normal 4 2 2 10" xfId="7391" xr:uid="{33F39D08-C645-41D3-B436-859375A72C81}"/>
    <cellStyle name="Normal 4 2 2 11" xfId="4898" xr:uid="{896DF35F-86CD-4E3F-BF23-4AD732CA7517}"/>
    <cellStyle name="Normal 4 2 2 12" xfId="3981" xr:uid="{42E58AB8-D8DD-4DD4-A484-3741757D55F6}"/>
    <cellStyle name="Normal 4 2 2 2" xfId="2899" xr:uid="{00000000-0005-0000-0000-000032090000}"/>
    <cellStyle name="Normal 4 2 2 2 2" xfId="3000" xr:uid="{00000000-0005-0000-0000-0000FA090000}"/>
    <cellStyle name="Normal 4 2 2 2 2 2" xfId="3716" xr:uid="{B3576B56-675C-4812-B6D3-E5A591250583}"/>
    <cellStyle name="Normal 4 2 2 2 2 2 2" xfId="8647" xr:uid="{8051E87D-EE4D-4F40-8A3F-47A76AD3A544}"/>
    <cellStyle name="Normal 4 2 2 2 2 2 3" xfId="7897" xr:uid="{0643FDF2-864E-46D0-B837-1FE9C09ECD13}"/>
    <cellStyle name="Normal 4 2 2 2 2 2 4" xfId="7132" xr:uid="{97E3EA77-12F9-4F27-ACF2-F75F0E55935B}"/>
    <cellStyle name="Normal 4 2 2 2 2 2 5" xfId="4568" xr:uid="{D2BE3C79-20E9-46EF-A496-5F1DEDA79AB7}"/>
    <cellStyle name="Normal 4 2 2 2 2 3" xfId="6712" xr:uid="{40C1E699-20F6-43FE-909F-AE70CC5E6C1A}"/>
    <cellStyle name="Normal 4 2 2 2 2 3 2" xfId="8271" xr:uid="{FCCC9215-4C51-4A1D-89BF-8452A97A3F0B}"/>
    <cellStyle name="Normal 4 2 2 2 2 4" xfId="7521" xr:uid="{A5BE503F-3E0B-41D1-B5C1-D89323E54A18}"/>
    <cellStyle name="Normal 4 2 2 2 2 5" xfId="5717" xr:uid="{06ADD2F9-7339-4D1E-8957-E2272D7F713E}"/>
    <cellStyle name="Normal 4 2 2 2 2 6" xfId="4292" xr:uid="{9E5311AC-D80E-412B-9DEC-CA64415A0202}"/>
    <cellStyle name="Normal 4 2 2 2 3" xfId="3615" xr:uid="{BE9B0634-7649-4528-9A71-A837EE10C435}"/>
    <cellStyle name="Normal 4 2 2 2 3 2" xfId="8465" xr:uid="{806F1997-98C3-42FA-A76B-8A06689EA1F5}"/>
    <cellStyle name="Normal 4 2 2 2 3 3" xfId="7715" xr:uid="{D4E5D291-3449-4FBC-A671-99C43C6C0A95}"/>
    <cellStyle name="Normal 4 2 2 2 3 4" xfId="6946" xr:uid="{99B76CE2-C948-4830-A199-775DCD218D5D}"/>
    <cellStyle name="Normal 4 2 2 2 3 5" xfId="4483" xr:uid="{E356ADB0-E43A-4A87-8E6A-C80FA8A73577}"/>
    <cellStyle name="Normal 4 2 2 2 4" xfId="4207" xr:uid="{8A90D22A-2DA0-49CE-8E2D-A23D3B5152DE}"/>
    <cellStyle name="Normal 4 2 2 2 4 2" xfId="8186" xr:uid="{2F85EA34-1092-485B-AA5C-74664EC285E5}"/>
    <cellStyle name="Normal 4 2 2 2 4 3" xfId="6627" xr:uid="{78430D98-BE51-461F-A86F-32123DE4CF95}"/>
    <cellStyle name="Normal 4 2 2 2 5" xfId="7436" xr:uid="{C801C3F7-2C0C-4EE0-B7BA-40774D18D95C}"/>
    <cellStyle name="Normal 4 2 2 2 6" xfId="4952" xr:uid="{688D1BFC-6FEC-4763-A215-A8FE642FB717}"/>
    <cellStyle name="Normal 4 2 2 2 7" xfId="4069" xr:uid="{BC3C924C-03AC-4C16-9273-9AE439AA20AF}"/>
    <cellStyle name="Normal 4 2 2 3" xfId="3444" xr:uid="{00000000-0005-0000-0000-0000FB090000}"/>
    <cellStyle name="Normal 4 2 2 3 2" xfId="3756" xr:uid="{7AA942C7-D096-4A7C-8765-75B07FE6DDFC}"/>
    <cellStyle name="Normal 4 2 2 3 2 2" xfId="7191" xr:uid="{FAD7C8BD-B178-450B-9CB4-0A9FAE071588}"/>
    <cellStyle name="Normal 4 2 2 3 2 2 2" xfId="8703" xr:uid="{A7EC5DC2-AAAB-499A-AC2D-838ED17FD426}"/>
    <cellStyle name="Normal 4 2 2 3 2 3" xfId="7953" xr:uid="{61194573-D020-4D31-BA64-67A5EB76B16C}"/>
    <cellStyle name="Normal 4 2 2 3 2 4" xfId="6389" xr:uid="{3975878C-8AC6-4AAA-999E-C6E7E847F5C5}"/>
    <cellStyle name="Normal 4 2 2 3 2 5" xfId="4608" xr:uid="{BF86C56E-95FB-467B-AA82-50F1A598ECBA}"/>
    <cellStyle name="Normal 4 2 2 3 3" xfId="6995" xr:uid="{6D235470-4273-4365-9850-B053391B7A30}"/>
    <cellStyle name="Normal 4 2 2 3 3 2" xfId="8514" xr:uid="{A92BA948-A7B1-43CB-8E2E-9E0B079EDB7C}"/>
    <cellStyle name="Normal 4 2 2 3 3 3" xfId="7764" xr:uid="{F52FA67E-C3F8-46A7-A327-C494F7BE6371}"/>
    <cellStyle name="Normal 4 2 2 3 4" xfId="6753" xr:uid="{548F5819-CA06-47E6-B1DA-25F91BD153E9}"/>
    <cellStyle name="Normal 4 2 2 3 4 2" xfId="8311" xr:uid="{89D8BD32-4763-4CDD-BD9A-6378A6091AB4}"/>
    <cellStyle name="Normal 4 2 2 3 5" xfId="7561" xr:uid="{50E06A41-B572-48C3-B58E-69E5EB28F963}"/>
    <cellStyle name="Normal 4 2 2 3 6" xfId="5001" xr:uid="{68940640-87E6-468C-8101-0B2839420774}"/>
    <cellStyle name="Normal 4 2 2 3 7" xfId="4332" xr:uid="{4A3CF09E-B8FB-483F-BED3-87894516D27A}"/>
    <cellStyle name="Normal 4 2 2 4" xfId="2944" xr:uid="{00000000-0005-0000-0000-0000F9090000}"/>
    <cellStyle name="Normal 4 2 2 4 2" xfId="3660" xr:uid="{0B142F12-4C24-4EBD-AF23-C98BCB4CADA1}"/>
    <cellStyle name="Normal 4 2 2 4 2 2" xfId="7240" xr:uid="{1F461F9C-BCDE-4F85-BF70-996ED66A54FF}"/>
    <cellStyle name="Normal 4 2 2 4 2 2 2" xfId="8752" xr:uid="{B0604B1F-A6BF-4142-97A6-7B8337912DAA}"/>
    <cellStyle name="Normal 4 2 2 4 2 3" xfId="8002" xr:uid="{AA58388B-3C55-43C7-B492-706C71CC9187}"/>
    <cellStyle name="Normal 4 2 2 4 2 4" xfId="6439" xr:uid="{16E0E5D1-CB06-402E-BDDB-9D1AE221E99B}"/>
    <cellStyle name="Normal 4 2 2 4 2 5" xfId="4528" xr:uid="{754A9710-B90E-4984-B110-AAA93BC473BC}"/>
    <cellStyle name="Normal 4 2 2 4 3" xfId="7040" xr:uid="{E06C2296-A695-4EB8-9E7D-6E55EEC50DC3}"/>
    <cellStyle name="Normal 4 2 2 4 3 2" xfId="8559" xr:uid="{F7D83F64-5F8E-463B-83B3-05A825EDFC58}"/>
    <cellStyle name="Normal 4 2 2 4 3 3" xfId="7809" xr:uid="{2699288A-2AD7-4F8C-84BD-41C42C726E79}"/>
    <cellStyle name="Normal 4 2 2 4 4" xfId="6672" xr:uid="{D9B6D926-55C5-4FB1-958C-178FF3A74290}"/>
    <cellStyle name="Normal 4 2 2 4 4 2" xfId="8231" xr:uid="{9E4EA4BC-68D3-43E4-A47C-D7A18EEFFD41}"/>
    <cellStyle name="Normal 4 2 2 4 5" xfId="7481" xr:uid="{C03594B8-18A7-4291-8A69-05165272A86A}"/>
    <cellStyle name="Normal 4 2 2 4 6" xfId="5047" xr:uid="{80B92A61-42FC-4DE0-96DC-BAE17BE8D7F6}"/>
    <cellStyle name="Normal 4 2 2 4 7" xfId="4252" xr:uid="{86041FE6-5664-4C31-90FE-526E90F027C6}"/>
    <cellStyle name="Normal 4 2 2 5" xfId="3515" xr:uid="{72170BE0-6920-429E-9ED6-CCED54FB0844}"/>
    <cellStyle name="Normal 4 2 2 5 2" xfId="3809" xr:uid="{73579209-0657-4848-BBD7-B71A66BAC14C}"/>
    <cellStyle name="Normal 4 2 2 5 2 2" xfId="8616" xr:uid="{E891A014-B042-4149-BF87-08A427799B41}"/>
    <cellStyle name="Normal 4 2 2 5 2 3" xfId="7100" xr:uid="{44FCB6B2-0E5A-461D-AFFB-B001D5984114}"/>
    <cellStyle name="Normal 4 2 2 5 2 4" xfId="4661" xr:uid="{52ACECD6-FDEE-4AF3-A43C-A657406771D0}"/>
    <cellStyle name="Normal 4 2 2 5 3" xfId="7866" xr:uid="{B5BE9EAD-69FF-4443-BEB8-51B2BDD13B09}"/>
    <cellStyle name="Normal 4 2 2 5 4" xfId="5653" xr:uid="{78F19F27-480C-4E29-94D7-3FB510FA1882}"/>
    <cellStyle name="Normal 4 2 2 5 5" xfId="4385" xr:uid="{D9A56685-ACE1-42CE-A512-5F6C7C522D36}"/>
    <cellStyle name="Normal 4 2 2 6" xfId="3570" xr:uid="{51A802E6-BEEE-4D55-90E2-7D7CBDEAD510}"/>
    <cellStyle name="Normal 4 2 2 6 2" xfId="7326" xr:uid="{80498586-2AD2-4CAC-8D80-32A04012C4A5}"/>
    <cellStyle name="Normal 4 2 2 6 2 2" xfId="8838" xr:uid="{54B62561-4592-4D67-A85A-0890B5D091BA}"/>
    <cellStyle name="Normal 4 2 2 6 3" xfId="8088" xr:uid="{E69AD9D6-028D-4989-A149-068A0B17006C}"/>
    <cellStyle name="Normal 4 2 2 6 4" xfId="6532" xr:uid="{21A0F260-68AF-4ADF-A0AF-CD76E47D4D5C}"/>
    <cellStyle name="Normal 4 2 2 6 5" xfId="4438" xr:uid="{61F84FDC-8379-4657-B433-C1AC04F7A10C}"/>
    <cellStyle name="Normal 4 2 2 7" xfId="3856" xr:uid="{4339901B-97B4-4E12-88E9-B6D51DCE5CAC}"/>
    <cellStyle name="Normal 4 2 2 7 2" xfId="8419" xr:uid="{34DBCFA0-EC44-4EC0-90E7-801B9B72C758}"/>
    <cellStyle name="Normal 4 2 2 7 3" xfId="7669" xr:uid="{84C43835-D3EE-4D88-B986-4527B35ADA75}"/>
    <cellStyle name="Normal 4 2 2 7 4" xfId="6900" xr:uid="{3488AA36-2E31-4D04-8722-5CA256438406}"/>
    <cellStyle name="Normal 4 2 2 7 5" xfId="4708" xr:uid="{21875AE9-2103-4923-9B5C-0C7C30263DCF}"/>
    <cellStyle name="Normal 4 2 2 8" xfId="4162" xr:uid="{AD2A4D3B-2363-4037-83DD-531A32EE1CDC}"/>
    <cellStyle name="Normal 4 2 2 8 2" xfId="8370" xr:uid="{D0AEA8B4-CA2E-4B2F-A426-8A3A7C296A41}"/>
    <cellStyle name="Normal 4 2 2 8 3" xfId="7620" xr:uid="{470268B0-9897-4028-84EF-2C3039C401F2}"/>
    <cellStyle name="Normal 4 2 2 8 4" xfId="6831" xr:uid="{A2DC7E67-B10A-4BBC-BADA-0CCE5F2CB7F7}"/>
    <cellStyle name="Normal 4 2 2 9" xfId="6582" xr:uid="{F745327D-3B83-45B2-9C53-2B6F2D907791}"/>
    <cellStyle name="Normal 4 2 2 9 2" xfId="8141" xr:uid="{5E7940F0-C2FB-405A-B550-8D8E2D694ED9}"/>
    <cellStyle name="Normal 4 2 3" xfId="2882" xr:uid="{00000000-0005-0000-0000-000031090000}"/>
    <cellStyle name="Normal 4 2 3 2" xfId="2983" xr:uid="{00000000-0005-0000-0000-0000FC090000}"/>
    <cellStyle name="Normal 4 2 3 2 2" xfId="3699" xr:uid="{D93EDA91-D08A-4A48-A214-31E84F176519}"/>
    <cellStyle name="Normal 4 2 3 2 2 2" xfId="8636" xr:uid="{F1B21D28-1146-4E60-AC04-89C612CD9829}"/>
    <cellStyle name="Normal 4 2 3 2 2 3" xfId="7886" xr:uid="{19EBAE34-1AEA-4DB9-9048-BE9D23296746}"/>
    <cellStyle name="Normal 4 2 3 2 2 4" xfId="7120" xr:uid="{9BD26503-BFFC-48F3-A5A1-798089D10A34}"/>
    <cellStyle name="Normal 4 2 3 2 2 5" xfId="4551" xr:uid="{4D7EEA48-6914-47C9-BC54-304F94E5200D}"/>
    <cellStyle name="Normal 4 2 3 2 3" xfId="4275" xr:uid="{8C9F5F32-4D18-4115-B0AD-455DA4050F87}"/>
    <cellStyle name="Normal 4 2 3 2 3 2" xfId="8254" xr:uid="{53B74FAC-8277-411F-9C7F-83CDE74BAEB1}"/>
    <cellStyle name="Normal 4 2 3 2 3 3" xfId="6695" xr:uid="{39093AB3-21DB-45C0-8809-6AC8CEA456DF}"/>
    <cellStyle name="Normal 4 2 3 2 4" xfId="7504" xr:uid="{31CAA699-27D3-4015-8A62-75B9129C8B4D}"/>
    <cellStyle name="Normal 4 2 3 2 5" xfId="5704" xr:uid="{DA51F4C5-43CB-4501-9DF9-066B18C39772}"/>
    <cellStyle name="Normal 4 2 3 2 6" xfId="4111" xr:uid="{E262C268-B5E1-4554-9107-66BD0668B4D9}"/>
    <cellStyle name="Normal 4 2 3 3" xfId="3598" xr:uid="{C4B0BEE9-D81F-4555-B59D-F67979090CFC}"/>
    <cellStyle name="Normal 4 2 3 3 2" xfId="8442" xr:uid="{5EBD877F-E08B-487B-8F37-58C507A7EB26}"/>
    <cellStyle name="Normal 4 2 3 3 3" xfId="7692" xr:uid="{033A57E8-BA20-4CB2-9903-26F762A141FF}"/>
    <cellStyle name="Normal 4 2 3 3 4" xfId="6923" xr:uid="{1924BD0E-7DF2-4D68-A800-BC74C0FEA8F2}"/>
    <cellStyle name="Normal 4 2 3 3 5" xfId="4466" xr:uid="{1F947208-E0C3-4502-8102-BC319CE7320D}"/>
    <cellStyle name="Normal 4 2 3 4" xfId="4190" xr:uid="{2976F4C3-32A5-4780-9D3F-460A44A94E71}"/>
    <cellStyle name="Normal 4 2 3 4 2" xfId="8169" xr:uid="{200680EF-7811-4F55-8B9B-32F8C94281A4}"/>
    <cellStyle name="Normal 4 2 3 4 3" xfId="6610" xr:uid="{BAEAE7A7-A4CA-46C3-B2AB-5812D2C36E63}"/>
    <cellStyle name="Normal 4 2 3 5" xfId="7419" xr:uid="{8B5ABF35-7035-410F-A6F5-DD0682864724}"/>
    <cellStyle name="Normal 4 2 3 6" xfId="4929" xr:uid="{55A8FE8B-78B4-4CEE-A265-5888A672B479}"/>
    <cellStyle name="Normal 4 2 3 7" xfId="4002" xr:uid="{836B3221-27EE-4821-9C87-512E9BD9B466}"/>
    <cellStyle name="Normal 4 2 4" xfId="3420" xr:uid="{00000000-0005-0000-0000-0000FD090000}"/>
    <cellStyle name="Normal 4 2 4 2" xfId="3739" xr:uid="{7A5CBC4C-82F7-4668-A69C-E40006085BC2}"/>
    <cellStyle name="Normal 4 2 4 2 2" xfId="7141" xr:uid="{F16275C8-DB72-4A81-B134-2FDB1D138B52}"/>
    <cellStyle name="Normal 4 2 4 2 2 2" xfId="8654" xr:uid="{BCE41079-8A9B-4A69-9E5A-4B633DE8098F}"/>
    <cellStyle name="Normal 4 2 4 2 3" xfId="7904" xr:uid="{32CBFB64-7903-47FA-8E52-085C74B787C8}"/>
    <cellStyle name="Normal 4 2 4 2 4" xfId="6230" xr:uid="{8CF23892-6425-4513-8642-21430717BA27}"/>
    <cellStyle name="Normal 4 2 4 2 5" xfId="4591" xr:uid="{FF0A3CBF-8A1C-49AA-A39C-4BFB0CC61711}"/>
    <cellStyle name="Normal 4 2 4 3" xfId="4315" xr:uid="{5B8F5FB9-D348-46A2-AE51-63328299E3C7}"/>
    <cellStyle name="Normal 4 2 4 3 2" xfId="8491" xr:uid="{106007C0-D8B6-4A05-8FD4-641358532F9E}"/>
    <cellStyle name="Normal 4 2 4 3 3" xfId="7741" xr:uid="{276FE46B-2268-4131-8566-0B726AB6BE64}"/>
    <cellStyle name="Normal 4 2 4 3 4" xfId="6972" xr:uid="{A3B9D118-86A4-4E61-AB14-890B75E3B025}"/>
    <cellStyle name="Normal 4 2 4 4" xfId="6736" xr:uid="{5003021E-31EB-47C7-BB36-A57DB3DD13DE}"/>
    <cellStyle name="Normal 4 2 4 4 2" xfId="8294" xr:uid="{FB96C190-B990-4DB0-A443-69D4E5F3E578}"/>
    <cellStyle name="Normal 4 2 4 5" xfId="7544" xr:uid="{C7141BAB-EF5D-4142-9713-C6503A6583F1}"/>
    <cellStyle name="Normal 4 2 4 6" xfId="4978" xr:uid="{CA7F7CA8-5A63-46FC-B114-6F87644F7DFA}"/>
    <cellStyle name="Normal 4 2 4 7" xfId="4047" xr:uid="{2295C750-CD9E-48CE-961F-87435F8E924B}"/>
    <cellStyle name="Normal 4 2 5" xfId="2927" xr:uid="{00000000-0005-0000-0000-0000F8090000}"/>
    <cellStyle name="Normal 4 2 5 2" xfId="3643" xr:uid="{26986701-80BE-4797-99C0-70B6DD59FED0}"/>
    <cellStyle name="Normal 4 2 5 2 2" xfId="7157" xr:uid="{02AFCDA8-72AE-4F61-BA2D-37A186A02DA3}"/>
    <cellStyle name="Normal 4 2 5 2 2 2" xfId="8670" xr:uid="{C4E42C6A-3DF2-4A5E-93DA-6F2E112EF322}"/>
    <cellStyle name="Normal 4 2 5 2 3" xfId="7920" xr:uid="{A4DC21BC-48A2-4A66-ABA5-F333AB0E9232}"/>
    <cellStyle name="Normal 4 2 5 2 4" xfId="6337" xr:uid="{00FE54F3-8BCE-4D1B-A5A9-C0FDB259E784}"/>
    <cellStyle name="Normal 4 2 5 2 5" xfId="4511" xr:uid="{2EEE75D0-B18F-4400-B81D-0EE079FF4AA5}"/>
    <cellStyle name="Normal 4 2 5 3" xfId="7023" xr:uid="{A4AC6FB3-AB5F-4B3D-8C16-5E2D98D8B555}"/>
    <cellStyle name="Normal 4 2 5 3 2" xfId="8542" xr:uid="{1EA5ADEF-456D-48AE-A4C9-269BD3901DF0}"/>
    <cellStyle name="Normal 4 2 5 3 3" xfId="7792" xr:uid="{5F690FCC-481B-47A4-B22B-F521E0B70E15}"/>
    <cellStyle name="Normal 4 2 5 4" xfId="6655" xr:uid="{84B15E5E-A7FB-4684-9845-1383D7A69013}"/>
    <cellStyle name="Normal 4 2 5 4 2" xfId="8214" xr:uid="{3069A3DE-CDD7-41F9-A769-D76C38D465F4}"/>
    <cellStyle name="Normal 4 2 5 5" xfId="7464" xr:uid="{A3D2BFA9-7EFA-4307-A87E-926AD44CF72F}"/>
    <cellStyle name="Normal 4 2 5 6" xfId="5030" xr:uid="{C88E595C-4665-487C-A2FB-C7A4715C478B}"/>
    <cellStyle name="Normal 4 2 5 7" xfId="4235" xr:uid="{3DEAE030-77A3-46ED-9DEC-6DBE338A1E25}"/>
    <cellStyle name="Normal 4 2 6" xfId="3498" xr:uid="{38C3F145-50C1-45A7-B9DB-DCA4A7B6F5FA}"/>
    <cellStyle name="Normal 4 2 6 2" xfId="3792" xr:uid="{21241155-D907-4DA8-B423-623C83669FDB}"/>
    <cellStyle name="Normal 4 2 6 2 2" xfId="8595" xr:uid="{DE83171C-3BDC-4102-BA39-EE2FDFE67E5A}"/>
    <cellStyle name="Normal 4 2 6 2 3" xfId="7077" xr:uid="{ED3E779D-A4D4-49A1-AADB-6E93E38E4850}"/>
    <cellStyle name="Normal 4 2 6 2 4" xfId="4644" xr:uid="{3DAB9B6C-92D9-4D5B-BAEC-D0A659C83701}"/>
    <cellStyle name="Normal 4 2 6 3" xfId="7845" xr:uid="{71C5F2DD-E4F5-46F2-9AEC-46AEB66E47DA}"/>
    <cellStyle name="Normal 4 2 6 4" xfId="5509" xr:uid="{7AE532EA-E46C-4C48-A866-347DCC5A2653}"/>
    <cellStyle name="Normal 4 2 6 5" xfId="4368" xr:uid="{594885A1-126E-4FD5-80F6-C7464BF7D2AA}"/>
    <cellStyle name="Normal 4 2 7" xfId="3553" xr:uid="{D6323283-97BC-415B-83C2-F83186ABD049}"/>
    <cellStyle name="Normal 4 2 7 2" xfId="7178" xr:uid="{E54B4194-5A11-426F-BD84-07B817C4A5FA}"/>
    <cellStyle name="Normal 4 2 7 2 2" xfId="8691" xr:uid="{88178F25-54BF-4DD0-91CF-21201E0D77BE}"/>
    <cellStyle name="Normal 4 2 7 3" xfId="7941" xr:uid="{00B385D8-CBE3-4610-8827-DAFF740AE8F4}"/>
    <cellStyle name="Normal 4 2 7 4" xfId="6376" xr:uid="{DB06A268-A1F3-4F36-A488-782570A61098}"/>
    <cellStyle name="Normal 4 2 7 5" xfId="4421" xr:uid="{ACB9DF01-011E-4AD9-AF16-872DFDF7EF20}"/>
    <cellStyle name="Normal 4 2 8" xfId="3839" xr:uid="{4233B496-D5C2-4F4E-BA12-323D39890856}"/>
    <cellStyle name="Normal 4 2 8 2" xfId="7224" xr:uid="{30653652-14DA-4748-8EE5-8CF7135BD504}"/>
    <cellStyle name="Normal 4 2 8 2 2" xfId="8736" xr:uid="{31BC75AE-B27C-4CB3-B2BC-A589C4F3B64F}"/>
    <cellStyle name="Normal 4 2 8 3" xfId="7986" xr:uid="{5CEC72A7-0743-4E4A-9D80-FD33745E2BDC}"/>
    <cellStyle name="Normal 4 2 8 4" xfId="6423" xr:uid="{87294C65-9D9B-4A38-A07E-2D2CEFC662A4}"/>
    <cellStyle name="Normal 4 2 8 5" xfId="4691" xr:uid="{66E54B58-CB39-4638-9D5E-99929185F356}"/>
    <cellStyle name="Normal 4 2 9" xfId="4145" xr:uid="{9AD93335-2BD4-4909-A25D-98CBDFFA7BE7}"/>
    <cellStyle name="Normal 4 2 9 2" xfId="7265" xr:uid="{EF9D6F35-53DC-46CD-83EB-531DF324DF3D}"/>
    <cellStyle name="Normal 4 2 9 2 2" xfId="8777" xr:uid="{4521A961-7C29-4073-80B2-7D0BE02EF1B4}"/>
    <cellStyle name="Normal 4 2 9 3" xfId="8027" xr:uid="{259740D4-293C-457E-BAB3-341CC303AC0A}"/>
    <cellStyle name="Normal 4 2 9 4" xfId="6464" xr:uid="{ECA54AB4-AE76-460D-AFD3-D375B2945E68}"/>
    <cellStyle name="Normal 4 3" xfId="2537" xr:uid="{00000000-0005-0000-0000-000033090000}"/>
    <cellStyle name="Normal 4 3 10" xfId="5550" xr:uid="{F74A0069-B795-42C7-9F5C-17FEE406DE7D}"/>
    <cellStyle name="Normal 4 3 11" xfId="6519" xr:uid="{CE5FC9F1-A38F-415F-88BE-41C42A0FEEED}"/>
    <cellStyle name="Normal 4 3 11 2" xfId="7313" xr:uid="{644B76CC-1EC0-4823-BBA8-50471E46E212}"/>
    <cellStyle name="Normal 4 3 11 2 2" xfId="8825" xr:uid="{7A33D2F9-B494-484C-B794-89C089B63FF4}"/>
    <cellStyle name="Normal 4 3 11 3" xfId="8075" xr:uid="{C8DECD2D-CF68-4305-B5E8-1B67DC2B9137}"/>
    <cellStyle name="Normal 4 3 12" xfId="6876" xr:uid="{C8769858-4F06-4D13-BDD7-4DEF091DCE5A}"/>
    <cellStyle name="Normal 4 3 12 2" xfId="8400" xr:uid="{001DDE03-F76E-4C75-A1DA-989FABC85BA9}"/>
    <cellStyle name="Normal 4 3 12 3" xfId="7650" xr:uid="{998BC411-423A-4BAA-9E4B-49EBD616A44C}"/>
    <cellStyle name="Normal 4 3 13" xfId="6817" xr:uid="{F72762DB-D95B-4143-B546-93F05AB84E07}"/>
    <cellStyle name="Normal 4 3 13 2" xfId="8357" xr:uid="{C34BE8FA-064A-4792-9D75-9F2524933B3A}"/>
    <cellStyle name="Normal 4 3 13 3" xfId="7607" xr:uid="{B161B355-9947-46A3-B9C8-28A0E97CEEDC}"/>
    <cellStyle name="Normal 4 3 14" xfId="6569" xr:uid="{A5E01B47-9DEC-4DAD-A361-D350181D1E9C}"/>
    <cellStyle name="Normal 4 3 14 2" xfId="8128" xr:uid="{610FB271-CED1-456E-B368-8375A5BEC497}"/>
    <cellStyle name="Normal 4 3 15" xfId="7378" xr:uid="{C59D4603-6000-470E-8083-5976094C2F9C}"/>
    <cellStyle name="Normal 4 3 16" xfId="4774" xr:uid="{B7E96AE7-8759-4DA5-91B7-22DF56D8B2DF}"/>
    <cellStyle name="Normal 4 3 17" xfId="3962" xr:uid="{0FED4F06-DEE7-4F63-84BC-9C217C9A2EF2}"/>
    <cellStyle name="Normal 4 3 2" xfId="2856" xr:uid="{00000000-0005-0000-0000-000034090000}"/>
    <cellStyle name="Normal 4 3 2 10" xfId="7395" xr:uid="{A339E5B0-75E6-427B-98F4-A406B98F3826}"/>
    <cellStyle name="Normal 4 3 2 11" xfId="4910" xr:uid="{71BF4BB8-D2CF-4695-83FC-A730B933137E}"/>
    <cellStyle name="Normal 4 3 2 12" xfId="3985" xr:uid="{10F3D384-D390-4952-BC8A-A2382C30D889}"/>
    <cellStyle name="Normal 4 3 2 2" xfId="2903" xr:uid="{00000000-0005-0000-0000-000034090000}"/>
    <cellStyle name="Normal 4 3 2 2 2" xfId="3004" xr:uid="{00000000-0005-0000-0000-0000000A0000}"/>
    <cellStyle name="Normal 4 3 2 2 2 2" xfId="3720" xr:uid="{E7747C69-15C1-4200-A2CD-B9FD0701041C}"/>
    <cellStyle name="Normal 4 3 2 2 2 2 2" xfId="8707" xr:uid="{4715F4DC-16BF-460D-AB70-E6C69EA69B40}"/>
    <cellStyle name="Normal 4 3 2 2 2 2 3" xfId="7957" xr:uid="{6A298FA6-A196-400E-8D12-12B869D871F2}"/>
    <cellStyle name="Normal 4 3 2 2 2 2 4" xfId="7195" xr:uid="{5CBEC0EE-C870-4D0C-8C64-B9798C64352A}"/>
    <cellStyle name="Normal 4 3 2 2 2 2 5" xfId="4572" xr:uid="{3813A65C-8495-4434-AEE3-F225E8E682AB}"/>
    <cellStyle name="Normal 4 3 2 2 2 3" xfId="6716" xr:uid="{962163D0-65A1-4404-9921-1FB58932A284}"/>
    <cellStyle name="Normal 4 3 2 2 2 3 2" xfId="8275" xr:uid="{7B4D217F-E2CE-45B0-AD0E-525362F11B7C}"/>
    <cellStyle name="Normal 4 3 2 2 2 4" xfId="7525" xr:uid="{50D06096-9F06-4231-9514-080B0A032F7B}"/>
    <cellStyle name="Normal 4 3 2 2 2 5" xfId="6393" xr:uid="{E89ACE30-67B3-43AE-AC70-21A65DEBCEDB}"/>
    <cellStyle name="Normal 4 3 2 2 2 6" xfId="4296" xr:uid="{F1212032-6FF4-45DB-95B6-BC74FE6893E8}"/>
    <cellStyle name="Normal 4 3 2 2 3" xfId="3619" xr:uid="{DDA2F963-FDB0-49D5-B2C3-AACD85FCF72F}"/>
    <cellStyle name="Normal 4 3 2 2 3 2" xfId="8469" xr:uid="{01B2AD23-A93B-4566-99C5-EACCDFA980D2}"/>
    <cellStyle name="Normal 4 3 2 2 3 3" xfId="7719" xr:uid="{C2BD5D41-4C2B-43C2-ABF6-C9075DC589F9}"/>
    <cellStyle name="Normal 4 3 2 2 3 4" xfId="6950" xr:uid="{447FAABF-A6B1-4551-A415-227E507C3910}"/>
    <cellStyle name="Normal 4 3 2 2 3 5" xfId="4487" xr:uid="{286798C2-94F7-49F1-B31A-CE12E14396AB}"/>
    <cellStyle name="Normal 4 3 2 2 4" xfId="4211" xr:uid="{2BDE278C-01B1-4F59-9C44-49CB0632A520}"/>
    <cellStyle name="Normal 4 3 2 2 4 2" xfId="8190" xr:uid="{6CE6F118-0006-4BEA-9AEA-42465AA0B485}"/>
    <cellStyle name="Normal 4 3 2 2 4 3" xfId="6631" xr:uid="{60BB1658-F174-4808-81DA-007E201BC9F8}"/>
    <cellStyle name="Normal 4 3 2 2 5" xfId="7440" xr:uid="{F17703B9-0CFF-44C3-9CA8-E7D261A3AE7E}"/>
    <cellStyle name="Normal 4 3 2 2 6" xfId="4956" xr:uid="{B7C745A7-FFCD-40F9-B045-43EF7E7B0AFC}"/>
    <cellStyle name="Normal 4 3 2 2 7" xfId="4073" xr:uid="{F0C48E36-8C77-42A4-9A6A-BC42EC4791A5}"/>
    <cellStyle name="Normal 4 3 2 3" xfId="3448" xr:uid="{00000000-0005-0000-0000-0000010A0000}"/>
    <cellStyle name="Normal 4 3 2 3 2" xfId="3760" xr:uid="{11CE4A10-A446-4941-BBE7-B2E7E215C035}"/>
    <cellStyle name="Normal 4 3 2 3 2 2" xfId="7244" xr:uid="{5A88A40D-67AA-4F0A-9A1B-7199E4AE2C54}"/>
    <cellStyle name="Normal 4 3 2 3 2 2 2" xfId="8756" xr:uid="{1D3EECB6-44E2-4A44-B8F5-D430562E0B39}"/>
    <cellStyle name="Normal 4 3 2 3 2 3" xfId="8006" xr:uid="{3A69AD9A-C819-4248-92E9-7F0713E2C2B0}"/>
    <cellStyle name="Normal 4 3 2 3 2 4" xfId="6443" xr:uid="{E4A6FEE3-9EDC-45BE-ABCD-5A10E2AA8EEF}"/>
    <cellStyle name="Normal 4 3 2 3 2 5" xfId="4612" xr:uid="{A0349D79-DEC2-4E2A-A160-1DD36E548638}"/>
    <cellStyle name="Normal 4 3 2 3 3" xfId="6999" xr:uid="{ED7AC454-6C50-47CD-A4D9-C4F38AA94717}"/>
    <cellStyle name="Normal 4 3 2 3 3 2" xfId="8518" xr:uid="{41468C89-D2C2-4420-A1C0-FB80F0E1CF17}"/>
    <cellStyle name="Normal 4 3 2 3 3 3" xfId="7768" xr:uid="{5EAEFB63-052C-4EBD-9899-EFFFF1CC1702}"/>
    <cellStyle name="Normal 4 3 2 3 4" xfId="6757" xr:uid="{9A3ECF5E-331C-4B3B-93E3-5F6D553A2FA5}"/>
    <cellStyle name="Normal 4 3 2 3 4 2" xfId="8315" xr:uid="{D637F9A1-926F-40EF-90E0-14116FF5A16D}"/>
    <cellStyle name="Normal 4 3 2 3 5" xfId="7565" xr:uid="{0F8B3BFE-3E6B-4654-8482-68D4477ED873}"/>
    <cellStyle name="Normal 4 3 2 3 6" xfId="5005" xr:uid="{DB6CD4EF-D0CA-4A93-8FB9-2B5ED39A1177}"/>
    <cellStyle name="Normal 4 3 2 3 7" xfId="4336" xr:uid="{94744D0D-1A91-411E-97C5-260A510DA615}"/>
    <cellStyle name="Normal 4 3 2 4" xfId="2948" xr:uid="{00000000-0005-0000-0000-0000FF090000}"/>
    <cellStyle name="Normal 4 3 2 4 2" xfId="3664" xr:uid="{627DDAC7-132A-40B6-BE7F-DE7D7D02AF28}"/>
    <cellStyle name="Normal 4 3 2 4 2 2" xfId="7284" xr:uid="{7D230898-855F-4601-9540-BE3F9E2AE813}"/>
    <cellStyle name="Normal 4 3 2 4 2 2 2" xfId="8796" xr:uid="{1722E54A-5DFB-466C-A846-8A86ABFF89ED}"/>
    <cellStyle name="Normal 4 3 2 4 2 3" xfId="8046" xr:uid="{314A05E2-1F0F-4F8C-874A-9F6065FCA24F}"/>
    <cellStyle name="Normal 4 3 2 4 2 4" xfId="6483" xr:uid="{5695ED96-D319-4E5C-960C-99C762313CA1}"/>
    <cellStyle name="Normal 4 3 2 4 2 5" xfId="4532" xr:uid="{F014B2B2-CACA-4DFF-8AA3-A279548BBA47}"/>
    <cellStyle name="Normal 4 3 2 4 3" xfId="7044" xr:uid="{B58F2AA6-D05C-4516-95C1-24D1EB88690F}"/>
    <cellStyle name="Normal 4 3 2 4 3 2" xfId="8563" xr:uid="{12295766-11C6-40E4-9C36-1F1C85E686A8}"/>
    <cellStyle name="Normal 4 3 2 4 3 3" xfId="7813" xr:uid="{E639700D-9B42-4454-AFB6-A3D9F14D26F6}"/>
    <cellStyle name="Normal 4 3 2 4 4" xfId="6676" xr:uid="{CAEE9BE9-648B-4244-B219-B52A948F8A67}"/>
    <cellStyle name="Normal 4 3 2 4 4 2" xfId="8235" xr:uid="{FC2B29DB-D754-4FED-97BA-3B31F041E1A6}"/>
    <cellStyle name="Normal 4 3 2 4 5" xfId="7485" xr:uid="{7D1FAA83-5D8D-40C8-83BC-FA6EFD2C2742}"/>
    <cellStyle name="Normal 4 3 2 4 6" xfId="5051" xr:uid="{E0B3072D-E624-494A-875B-C805F6E1C907}"/>
    <cellStyle name="Normal 4 3 2 4 7" xfId="4256" xr:uid="{0B5AB5C7-AD35-41F7-838B-0098D3A48349}"/>
    <cellStyle name="Normal 4 3 2 5" xfId="3519" xr:uid="{EB2D11CB-D7F7-48F0-B905-55DBB448F1A3}"/>
    <cellStyle name="Normal 4 3 2 5 2" xfId="3813" xr:uid="{C30F7C43-D48A-4EB7-BC38-F5054CF01E6D}"/>
    <cellStyle name="Normal 4 3 2 5 2 2" xfId="8620" xr:uid="{18EC84D9-6AAA-4AF6-AFC4-FDF474FC950B}"/>
    <cellStyle name="Normal 4 3 2 5 2 3" xfId="7104" xr:uid="{38E1E43E-9E8D-418B-8A04-E3B4896994AE}"/>
    <cellStyle name="Normal 4 3 2 5 2 4" xfId="4665" xr:uid="{1987D7A2-40EA-49CA-BCEA-01DFFC968D19}"/>
    <cellStyle name="Normal 4 3 2 5 3" xfId="7870" xr:uid="{252DDFCA-4348-4D57-936E-E4E6E7E27C63}"/>
    <cellStyle name="Normal 4 3 2 5 4" xfId="5657" xr:uid="{9754D3DD-47A6-4E48-99CD-C55BEB30DD89}"/>
    <cellStyle name="Normal 4 3 2 5 5" xfId="4389" xr:uid="{4751AAF6-051A-469F-A9A2-809B3A34F1D8}"/>
    <cellStyle name="Normal 4 3 2 6" xfId="3574" xr:uid="{CDC7396A-6554-4A72-81F3-AE9C32FFCAD8}"/>
    <cellStyle name="Normal 4 3 2 6 2" xfId="7330" xr:uid="{C5D22028-0274-4D51-A528-B1C85FD4E59D}"/>
    <cellStyle name="Normal 4 3 2 6 2 2" xfId="8842" xr:uid="{8B04CF72-E912-4699-924B-F23584C32BF8}"/>
    <cellStyle name="Normal 4 3 2 6 3" xfId="8092" xr:uid="{C0F6787B-2C33-46B7-8C70-594EEADCCEBC}"/>
    <cellStyle name="Normal 4 3 2 6 4" xfId="6536" xr:uid="{9C80AEB7-9FE8-425D-9128-F8EFA9180975}"/>
    <cellStyle name="Normal 4 3 2 6 5" xfId="4442" xr:uid="{2D64211B-AFB8-4752-91C0-E80B8B8F3CAC}"/>
    <cellStyle name="Normal 4 3 2 7" xfId="3860" xr:uid="{9951E2FB-9A1C-4B1D-8717-C197743A2B50}"/>
    <cellStyle name="Normal 4 3 2 7 2" xfId="8423" xr:uid="{58F597B8-E583-44CF-9B28-6A26CC1264A7}"/>
    <cellStyle name="Normal 4 3 2 7 3" xfId="7673" xr:uid="{1566BE21-1DED-4779-9E65-BB96F54F9D93}"/>
    <cellStyle name="Normal 4 3 2 7 4" xfId="6904" xr:uid="{75FFD998-5868-4F0D-8F43-71AA33AF3093}"/>
    <cellStyle name="Normal 4 3 2 7 5" xfId="4712" xr:uid="{CD9B36BD-2F5B-405F-B614-68BF12013C2E}"/>
    <cellStyle name="Normal 4 3 2 8" xfId="4166" xr:uid="{21630F99-61EB-42B8-A8F1-0AF5A62F52DC}"/>
    <cellStyle name="Normal 4 3 2 8 2" xfId="8374" xr:uid="{D8A4DCC2-B5D0-4B27-BD9E-B58647D4706B}"/>
    <cellStyle name="Normal 4 3 2 8 3" xfId="7624" xr:uid="{F7F0D1E5-7239-4BD1-A267-BA604FDD0D73}"/>
    <cellStyle name="Normal 4 3 2 8 4" xfId="6835" xr:uid="{835B62DD-BA4A-4A9D-8E18-34BD97C287B5}"/>
    <cellStyle name="Normal 4 3 2 9" xfId="6586" xr:uid="{DBA1EA62-EA9E-4074-8982-284429F01351}"/>
    <cellStyle name="Normal 4 3 2 9 2" xfId="8145" xr:uid="{E52B3E04-F066-4EE4-9B41-CC0C588475F9}"/>
    <cellStyle name="Normal 4 3 3" xfId="2886" xr:uid="{00000000-0005-0000-0000-000033090000}"/>
    <cellStyle name="Normal 4 3 3 2" xfId="2987" xr:uid="{00000000-0005-0000-0000-0000020A0000}"/>
    <cellStyle name="Normal 4 3 3 2 2" xfId="3703" xr:uid="{AE05A3FD-059B-4628-845F-7966C28EE15B}"/>
    <cellStyle name="Normal 4 3 3 2 2 2" xfId="8640" xr:uid="{B4965066-AB69-41F9-9C10-D4DE06926222}"/>
    <cellStyle name="Normal 4 3 3 2 2 3" xfId="7890" xr:uid="{D0BCE501-1FCA-45BD-BA7C-D776EAB29C90}"/>
    <cellStyle name="Normal 4 3 3 2 2 4" xfId="7125" xr:uid="{F4F6FC14-CB02-411A-B3D3-CA57600F1DBE}"/>
    <cellStyle name="Normal 4 3 3 2 2 5" xfId="4555" xr:uid="{E65C1789-7673-45D9-BF8C-9A515E33FA86}"/>
    <cellStyle name="Normal 4 3 3 2 3" xfId="4279" xr:uid="{49EB67AB-8A77-4492-8702-CD0C23E29FF6}"/>
    <cellStyle name="Normal 4 3 3 2 3 2" xfId="8258" xr:uid="{F8680856-325F-456D-ADEB-DB7D216B1C0F}"/>
    <cellStyle name="Normal 4 3 3 2 3 3" xfId="6699" xr:uid="{F657E96A-0E74-43FE-BBED-C5EE78892AE7}"/>
    <cellStyle name="Normal 4 3 3 2 4" xfId="7508" xr:uid="{F7525177-40FE-4854-886A-44460C325C17}"/>
    <cellStyle name="Normal 4 3 3 2 5" xfId="5710" xr:uid="{5E723B69-2303-427E-A2DA-62E3DD04FAA1}"/>
    <cellStyle name="Normal 4 3 3 2 6" xfId="4115" xr:uid="{AF66954C-EE5D-4C66-840E-3B6BC767F302}"/>
    <cellStyle name="Normal 4 3 3 3" xfId="3602" xr:uid="{2A15697A-0B0C-47CF-A0BB-8CD57F82428D}"/>
    <cellStyle name="Normal 4 3 3 3 2" xfId="8446" xr:uid="{0E63F953-7381-49F5-A437-380315BDCC5F}"/>
    <cellStyle name="Normal 4 3 3 3 3" xfId="7696" xr:uid="{AB038D1D-65C5-4B07-A16D-E7A7159DC453}"/>
    <cellStyle name="Normal 4 3 3 3 4" xfId="6927" xr:uid="{3721A416-5291-4DE4-95D9-A48866D62DD5}"/>
    <cellStyle name="Normal 4 3 3 3 5" xfId="4470" xr:uid="{3691F93E-BCEE-43EB-A1EB-054A32710A19}"/>
    <cellStyle name="Normal 4 3 3 4" xfId="4194" xr:uid="{DF9495CA-DA75-4C6E-8AE8-FEF5E48E4488}"/>
    <cellStyle name="Normal 4 3 3 4 2" xfId="8173" xr:uid="{F298AC25-33BF-4460-86D5-ADAC6F919EB0}"/>
    <cellStyle name="Normal 4 3 3 4 3" xfId="6614" xr:uid="{4A99CA93-DF2A-40F3-8BC8-AAF7251AF77E}"/>
    <cellStyle name="Normal 4 3 3 5" xfId="7423" xr:uid="{1E358F49-A9A4-4871-BB95-25AB7AB2AF80}"/>
    <cellStyle name="Normal 4 3 3 6" xfId="4933" xr:uid="{1A4BDD4C-ECDC-440E-9FC6-C0E8918EF59F}"/>
    <cellStyle name="Normal 4 3 3 7" xfId="4006" xr:uid="{704749B9-83A9-4C5A-8A70-582F71AC6537}"/>
    <cellStyle name="Normal 4 3 4" xfId="3430" xr:uid="{00000000-0005-0000-0000-0000030A0000}"/>
    <cellStyle name="Normal 4 3 4 2" xfId="3743" xr:uid="{6199B6DE-31AC-4F0E-90E8-30F27608B542}"/>
    <cellStyle name="Normal 4 3 4 2 2" xfId="7145" xr:uid="{46EE4DB4-9F16-4555-ACDA-FACEED9A226A}"/>
    <cellStyle name="Normal 4 3 4 2 2 2" xfId="8658" xr:uid="{2D96B3DB-FB58-4952-BDC9-7B9E0085DE01}"/>
    <cellStyle name="Normal 4 3 4 2 3" xfId="7908" xr:uid="{344700C9-F2B2-42DD-95FE-A3C8BA2ACBAC}"/>
    <cellStyle name="Normal 4 3 4 2 4" xfId="6288" xr:uid="{937E2F85-4112-467B-96DF-E2FD7C7658D4}"/>
    <cellStyle name="Normal 4 3 4 2 5" xfId="4595" xr:uid="{1C37BB6F-867C-45F3-B99B-0FEB761A5FFE}"/>
    <cellStyle name="Normal 4 3 4 3" xfId="4319" xr:uid="{35B27873-F050-4F8A-9B2B-3A26AEC68D2C}"/>
    <cellStyle name="Normal 4 3 4 3 2" xfId="8495" xr:uid="{29917BC7-0F6B-43DE-BF5D-F11002765E15}"/>
    <cellStyle name="Normal 4 3 4 3 3" xfId="7745" xr:uid="{8113FEF9-3220-45C3-A568-FAE181D802E8}"/>
    <cellStyle name="Normal 4 3 4 3 4" xfId="6976" xr:uid="{589A5361-0AC2-40E8-AEDA-35BB50980D10}"/>
    <cellStyle name="Normal 4 3 4 4" xfId="6740" xr:uid="{03EB6323-CFB1-462F-AB95-C318D1CC0C33}"/>
    <cellStyle name="Normal 4 3 4 4 2" xfId="8298" xr:uid="{2C2F5B2E-34A1-4A89-AAF6-012AC59363CC}"/>
    <cellStyle name="Normal 4 3 4 5" xfId="7548" xr:uid="{E8A4BF0B-7645-4EFF-8ACB-93FD0C447099}"/>
    <cellStyle name="Normal 4 3 4 6" xfId="4982" xr:uid="{1544C778-F63F-4AB7-B5D7-2FDC099273D4}"/>
    <cellStyle name="Normal 4 3 4 7" xfId="4051" xr:uid="{4051AAA3-0BA7-408A-863A-59ADA32BA3A0}"/>
    <cellStyle name="Normal 4 3 5" xfId="2931" xr:uid="{00000000-0005-0000-0000-0000FE090000}"/>
    <cellStyle name="Normal 4 3 5 2" xfId="3647" xr:uid="{08814599-CCC9-4C56-9E0C-EBED59983502}"/>
    <cellStyle name="Normal 4 3 5 2 2" xfId="7161" xr:uid="{2E8225AC-4967-4DD9-AFDE-1A8C8CA19FA9}"/>
    <cellStyle name="Normal 4 3 5 2 2 2" xfId="8674" xr:uid="{597D90E8-5111-4A46-9D3B-1B75BD684464}"/>
    <cellStyle name="Normal 4 3 5 2 3" xfId="7924" xr:uid="{3C2A1FF5-2FF7-4783-8E52-79ABC0BE1316}"/>
    <cellStyle name="Normal 4 3 5 2 4" xfId="6341" xr:uid="{EC85838C-7DB0-497A-984D-A1957242D8D7}"/>
    <cellStyle name="Normal 4 3 5 2 5" xfId="4515" xr:uid="{ACB508C0-B6E1-4CFF-8D6C-C6273D3EFAC5}"/>
    <cellStyle name="Normal 4 3 5 3" xfId="7027" xr:uid="{9ADE6901-277C-41C2-8378-1543D4CDF9F1}"/>
    <cellStyle name="Normal 4 3 5 3 2" xfId="8546" xr:uid="{D80C9A1D-2E4F-4B6E-8615-A861A9FB9586}"/>
    <cellStyle name="Normal 4 3 5 3 3" xfId="7796" xr:uid="{DF7DB55E-6B12-44C2-AC40-48C0C7CDE2AD}"/>
    <cellStyle name="Normal 4 3 5 4" xfId="6659" xr:uid="{70C03B9D-6F9E-4358-8972-9E18FC428EFB}"/>
    <cellStyle name="Normal 4 3 5 4 2" xfId="8218" xr:uid="{6E36691C-63BB-4943-B0CA-58DE9D7594AD}"/>
    <cellStyle name="Normal 4 3 5 5" xfId="7468" xr:uid="{74E54C94-BBA8-47D3-AA35-88EB33597A79}"/>
    <cellStyle name="Normal 4 3 5 6" xfId="5034" xr:uid="{D26D03E2-AA40-4D16-88E3-069566F02A29}"/>
    <cellStyle name="Normal 4 3 5 7" xfId="4239" xr:uid="{19870582-B474-4494-99F5-E7C0B50EB011}"/>
    <cellStyle name="Normal 4 3 6" xfId="3502" xr:uid="{49A0960B-D02E-48AD-A9C7-98666C9E6888}"/>
    <cellStyle name="Normal 4 3 6 2" xfId="3796" xr:uid="{333AED31-C7B3-4216-A38E-479ECF0345EF}"/>
    <cellStyle name="Normal 4 3 6 2 2" xfId="8602" xr:uid="{35E9B297-D7C7-453F-90A9-B23360BA3893}"/>
    <cellStyle name="Normal 4 3 6 2 3" xfId="7085" xr:uid="{F85CDC9C-0D62-4F0A-A6C4-FA872E285DB6}"/>
    <cellStyle name="Normal 4 3 6 2 4" xfId="4648" xr:uid="{7BD7959A-42DF-4328-BCB7-4D9F5AB65215}"/>
    <cellStyle name="Normal 4 3 6 3" xfId="7852" xr:uid="{2324B11A-CCF4-49B2-A61D-B7F98705C667}"/>
    <cellStyle name="Normal 4 3 6 4" xfId="5564" xr:uid="{9C7C9E4E-C782-45AA-B665-ECA2E6EF7AC7}"/>
    <cellStyle name="Normal 4 3 6 5" xfId="4372" xr:uid="{18ED55DC-3C29-4781-88D6-4625C540B4FF}"/>
    <cellStyle name="Normal 4 3 7" xfId="3557" xr:uid="{01920042-22AD-45A2-9BFD-9AA1E6A92E36}"/>
    <cellStyle name="Normal 4 3 7 2" xfId="7181" xr:uid="{7ABAEEAB-EBD7-4DD3-8C14-4D47318309F0}"/>
    <cellStyle name="Normal 4 3 7 2 2" xfId="8694" xr:uid="{5FF20EF6-150B-4824-BFCC-779E73F6B3EE}"/>
    <cellStyle name="Normal 4 3 7 3" xfId="7944" xr:uid="{E1AE356A-F5B2-4583-ABE2-1BF1ED0399EC}"/>
    <cellStyle name="Normal 4 3 7 4" xfId="6379" xr:uid="{B7763208-5D9F-4D9A-BB2E-5C441002CC6A}"/>
    <cellStyle name="Normal 4 3 7 5" xfId="4425" xr:uid="{5D590AFF-8617-4F29-A9A0-49C321FC2FB2}"/>
    <cellStyle name="Normal 4 3 8" xfId="3843" xr:uid="{0213E58B-5B6F-4ABD-9303-559E31F90166}"/>
    <cellStyle name="Normal 4 3 8 2" xfId="7228" xr:uid="{65EF6BF7-247B-47E8-A1D0-A8495622D8EA}"/>
    <cellStyle name="Normal 4 3 8 2 2" xfId="8740" xr:uid="{9992BC6E-D6A9-4BED-AE40-209353A9E557}"/>
    <cellStyle name="Normal 4 3 8 3" xfId="7990" xr:uid="{D189105E-E2D4-44D2-8588-0806903A0831}"/>
    <cellStyle name="Normal 4 3 8 4" xfId="6427" xr:uid="{39305E5E-1085-4631-9589-6EDC6B036C9D}"/>
    <cellStyle name="Normal 4 3 8 5" xfId="4695" xr:uid="{A4E20517-0451-4620-80C0-7BE6032CFC32}"/>
    <cellStyle name="Normal 4 3 9" xfId="4149" xr:uid="{E07613E2-4270-42A4-A8CA-848E2307DC11}"/>
    <cellStyle name="Normal 4 3 9 2" xfId="7269" xr:uid="{D0656EF3-77C1-4918-A815-C479D1D44102}"/>
    <cellStyle name="Normal 4 3 9 2 2" xfId="8781" xr:uid="{953FED04-E733-4338-89CC-533445DD7521}"/>
    <cellStyle name="Normal 4 3 9 3" xfId="8031" xr:uid="{BF76BAAD-CB1E-4395-A893-3F156A7EA9ED}"/>
    <cellStyle name="Normal 4 3 9 4" xfId="6468" xr:uid="{3DFDF55B-998D-4482-A545-5C253E3C9AA4}"/>
    <cellStyle name="Normal 4 4" xfId="2541" xr:uid="{00000000-0005-0000-0000-000035090000}"/>
    <cellStyle name="Normal 4 4 10" xfId="5275" xr:uid="{F8368697-C8CC-464F-A732-559860489003}"/>
    <cellStyle name="Normal 4 4 11" xfId="6522" xr:uid="{78755588-177B-4A2B-B6AA-C4ED3A8EB8EF}"/>
    <cellStyle name="Normal 4 4 11 2" xfId="7316" xr:uid="{70C7A9AE-8E9D-4D23-8BEB-8E81E039018D}"/>
    <cellStyle name="Normal 4 4 11 2 2" xfId="8828" xr:uid="{3629A7C7-17E3-42A8-A55D-675F108973DD}"/>
    <cellStyle name="Normal 4 4 11 3" xfId="8078" xr:uid="{D510A680-EBC4-4F71-8FB7-00A63E922677}"/>
    <cellStyle name="Normal 4 4 12" xfId="6879" xr:uid="{68BFAD5C-AC04-4E4A-92DA-23846A3B3050}"/>
    <cellStyle name="Normal 4 4 12 2" xfId="8403" xr:uid="{738A2E88-5897-4635-9918-CBDE9975360D}"/>
    <cellStyle name="Normal 4 4 12 3" xfId="7653" xr:uid="{B64F13F2-0020-4F3A-82B3-9808154F2E35}"/>
    <cellStyle name="Normal 4 4 13" xfId="6820" xr:uid="{7A874600-1586-4626-A189-B77F03E38E6D}"/>
    <cellStyle name="Normal 4 4 13 2" xfId="8360" xr:uid="{EA902145-FD18-44AC-B64C-43C7637FFC28}"/>
    <cellStyle name="Normal 4 4 13 3" xfId="7610" xr:uid="{89741815-9991-4B77-A368-344EC2C9B971}"/>
    <cellStyle name="Normal 4 4 14" xfId="6572" xr:uid="{1DCFE374-B713-4E5E-8C73-AFFAA4EBBA7D}"/>
    <cellStyle name="Normal 4 4 14 2" xfId="8131" xr:uid="{DDA3BB1A-D158-4CDA-8927-1049124CA3FC}"/>
    <cellStyle name="Normal 4 4 15" xfId="7381" xr:uid="{18F3917C-D6C1-4C68-9584-B28AAD2611A9}"/>
    <cellStyle name="Normal 4 4 16" xfId="4777" xr:uid="{C5EEA347-EEFA-4CC8-A3CA-BC3D29D2AF29}"/>
    <cellStyle name="Normal 4 4 17" xfId="3966" xr:uid="{EABD7515-204E-49A3-BACB-75B8BDF95B2D}"/>
    <cellStyle name="Normal 4 4 2" xfId="2859" xr:uid="{00000000-0005-0000-0000-000036090000}"/>
    <cellStyle name="Normal 4 4 2 10" xfId="7398" xr:uid="{6D8E2DE4-1E34-4476-B596-7DCE17A434BD}"/>
    <cellStyle name="Normal 4 4 2 11" xfId="4913" xr:uid="{6FBCB5CD-A211-4B8B-8F7C-225109249FD7}"/>
    <cellStyle name="Normal 4 4 2 12" xfId="3988" xr:uid="{7D22DAFC-FE75-4754-8621-1C0DC8BBDCFC}"/>
    <cellStyle name="Normal 4 4 2 2" xfId="2906" xr:uid="{00000000-0005-0000-0000-000036090000}"/>
    <cellStyle name="Normal 4 4 2 2 2" xfId="3007" xr:uid="{00000000-0005-0000-0000-0000060A0000}"/>
    <cellStyle name="Normal 4 4 2 2 2 2" xfId="3723" xr:uid="{4829F2B9-FBD2-455B-B11B-FAAB0F112560}"/>
    <cellStyle name="Normal 4 4 2 2 2 2 2" xfId="8710" xr:uid="{C0203895-4B8A-4941-93EC-A8692358962E}"/>
    <cellStyle name="Normal 4 4 2 2 2 2 3" xfId="7960" xr:uid="{76E78A23-0E7E-4BB3-BE5D-E66B25A4E2ED}"/>
    <cellStyle name="Normal 4 4 2 2 2 2 4" xfId="7198" xr:uid="{6A6D9658-33DD-4F8E-8230-80C494E7699B}"/>
    <cellStyle name="Normal 4 4 2 2 2 2 5" xfId="4575" xr:uid="{FC983C6E-94FE-4387-B9E8-F732A1F1EB86}"/>
    <cellStyle name="Normal 4 4 2 2 2 3" xfId="6719" xr:uid="{B9F15490-8351-479E-BE3A-6946B9901899}"/>
    <cellStyle name="Normal 4 4 2 2 2 3 2" xfId="8278" xr:uid="{C677EBE3-2848-4744-B294-42F05A6529DD}"/>
    <cellStyle name="Normal 4 4 2 2 2 4" xfId="7528" xr:uid="{D547FFF6-0CFC-4190-9DC6-0B0FC7334112}"/>
    <cellStyle name="Normal 4 4 2 2 2 5" xfId="6396" xr:uid="{9F81EA1D-F73D-4FD2-A7BB-659C8DE9EEFE}"/>
    <cellStyle name="Normal 4 4 2 2 2 6" xfId="4299" xr:uid="{360CCFDB-E15E-4182-8CD7-824A0E9BEC9B}"/>
    <cellStyle name="Normal 4 4 2 2 3" xfId="3622" xr:uid="{2B4BD448-9801-4C7E-ABD7-ECD66855D62E}"/>
    <cellStyle name="Normal 4 4 2 2 3 2" xfId="8472" xr:uid="{F21A6F63-244A-425B-BF9D-91BE08E3BE81}"/>
    <cellStyle name="Normal 4 4 2 2 3 3" xfId="7722" xr:uid="{78C437B3-9D8E-47D8-9AA4-DE875D92C1BB}"/>
    <cellStyle name="Normal 4 4 2 2 3 4" xfId="6953" xr:uid="{8446397F-2914-4EA7-B86E-3E1C0D0E93F2}"/>
    <cellStyle name="Normal 4 4 2 2 3 5" xfId="4490" xr:uid="{D711F980-8617-48FA-A0FA-038B11665834}"/>
    <cellStyle name="Normal 4 4 2 2 4" xfId="4214" xr:uid="{64E08D6D-4C52-4C35-BB4C-D0328A654F0C}"/>
    <cellStyle name="Normal 4 4 2 2 4 2" xfId="8193" xr:uid="{52A0D34B-9722-4A0C-A565-550B31930EE9}"/>
    <cellStyle name="Normal 4 4 2 2 4 3" xfId="6634" xr:uid="{D850F9E6-2713-4C80-8990-5313703228E2}"/>
    <cellStyle name="Normal 4 4 2 2 5" xfId="7443" xr:uid="{C8A91474-C358-4802-8791-E86068075FD5}"/>
    <cellStyle name="Normal 4 4 2 2 6" xfId="4959" xr:uid="{952A6DB6-55A8-472C-8ED4-76CFD552ED6D}"/>
    <cellStyle name="Normal 4 4 2 2 7" xfId="4076" xr:uid="{DA329974-50E8-42D5-A5E0-6CCD3F0D9915}"/>
    <cellStyle name="Normal 4 4 2 3" xfId="3451" xr:uid="{00000000-0005-0000-0000-0000070A0000}"/>
    <cellStyle name="Normal 4 4 2 3 2" xfId="3763" xr:uid="{DA176AF0-2622-4B79-B140-E0570D975377}"/>
    <cellStyle name="Normal 4 4 2 3 2 2" xfId="7247" xr:uid="{B497C9DB-5C9E-4172-B5E0-3AEDA2677778}"/>
    <cellStyle name="Normal 4 4 2 3 2 2 2" xfId="8759" xr:uid="{217436E4-C1CA-4116-A30C-B851A1009ABB}"/>
    <cellStyle name="Normal 4 4 2 3 2 3" xfId="8009" xr:uid="{CCDAC64D-FB39-44AF-89B2-BD6A562285BA}"/>
    <cellStyle name="Normal 4 4 2 3 2 4" xfId="6446" xr:uid="{C3E7407B-D119-4685-9913-307DDAD27D01}"/>
    <cellStyle name="Normal 4 4 2 3 2 5" xfId="4615" xr:uid="{AE1A3B70-C648-476C-8234-364D47F81C90}"/>
    <cellStyle name="Normal 4 4 2 3 3" xfId="7002" xr:uid="{859074D9-51D8-4EC0-A78A-7C119A56388D}"/>
    <cellStyle name="Normal 4 4 2 3 3 2" xfId="8521" xr:uid="{F023742D-D36F-43ED-88DC-5C720BED23E6}"/>
    <cellStyle name="Normal 4 4 2 3 3 3" xfId="7771" xr:uid="{D8976B65-55E0-4A6F-BE4D-99EEF13FF31F}"/>
    <cellStyle name="Normal 4 4 2 3 4" xfId="6760" xr:uid="{70F6EEB3-CE17-47F1-A9C0-FA11DDC1BD17}"/>
    <cellStyle name="Normal 4 4 2 3 4 2" xfId="8318" xr:uid="{5DC287AD-4E1E-44A4-9AD8-9FF224633566}"/>
    <cellStyle name="Normal 4 4 2 3 5" xfId="7568" xr:uid="{6B98A081-CD5D-4A68-AB8E-F4FA612E0507}"/>
    <cellStyle name="Normal 4 4 2 3 6" xfId="5008" xr:uid="{F403785B-7123-45AF-83BC-0FB4D161AC6F}"/>
    <cellStyle name="Normal 4 4 2 3 7" xfId="4339" xr:uid="{3B23F06A-99B1-43D2-88F2-15D53444F808}"/>
    <cellStyle name="Normal 4 4 2 4" xfId="2951" xr:uid="{00000000-0005-0000-0000-0000050A0000}"/>
    <cellStyle name="Normal 4 4 2 4 2" xfId="3667" xr:uid="{73658180-DF43-495F-9B1F-903ACF667A89}"/>
    <cellStyle name="Normal 4 4 2 4 2 2" xfId="7287" xr:uid="{5FEA9422-7266-4EA5-A5E5-405C1FE49626}"/>
    <cellStyle name="Normal 4 4 2 4 2 2 2" xfId="8799" xr:uid="{C68D199D-7B7C-498F-8954-0BA6F54164CB}"/>
    <cellStyle name="Normal 4 4 2 4 2 3" xfId="8049" xr:uid="{A0E58C83-D9BE-471F-9AA1-36513D28415D}"/>
    <cellStyle name="Normal 4 4 2 4 2 4" xfId="6486" xr:uid="{56938BF9-5A25-4B2F-8864-BEC1B3F4F7B3}"/>
    <cellStyle name="Normal 4 4 2 4 2 5" xfId="4535" xr:uid="{58B2F319-F01B-4610-BCED-4F2294930A4A}"/>
    <cellStyle name="Normal 4 4 2 4 3" xfId="7047" xr:uid="{E3A50074-30C6-4337-8708-CA2A869F742B}"/>
    <cellStyle name="Normal 4 4 2 4 3 2" xfId="8566" xr:uid="{CF0D27A2-BEDB-4EF9-8B39-D469790042C0}"/>
    <cellStyle name="Normal 4 4 2 4 3 3" xfId="7816" xr:uid="{DEF0E24E-786E-42A0-A95D-177B850391BB}"/>
    <cellStyle name="Normal 4 4 2 4 4" xfId="6679" xr:uid="{8DAC48B3-5B01-4D06-BA98-A864BD880460}"/>
    <cellStyle name="Normal 4 4 2 4 4 2" xfId="8238" xr:uid="{07F33E0B-77B0-43DF-801C-3FD76E093539}"/>
    <cellStyle name="Normal 4 4 2 4 5" xfId="7488" xr:uid="{EB76A2DD-35AB-44DA-9059-2C335F62D28C}"/>
    <cellStyle name="Normal 4 4 2 4 6" xfId="5054" xr:uid="{8F1CB87D-AD40-4142-8767-8999F1F807B0}"/>
    <cellStyle name="Normal 4 4 2 4 7" xfId="4259" xr:uid="{B591C41D-E830-4117-B6D6-211BEA079C04}"/>
    <cellStyle name="Normal 4 4 2 5" xfId="3522" xr:uid="{1AB29B62-4E12-415B-87D5-250721C23119}"/>
    <cellStyle name="Normal 4 4 2 5 2" xfId="3816" xr:uid="{1712626B-644D-4DA6-B9E6-5FA992B1A6A2}"/>
    <cellStyle name="Normal 4 4 2 5 2 2" xfId="8623" xr:uid="{6E2D1258-990F-4D60-8AE9-71279E5D6966}"/>
    <cellStyle name="Normal 4 4 2 5 2 3" xfId="7107" xr:uid="{DD756D70-01EC-4CB8-91E2-7B0F744B60E4}"/>
    <cellStyle name="Normal 4 4 2 5 2 4" xfId="4668" xr:uid="{DB489489-3AC1-4BCB-9653-B545422714D1}"/>
    <cellStyle name="Normal 4 4 2 5 3" xfId="7873" xr:uid="{138DA6A5-0438-4698-A27A-A0FEC9839EB1}"/>
    <cellStyle name="Normal 4 4 2 5 4" xfId="5660" xr:uid="{41DE5DF1-274C-4397-8129-3E32C0E4810C}"/>
    <cellStyle name="Normal 4 4 2 5 5" xfId="4392" xr:uid="{788E77B8-7576-43C2-BA4D-6C9EF8AE11D6}"/>
    <cellStyle name="Normal 4 4 2 6" xfId="3577" xr:uid="{DDFFF880-677C-4E76-BFAD-749279ADCD71}"/>
    <cellStyle name="Normal 4 4 2 6 2" xfId="7333" xr:uid="{1475E188-57FA-4AEB-87ED-1D72AC597CAC}"/>
    <cellStyle name="Normal 4 4 2 6 2 2" xfId="8845" xr:uid="{89B8B76E-6BBD-4648-8B3E-58C865858422}"/>
    <cellStyle name="Normal 4 4 2 6 3" xfId="8095" xr:uid="{DCDC15D3-3705-4DA6-8635-DA5EDA83499A}"/>
    <cellStyle name="Normal 4 4 2 6 4" xfId="6539" xr:uid="{20D0149C-BBB7-4D14-A87A-ADC3024E031F}"/>
    <cellStyle name="Normal 4 4 2 6 5" xfId="4445" xr:uid="{5EF2AFD3-5C7A-4636-AAD5-4F8718499392}"/>
    <cellStyle name="Normal 4 4 2 7" xfId="3863" xr:uid="{E65A2F66-3F15-473E-BB16-B95896174F83}"/>
    <cellStyle name="Normal 4 4 2 7 2" xfId="8426" xr:uid="{6B94C311-AF22-4ADA-96B5-758F2FD016AE}"/>
    <cellStyle name="Normal 4 4 2 7 3" xfId="7676" xr:uid="{7BDDDF71-69B2-4267-814A-F1E5E6D9A4A0}"/>
    <cellStyle name="Normal 4 4 2 7 4" xfId="6907" xr:uid="{9D4968EB-3477-4C15-ACFE-E2D278A2ACE9}"/>
    <cellStyle name="Normal 4 4 2 7 5" xfId="4715" xr:uid="{41796D6C-BC02-48EA-A83B-3AF8A283A422}"/>
    <cellStyle name="Normal 4 4 2 8" xfId="4169" xr:uid="{81E3F7FE-9DD8-4627-A024-236077BBE476}"/>
    <cellStyle name="Normal 4 4 2 8 2" xfId="8377" xr:uid="{F699C550-A151-4896-BBD3-1DB1D9C3F7F8}"/>
    <cellStyle name="Normal 4 4 2 8 3" xfId="7627" xr:uid="{E2B41BFD-E18E-40C7-B750-15E918EC5A60}"/>
    <cellStyle name="Normal 4 4 2 8 4" xfId="6838" xr:uid="{64E436C1-64F4-4F4E-AF1D-52F5A04CAC6B}"/>
    <cellStyle name="Normal 4 4 2 9" xfId="6589" xr:uid="{61EF82A3-4637-4612-8850-6BCBF2CE7480}"/>
    <cellStyle name="Normal 4 4 2 9 2" xfId="8148" xr:uid="{D820B33D-2395-4C01-BBC6-598B20DBB251}"/>
    <cellStyle name="Normal 4 4 3" xfId="2889" xr:uid="{00000000-0005-0000-0000-000035090000}"/>
    <cellStyle name="Normal 4 4 3 2" xfId="2990" xr:uid="{00000000-0005-0000-0000-0000080A0000}"/>
    <cellStyle name="Normal 4 4 3 2 2" xfId="3706" xr:uid="{5920936C-6004-465E-9E7A-DF78EB67C129}"/>
    <cellStyle name="Normal 4 4 3 2 2 2" xfId="8643" xr:uid="{A7F40126-286D-40E8-B8D6-CDCE7E72AB02}"/>
    <cellStyle name="Normal 4 4 3 2 2 3" xfId="7893" xr:uid="{41468BF6-DCE1-4D51-B6D2-1760D37823F7}"/>
    <cellStyle name="Normal 4 4 3 2 2 4" xfId="7128" xr:uid="{EB32654E-51F4-4B52-82FC-160184F928F5}"/>
    <cellStyle name="Normal 4 4 3 2 2 5" xfId="4558" xr:uid="{89476D44-F2B0-41F2-9671-DB634E6973D5}"/>
    <cellStyle name="Normal 4 4 3 2 3" xfId="4282" xr:uid="{10327C84-4F5B-4435-8C03-72B9D5C1DDD0}"/>
    <cellStyle name="Normal 4 4 3 2 3 2" xfId="8261" xr:uid="{2B69B4FF-3A68-4788-BCDF-D9130D306836}"/>
    <cellStyle name="Normal 4 4 3 2 3 3" xfId="6702" xr:uid="{F4B23D7A-AE95-4B8E-80A6-4D9A08047C38}"/>
    <cellStyle name="Normal 4 4 3 2 4" xfId="7511" xr:uid="{70119419-38FD-411C-9366-D06ECB53B63A}"/>
    <cellStyle name="Normal 4 4 3 2 5" xfId="5713" xr:uid="{BC18875A-78DE-4B47-9C01-E76437C06433}"/>
    <cellStyle name="Normal 4 4 3 2 6" xfId="4118" xr:uid="{F61F78CB-0457-48EE-91AD-C1849F6703F6}"/>
    <cellStyle name="Normal 4 4 3 3" xfId="3605" xr:uid="{C349C066-05C7-4E90-9B8D-09F1C8DA24EA}"/>
    <cellStyle name="Normal 4 4 3 3 2" xfId="8449" xr:uid="{98F0BD9B-BF55-4D78-B998-5D66EFF36E60}"/>
    <cellStyle name="Normal 4 4 3 3 3" xfId="7699" xr:uid="{5E32F56F-3EBA-47D4-A822-7A74443C3AFF}"/>
    <cellStyle name="Normal 4 4 3 3 4" xfId="6930" xr:uid="{92A731A2-0818-4CB4-9F02-9F33F691D370}"/>
    <cellStyle name="Normal 4 4 3 3 5" xfId="4473" xr:uid="{F600898D-2518-48FD-BDFA-4C7DD5A45767}"/>
    <cellStyle name="Normal 4 4 3 4" xfId="4197" xr:uid="{72485032-FBA3-4405-9C47-773444D43CDD}"/>
    <cellStyle name="Normal 4 4 3 4 2" xfId="8176" xr:uid="{27810FEE-3CA8-4936-80A1-E34FCD4BCDE2}"/>
    <cellStyle name="Normal 4 4 3 4 3" xfId="6617" xr:uid="{90197E17-D307-423C-950A-5E47061FC9E9}"/>
    <cellStyle name="Normal 4 4 3 5" xfId="7426" xr:uid="{2C8C8FEB-9807-4F1B-B8FA-DE39799C2904}"/>
    <cellStyle name="Normal 4 4 3 6" xfId="4936" xr:uid="{A1DF9ED0-10EB-4C74-BF6C-0B3FB6EC64D5}"/>
    <cellStyle name="Normal 4 4 3 7" xfId="4009" xr:uid="{DE2E7186-107A-4C4B-A647-E92D4C5B95B1}"/>
    <cellStyle name="Normal 4 4 4" xfId="3433" xr:uid="{00000000-0005-0000-0000-0000090A0000}"/>
    <cellStyle name="Normal 4 4 4 2" xfId="3746" xr:uid="{4B91627B-C342-4600-A112-D7E5FB455414}"/>
    <cellStyle name="Normal 4 4 4 2 2" xfId="7148" xr:uid="{2F180EBA-3164-4224-B6C5-9360D67719A4}"/>
    <cellStyle name="Normal 4 4 4 2 2 2" xfId="8661" xr:uid="{66CD2F83-6AD3-4000-B78F-7DCBD2E31BA6}"/>
    <cellStyle name="Normal 4 4 4 2 3" xfId="7911" xr:uid="{4036B7A3-7C5E-4E4A-8E8F-F8711AB05CF1}"/>
    <cellStyle name="Normal 4 4 4 2 4" xfId="6291" xr:uid="{9E17F374-0EDD-4AAA-A248-0D2BD522C62E}"/>
    <cellStyle name="Normal 4 4 4 2 5" xfId="4598" xr:uid="{38D01593-B7E5-4B44-8B49-90281D6358E7}"/>
    <cellStyle name="Normal 4 4 4 3" xfId="4322" xr:uid="{EBF60A52-F697-42E3-B434-78C76D70E8F8}"/>
    <cellStyle name="Normal 4 4 4 3 2" xfId="8498" xr:uid="{358985D4-545D-496F-AAF8-B4173051A3F9}"/>
    <cellStyle name="Normal 4 4 4 3 3" xfId="7748" xr:uid="{5EDF2F56-293B-489A-8D24-DE7FE0ABF459}"/>
    <cellStyle name="Normal 4 4 4 3 4" xfId="6979" xr:uid="{D4ECCD33-AB80-4726-B05E-4B9629AC525D}"/>
    <cellStyle name="Normal 4 4 4 4" xfId="6743" xr:uid="{E8C0ACA8-F4E9-4802-A263-B64A5F1D271E}"/>
    <cellStyle name="Normal 4 4 4 4 2" xfId="8301" xr:uid="{E5DCD765-1006-4ACD-AC3E-A7A945110C1D}"/>
    <cellStyle name="Normal 4 4 4 5" xfId="7551" xr:uid="{86B8C9EC-5188-4062-99C5-9819E8D24961}"/>
    <cellStyle name="Normal 4 4 4 6" xfId="4985" xr:uid="{D61D5565-7C26-402A-B828-D448B9543597}"/>
    <cellStyle name="Normal 4 4 4 7" xfId="4054" xr:uid="{979610E0-2A2E-45E6-86AD-F4527F344D74}"/>
    <cellStyle name="Normal 4 4 5" xfId="2934" xr:uid="{00000000-0005-0000-0000-0000040A0000}"/>
    <cellStyle name="Normal 4 4 5 2" xfId="3650" xr:uid="{377F7EDE-082D-436A-852B-D0755C97D804}"/>
    <cellStyle name="Normal 4 4 5 2 2" xfId="7164" xr:uid="{8558986C-0B01-485F-AD77-8D345BD0955B}"/>
    <cellStyle name="Normal 4 4 5 2 2 2" xfId="8677" xr:uid="{7E061F37-8AE5-416F-8223-2DFC52BCE3A2}"/>
    <cellStyle name="Normal 4 4 5 2 3" xfId="7927" xr:uid="{37039E85-B51A-4A18-8286-E3C50A64C2AD}"/>
    <cellStyle name="Normal 4 4 5 2 4" xfId="6344" xr:uid="{B6928DC1-A4FA-436F-800E-D5DD217A1746}"/>
    <cellStyle name="Normal 4 4 5 2 5" xfId="4518" xr:uid="{8093B68F-2D85-4CD5-A87C-90D7B94C6B7C}"/>
    <cellStyle name="Normal 4 4 5 3" xfId="7030" xr:uid="{30D2096E-716D-4CFD-A405-B2A787786DD3}"/>
    <cellStyle name="Normal 4 4 5 3 2" xfId="8549" xr:uid="{5B27DAA2-052E-4069-8E34-3E25D66669EF}"/>
    <cellStyle name="Normal 4 4 5 3 3" xfId="7799" xr:uid="{7BD46054-B0AB-4583-B0B6-A273DB449D7C}"/>
    <cellStyle name="Normal 4 4 5 4" xfId="6662" xr:uid="{EAD289C1-D230-4069-A686-CB64C3BECBB4}"/>
    <cellStyle name="Normal 4 4 5 4 2" xfId="8221" xr:uid="{8BE87092-A0C0-40A8-9029-F02A54D53579}"/>
    <cellStyle name="Normal 4 4 5 5" xfId="7471" xr:uid="{448A0876-CBD9-4348-8169-06FBE8C28591}"/>
    <cellStyle name="Normal 4 4 5 6" xfId="5037" xr:uid="{0018EF27-15B0-4DC8-92A3-E7BF6E02C145}"/>
    <cellStyle name="Normal 4 4 5 7" xfId="4242" xr:uid="{6569D2AB-D3A6-4B93-A5FA-E105B49E9821}"/>
    <cellStyle name="Normal 4 4 6" xfId="3505" xr:uid="{2D25D3DE-A611-4C0C-A011-1278F9D5D76C}"/>
    <cellStyle name="Normal 4 4 6 2" xfId="3799" xr:uid="{B7E4C197-7C77-4199-858C-F4BE21C3AF66}"/>
    <cellStyle name="Normal 4 4 6 2 2" xfId="8605" xr:uid="{7307FA4B-135F-43E3-A15F-B88EEBEC1CC7}"/>
    <cellStyle name="Normal 4 4 6 2 3" xfId="7088" xr:uid="{101B3C64-E14E-4617-94DA-9091434A2A81}"/>
    <cellStyle name="Normal 4 4 6 2 4" xfId="4651" xr:uid="{DB121789-04DF-4CDE-A339-929D76F17765}"/>
    <cellStyle name="Normal 4 4 6 3" xfId="7855" xr:uid="{690ADF62-0167-41CD-8955-BCD073F02115}"/>
    <cellStyle name="Normal 4 4 6 4" xfId="5567" xr:uid="{81D24AE9-CA6C-4B43-AD78-8EF038C9C94D}"/>
    <cellStyle name="Normal 4 4 6 5" xfId="4375" xr:uid="{AA9D8826-F062-40A0-BD8D-580CD304223B}"/>
    <cellStyle name="Normal 4 4 7" xfId="3560" xr:uid="{3110680D-8FBC-44DB-849B-1FCC35AF3E02}"/>
    <cellStyle name="Normal 4 4 7 2" xfId="7183" xr:uid="{E9907C69-A5A6-4FEE-A9E1-7A4DC1894758}"/>
    <cellStyle name="Normal 4 4 7 2 2" xfId="8696" xr:uid="{C44CC001-5B48-457B-A2D8-99E8B41A267C}"/>
    <cellStyle name="Normal 4 4 7 3" xfId="7946" xr:uid="{42CA373E-791B-4507-B33A-6F3CAC51A7DD}"/>
    <cellStyle name="Normal 4 4 7 4" xfId="6381" xr:uid="{6A4C5647-96F5-4D8A-85F7-25A90C72E692}"/>
    <cellStyle name="Normal 4 4 7 5" xfId="4428" xr:uid="{23817ECF-1682-495C-B0ED-9C686D9BCF8C}"/>
    <cellStyle name="Normal 4 4 8" xfId="3846" xr:uid="{9E3C7FBF-15B0-41D7-B8D1-7357FC257FF3}"/>
    <cellStyle name="Normal 4 4 8 2" xfId="7231" xr:uid="{046F6699-30A4-4EE1-8627-BDE41AF80EB5}"/>
    <cellStyle name="Normal 4 4 8 2 2" xfId="8743" xr:uid="{E368CF47-83D9-4BBD-A3ED-3B00288B7F05}"/>
    <cellStyle name="Normal 4 4 8 3" xfId="7993" xr:uid="{BA77A86C-8F7B-4B2B-BD20-29629A412B75}"/>
    <cellStyle name="Normal 4 4 8 4" xfId="6430" xr:uid="{C38C0911-321E-483A-93D8-FD8071AB7191}"/>
    <cellStyle name="Normal 4 4 8 5" xfId="4698" xr:uid="{DEC19C11-6CC5-42B5-870E-0A0DF9BFDBA9}"/>
    <cellStyle name="Normal 4 4 9" xfId="4152" xr:uid="{BFFD733F-C612-493A-BF53-A40DE10E4BA7}"/>
    <cellStyle name="Normal 4 4 9 2" xfId="7272" xr:uid="{3ED92AAC-D5FB-46FF-B937-DF0C3F066F07}"/>
    <cellStyle name="Normal 4 4 9 2 2" xfId="8784" xr:uid="{95585135-06B2-4D13-B26A-D6F9FD2882D4}"/>
    <cellStyle name="Normal 4 4 9 3" xfId="8034" xr:uid="{44C5E485-BA84-4942-90CB-93AAB228B2AA}"/>
    <cellStyle name="Normal 4 4 9 4" xfId="6471" xr:uid="{5AD0866C-138F-4E57-B21A-0910520E63F4}"/>
    <cellStyle name="Normal 4 5" xfId="219" xr:uid="{00000000-0005-0000-0000-000037090000}"/>
    <cellStyle name="Normal 4 5 10" xfId="6807" xr:uid="{27C668D2-71F5-48CD-B6E8-E474F4A63192}"/>
    <cellStyle name="Normal 4 5 10 2" xfId="8350" xr:uid="{966DFDD1-C06F-4EC6-8BA4-3ECB25A72B03}"/>
    <cellStyle name="Normal 4 5 10 3" xfId="7600" xr:uid="{977FC064-3C23-4E4B-8F11-88B6ADEE24DD}"/>
    <cellStyle name="Normal 4 5 11" xfId="6562" xr:uid="{B13979E4-B084-4DAA-9540-195113F9CC29}"/>
    <cellStyle name="Normal 4 5 11 2" xfId="8121" xr:uid="{BFA5B2D5-0E58-45AF-80EC-F0302F51C2C0}"/>
    <cellStyle name="Normal 4 5 12" xfId="7371" xr:uid="{CD9757AF-3F46-4A37-A1EE-F8AD2228384B}"/>
    <cellStyle name="Normal 4 5 13" xfId="4750" xr:uid="{DB262B48-84F2-4C53-91E0-0E10D37E5F2D}"/>
    <cellStyle name="Normal 4 5 14" xfId="3936" xr:uid="{BEAE07CF-7259-44C5-81D3-66951B056F6C}"/>
    <cellStyle name="Normal 4 5 2" xfId="2879" xr:uid="{00000000-0005-0000-0000-000037090000}"/>
    <cellStyle name="Normal 4 5 2 2" xfId="2973" xr:uid="{00000000-0005-0000-0000-00000B0A0000}"/>
    <cellStyle name="Normal 4 5 2 2 2" xfId="3689" xr:uid="{7C7FCAE0-1171-42D2-9E81-F44CFFAC84D2}"/>
    <cellStyle name="Normal 4 5 2 2 2 2" xfId="8462" xr:uid="{8C9830F3-D777-4B4A-B613-1727FAC50AB2}"/>
    <cellStyle name="Normal 4 5 2 2 2 3" xfId="7712" xr:uid="{312B7E4C-582C-40D2-9B86-D067E87879E9}"/>
    <cellStyle name="Normal 4 5 2 2 2 4" xfId="6943" xr:uid="{751EF64E-8DAB-4546-A67E-ACC52D6E136C}"/>
    <cellStyle name="Normal 4 5 2 2 2 5" xfId="4548" xr:uid="{C1E0312B-4CFC-4AA4-956F-9A27D8EA436C}"/>
    <cellStyle name="Normal 4 5 2 2 3" xfId="4272" xr:uid="{7D03BADD-840B-4F32-BF8D-79B1CDF00698}"/>
    <cellStyle name="Normal 4 5 2 2 3 2" xfId="8251" xr:uid="{8E54DF18-DABF-4CDD-9214-30B8A3FAE0EB}"/>
    <cellStyle name="Normal 4 5 2 2 3 3" xfId="6692" xr:uid="{956B67DB-D892-4333-A1FC-767E79238F8E}"/>
    <cellStyle name="Normal 4 5 2 2 4" xfId="7501" xr:uid="{A61A30A1-1E0B-4F50-BA9B-A1D212A1A953}"/>
    <cellStyle name="Normal 4 5 2 2 5" xfId="4949" xr:uid="{435C8774-3FED-4148-A44A-6F67596B7988}"/>
    <cellStyle name="Normal 4 5 2 2 6" xfId="4096" xr:uid="{F072D58F-FEE0-44D1-986D-4943D8AFEED2}"/>
    <cellStyle name="Normal 4 5 2 3" xfId="3595" xr:uid="{D581A141-85B8-4D03-9B11-5C395A0228E1}"/>
    <cellStyle name="Normal 4 5 2 3 2" xfId="6992" xr:uid="{444C2B6C-1AC2-4054-AEEE-DCCD8FFB184C}"/>
    <cellStyle name="Normal 4 5 2 3 2 2" xfId="8511" xr:uid="{2F55A2A1-12AA-49C7-9592-147CC0100893}"/>
    <cellStyle name="Normal 4 5 2 3 3" xfId="7761" xr:uid="{1405D3A4-91D9-4749-B361-CA01A38FBAEA}"/>
    <cellStyle name="Normal 4 5 2 3 4" xfId="4998" xr:uid="{95F62BDF-C1DE-4D2F-8859-B73E7DB593C9}"/>
    <cellStyle name="Normal 4 5 2 3 5" xfId="4463" xr:uid="{04924FCF-591A-4633-824B-80037D325AA3}"/>
    <cellStyle name="Normal 4 5 2 4" xfId="4187" xr:uid="{DD73C2DB-98BA-4CC9-8F9F-7C07EFB3CA7E}"/>
    <cellStyle name="Normal 4 5 2 4 2" xfId="7117" xr:uid="{3E8AC4B1-C865-4E5F-9959-D7E17EA56FA3}"/>
    <cellStyle name="Normal 4 5 2 4 2 2" xfId="8633" xr:uid="{447A69AF-0CB6-4244-B6F6-41E2C1BBFFB8}"/>
    <cellStyle name="Normal 4 5 2 4 3" xfId="7883" xr:uid="{5C9ECB47-617E-4230-8EFA-676C05F9041E}"/>
    <cellStyle name="Normal 4 5 2 4 4" xfId="5701" xr:uid="{EDBCFB1C-34EE-46D1-B6AA-B10E97E9F820}"/>
    <cellStyle name="Normal 4 5 2 5" xfId="6897" xr:uid="{D7361CAC-517B-432B-89B3-D2AC33D971F0}"/>
    <cellStyle name="Normal 4 5 2 5 2" xfId="8416" xr:uid="{5FA3CC22-C604-4A4E-8E99-F31329C6A19E}"/>
    <cellStyle name="Normal 4 5 2 5 3" xfId="7666" xr:uid="{0DD1A904-E67B-4949-89EB-39E9737DCD0F}"/>
    <cellStyle name="Normal 4 5 2 6" xfId="6607" xr:uid="{809979D9-DBDD-4446-9238-60D27B2AE7F2}"/>
    <cellStyle name="Normal 4 5 2 6 2" xfId="8166" xr:uid="{659E559B-6F21-4628-8B0B-758D139BBCE8}"/>
    <cellStyle name="Normal 4 5 2 7" xfId="7416" xr:uid="{A3220F2A-67E8-4911-9019-11A212276B16}"/>
    <cellStyle name="Normal 4 5 2 8" xfId="4833" xr:uid="{9F494CBD-7C29-43DB-86DD-810BA12FECA9}"/>
    <cellStyle name="Normal 4 5 2 9" xfId="3977" xr:uid="{FF994238-7221-4AE0-9EF7-E6073EE473AE}"/>
    <cellStyle name="Normal 4 5 3" xfId="3034" xr:uid="{00000000-0005-0000-0000-00000C0A0000}"/>
    <cellStyle name="Normal 4 5 3 2" xfId="3736" xr:uid="{7DB2EE45-6699-4AC2-B161-AFEBBDD6C407}"/>
    <cellStyle name="Normal 4 5 3 2 2" xfId="4588" xr:uid="{3051DC50-EED5-4B54-B7D4-5A961BE01EBC}"/>
    <cellStyle name="Normal 4 5 3 2 2 2" xfId="8606" xr:uid="{3DAB2906-A822-4923-AE16-B7DDC1FF10A0}"/>
    <cellStyle name="Normal 4 5 3 2 2 3" xfId="7089" xr:uid="{C3AF3975-5221-4DAB-8B4F-CB9263EF8EC4}"/>
    <cellStyle name="Normal 4 5 3 2 3" xfId="7856" xr:uid="{2949FFE1-FF14-4797-A41D-FCDB2F340B0D}"/>
    <cellStyle name="Normal 4 5 3 2 4" xfId="5588" xr:uid="{B8C1F6B2-152E-4D25-9484-3BB9FEF6BA47}"/>
    <cellStyle name="Normal 4 5 3 2 5" xfId="4108" xr:uid="{2309283E-796D-406C-B139-A3AD694A17DE}"/>
    <cellStyle name="Normal 4 5 3 3" xfId="4312" xr:uid="{FE8F7319-8E41-4E51-9D53-6C067B7D7359}"/>
    <cellStyle name="Normal 4 5 3 3 2" xfId="8439" xr:uid="{8F75D202-60E5-470F-936A-3C2871D246B0}"/>
    <cellStyle name="Normal 4 5 3 3 3" xfId="7689" xr:uid="{A088E410-BA12-4AD7-8188-4C204F67D925}"/>
    <cellStyle name="Normal 4 5 3 3 4" xfId="6920" xr:uid="{5CDD220C-68CB-421E-9BC6-38375DD13A1F}"/>
    <cellStyle name="Normal 4 5 3 4" xfId="6732" xr:uid="{C1E02E4A-108D-4DE0-A07F-29AF5AA76240}"/>
    <cellStyle name="Normal 4 5 3 4 2" xfId="8291" xr:uid="{BB240C07-4442-4951-8EA1-61309600BC4E}"/>
    <cellStyle name="Normal 4 5 3 5" xfId="7541" xr:uid="{A3781972-8622-43D4-9F34-2E80BAE6BAA9}"/>
    <cellStyle name="Normal 4 5 3 6" xfId="4926" xr:uid="{D6C756C9-31BB-4868-BF6F-8D070DB575AF}"/>
    <cellStyle name="Normal 4 5 3 7" xfId="3999" xr:uid="{6923ECC2-F522-4057-9EEB-0A8BBAAD4351}"/>
    <cellStyle name="Normal 4 5 4" xfId="2924" xr:uid="{00000000-0005-0000-0000-00000A0A0000}"/>
    <cellStyle name="Normal 4 5 4 2" xfId="3640" xr:uid="{CD4C8EC0-98D1-4408-AC6E-36DC6BC76FBD}"/>
    <cellStyle name="Normal 4 5 4 2 2" xfId="7175" xr:uid="{04182644-82FC-405B-8D7E-40F3975B6CB4}"/>
    <cellStyle name="Normal 4 5 4 2 2 2" xfId="8688" xr:uid="{5C4E12F5-FB94-4FE6-AF55-DA6D713B9AAD}"/>
    <cellStyle name="Normal 4 5 4 2 3" xfId="7938" xr:uid="{91C07204-9180-4DED-AD45-F378FAE2C820}"/>
    <cellStyle name="Normal 4 5 4 2 4" xfId="6369" xr:uid="{F962060C-5DEE-445C-BA31-B04A046AF9CF}"/>
    <cellStyle name="Normal 4 5 4 2 5" xfId="4508" xr:uid="{8B459978-8EDE-419B-A213-2926C3E93FBF}"/>
    <cellStyle name="Normal 4 5 4 3" xfId="4232" xr:uid="{DCC30085-8AB1-4996-BDF5-537DC17B3DD5}"/>
    <cellStyle name="Normal 4 5 4 3 2" xfId="8488" xr:uid="{87DC6151-6081-41B0-9005-6C12C9D27537}"/>
    <cellStyle name="Normal 4 5 4 3 3" xfId="7738" xr:uid="{5669EC4B-F054-47D3-8ADE-3A36F0AEE944}"/>
    <cellStyle name="Normal 4 5 4 3 4" xfId="6969" xr:uid="{CCA5266F-F8B5-42EF-B5CE-C4D0F385967C}"/>
    <cellStyle name="Normal 4 5 4 4" xfId="6652" xr:uid="{904D80DF-2A69-4807-A516-27C91521DFB9}"/>
    <cellStyle name="Normal 4 5 4 4 2" xfId="8211" xr:uid="{5B7AD51B-1FFF-4F0D-9F1A-166C3C42BFD3}"/>
    <cellStyle name="Normal 4 5 4 5" xfId="7461" xr:uid="{F2AA5DBD-EA9C-4686-92EE-A5BF48323292}"/>
    <cellStyle name="Normal 4 5 4 6" xfId="4975" xr:uid="{7BA7A1C3-F33E-4201-BF98-84C823577395}"/>
    <cellStyle name="Normal 4 5 4 7" xfId="4028" xr:uid="{54C51E57-D393-4C29-9550-F34A79496988}"/>
    <cellStyle name="Normal 4 5 5" xfId="3495" xr:uid="{81A282D9-7FE5-4DE8-BF53-62E293E9454B}"/>
    <cellStyle name="Normal 4 5 5 2" xfId="3789" xr:uid="{6552CAA6-71C5-475E-829C-1ED9A47A3899}"/>
    <cellStyle name="Normal 4 5 5 2 2" xfId="7221" xr:uid="{5FE62B36-1FA1-4738-B2D7-ABA7887220DF}"/>
    <cellStyle name="Normal 4 5 5 2 2 2" xfId="8733" xr:uid="{10D83E2F-F9AF-4995-AC5A-211BD6EA4615}"/>
    <cellStyle name="Normal 4 5 5 2 3" xfId="7983" xr:uid="{C7957483-19D2-467B-BE82-C0FBA1ACCB4D}"/>
    <cellStyle name="Normal 4 5 5 2 4" xfId="6420" xr:uid="{58FDBC19-2DB4-4CA1-A08A-54366B89836D}"/>
    <cellStyle name="Normal 4 5 5 2 5" xfId="4641" xr:uid="{8CF3A37E-A39E-428F-840A-7DC9C7822675}"/>
    <cellStyle name="Normal 4 5 5 3" xfId="7020" xr:uid="{88231340-D3AB-4A47-B17C-9ECBEA546C06}"/>
    <cellStyle name="Normal 4 5 5 3 2" xfId="8539" xr:uid="{69F9BBB0-F373-4F2A-A653-EBBF6ABC2D65}"/>
    <cellStyle name="Normal 4 5 5 4" xfId="7789" xr:uid="{0438E52F-E9D0-4712-AE11-E5DF6326D5D1}"/>
    <cellStyle name="Normal 4 5 5 5" xfId="5027" xr:uid="{4B49441D-46DB-498B-A63B-CE3BD5E876C4}"/>
    <cellStyle name="Normal 4 5 5 6" xfId="4365" xr:uid="{2A1D5D57-A484-44DB-BDEF-6D7C8EAE8196}"/>
    <cellStyle name="Normal 4 5 6" xfId="3550" xr:uid="{1FCCAD14-214A-48C4-ABE3-85B1FF8A461B}"/>
    <cellStyle name="Normal 4 5 6 2" xfId="7066" xr:uid="{C54ADE54-9392-4B36-A480-51B3923349BD}"/>
    <cellStyle name="Normal 4 5 6 2 2" xfId="8585" xr:uid="{67F3005C-B55C-44DA-B630-F6FA0EEF3F16}"/>
    <cellStyle name="Normal 4 5 6 3" xfId="7835" xr:uid="{6B406CAA-F11F-4C8E-B100-0F59B289EEFE}"/>
    <cellStyle name="Normal 4 5 6 4" xfId="5110" xr:uid="{253223C3-BDCB-4597-8A67-37528669B670}"/>
    <cellStyle name="Normal 4 5 6 5" xfId="4418" xr:uid="{0AE266C1-6922-402A-8ECD-D2411D662A39}"/>
    <cellStyle name="Normal 4 5 7" xfId="3836" xr:uid="{0CD1222B-FA19-4527-9D56-E487FAC04B49}"/>
    <cellStyle name="Normal 4 5 7 2" xfId="5604" xr:uid="{A115EA1A-15DC-47DC-9318-8D5DF793F022}"/>
    <cellStyle name="Normal 4 5 7 3" xfId="4688" xr:uid="{8B47851A-B504-43CE-BCBF-88BD7969F9F6}"/>
    <cellStyle name="Normal 4 5 8" xfId="4139" xr:uid="{2CEA3FA5-149D-4F3D-8CE2-0F854C1D8636}"/>
    <cellStyle name="Normal 4 5 8 2" xfId="7306" xr:uid="{CDA3FA32-459B-4311-A5B8-38EC4E49FB59}"/>
    <cellStyle name="Normal 4 5 8 2 2" xfId="8818" xr:uid="{8F0CE2A2-719A-4AEB-B34C-AECF2D83675C}"/>
    <cellStyle name="Normal 4 5 8 3" xfId="8068" xr:uid="{D708B786-7796-4407-9A05-9BFAF9EB2994}"/>
    <cellStyle name="Normal 4 5 8 4" xfId="6505" xr:uid="{39A4A4A7-FBF2-4BAE-A308-74B4F893730E}"/>
    <cellStyle name="Normal 4 5 9" xfId="6863" xr:uid="{AAE189F6-F5AD-4F21-8AF9-2E4AD8E86399}"/>
    <cellStyle name="Normal 4 5 9 2" xfId="8393" xr:uid="{80100BDD-D65D-4A7D-8C41-1C198ED65480}"/>
    <cellStyle name="Normal 4 5 9 3" xfId="7643" xr:uid="{C5C63160-610D-48C3-BB8D-10ACDF78B186}"/>
    <cellStyle name="Normal 4 6" xfId="2849" xr:uid="{00000000-0005-0000-0000-000038090000}"/>
    <cellStyle name="Normal 4 6 10" xfId="7388" xr:uid="{2C0723AD-73A8-46F9-A00A-0AD67D032C17}"/>
    <cellStyle name="Normal 4 6 11" xfId="4818" xr:uid="{69E144A5-B40E-483E-BFEB-A7C35214756F}"/>
    <cellStyle name="Normal 4 6 12" xfId="3906" xr:uid="{98DA1822-D102-4032-9391-DA31D040B3B6}"/>
    <cellStyle name="Normal 4 6 2" xfId="2896" xr:uid="{00000000-0005-0000-0000-000038090000}"/>
    <cellStyle name="Normal 4 6 2 2" xfId="2997" xr:uid="{00000000-0005-0000-0000-00000E0A0000}"/>
    <cellStyle name="Normal 4 6 2 2 2" xfId="3713" xr:uid="{3F2A990B-7449-4D83-900A-219D08ED25C5}"/>
    <cellStyle name="Normal 4 6 2 2 2 2" xfId="8645" xr:uid="{05A00100-2CB1-40EE-A2D6-0F5DE19AFA7D}"/>
    <cellStyle name="Normal 4 6 2 2 2 3" xfId="7895" xr:uid="{01F3BCE8-F840-45BA-B2A5-47B0D81C6C6F}"/>
    <cellStyle name="Normal 4 6 2 2 2 4" xfId="7130" xr:uid="{9B628295-9F3C-4A10-91CC-E9B1442063D6}"/>
    <cellStyle name="Normal 4 6 2 2 2 5" xfId="4565" xr:uid="{EC995169-8D91-4C0C-8A5F-43C4A3B198D3}"/>
    <cellStyle name="Normal 4 6 2 2 3" xfId="6709" xr:uid="{8F79F31D-B09C-4527-8814-AD1F34492221}"/>
    <cellStyle name="Normal 4 6 2 2 3 2" xfId="8268" xr:uid="{24368CA3-C2A8-415B-997F-82952F43BD6F}"/>
    <cellStyle name="Normal 4 6 2 2 4" xfId="7518" xr:uid="{CA3D69B9-9CD4-4205-96D9-AEFCD732F39C}"/>
    <cellStyle name="Normal 4 6 2 2 5" xfId="5715" xr:uid="{75CA01A9-BAFA-4EEF-A17F-41B1E28D7F85}"/>
    <cellStyle name="Normal 4 6 2 2 6" xfId="4289" xr:uid="{A0A7DCC2-7F44-40AD-85B9-93E491E414AD}"/>
    <cellStyle name="Normal 4 6 2 3" xfId="3612" xr:uid="{16116DEF-25DC-4283-9469-FC4A7860FDBA}"/>
    <cellStyle name="Normal 4 6 2 3 2" xfId="8556" xr:uid="{828A187A-4B62-4D04-9938-4EAC066F70E8}"/>
    <cellStyle name="Normal 4 6 2 3 3" xfId="7806" xr:uid="{56EAE08F-D959-4C17-AA24-77884C51B536}"/>
    <cellStyle name="Normal 4 6 2 3 4" xfId="7037" xr:uid="{E67F462D-C8C5-47DC-9D9A-0CD97A2DD1FF}"/>
    <cellStyle name="Normal 4 6 2 3 5" xfId="4480" xr:uid="{C9887A1F-738C-42FA-94BE-272EBFD91DA0}"/>
    <cellStyle name="Normal 4 6 2 4" xfId="4204" xr:uid="{F69FAE3E-B0D2-473D-B875-C221235E58F6}"/>
    <cellStyle name="Normal 4 6 2 4 2" xfId="8183" xr:uid="{0F8EB9A0-BBFB-4DAD-A48C-7BA9BFAC1FA1}"/>
    <cellStyle name="Normal 4 6 2 4 3" xfId="6624" xr:uid="{6341246D-2AF6-4C20-B991-A3A40D448718}"/>
    <cellStyle name="Normal 4 6 2 5" xfId="7433" xr:uid="{381FD6B9-9463-40DE-ACB7-445B347EF279}"/>
    <cellStyle name="Normal 4 6 2 6" xfId="5044" xr:uid="{A384FE5F-5957-4132-8F23-A22CA6443ECE}"/>
    <cellStyle name="Normal 4 6 2 7" xfId="4066" xr:uid="{FA0BECAA-8171-4B25-B876-E7DF80900508}"/>
    <cellStyle name="Normal 4 6 3" xfId="3441" xr:uid="{00000000-0005-0000-0000-00000F0A0000}"/>
    <cellStyle name="Normal 4 6 3 2" xfId="3753" xr:uid="{A6BF2721-F0B3-489D-80E2-0378399F00F1}"/>
    <cellStyle name="Normal 4 6 3 2 2" xfId="8613" xr:uid="{6E55E996-99C6-4B42-9967-94C1D08CE48C}"/>
    <cellStyle name="Normal 4 6 3 2 3" xfId="7863" xr:uid="{91543ACD-2277-4EA8-B87A-688C458DC522}"/>
    <cellStyle name="Normal 4 6 3 2 4" xfId="7097" xr:uid="{5E50ED17-355A-4883-9E3B-A548F6369D1C}"/>
    <cellStyle name="Normal 4 6 3 2 5" xfId="4605" xr:uid="{2683AE4A-A68A-4C08-82B0-AC49476A66F2}"/>
    <cellStyle name="Normal 4 6 3 3" xfId="6750" xr:uid="{CA0C593F-461C-4DE6-A39D-6E20B63DBFC1}"/>
    <cellStyle name="Normal 4 6 3 3 2" xfId="8308" xr:uid="{A615623E-A73C-4034-8355-8C00A2C4B76D}"/>
    <cellStyle name="Normal 4 6 3 4" xfId="7558" xr:uid="{EB34F163-07DB-4B50-903C-1F207FC37EF7}"/>
    <cellStyle name="Normal 4 6 3 5" xfId="5650" xr:uid="{5FB996B6-9D79-4ADF-8363-7B3F97DE2B3C}"/>
    <cellStyle name="Normal 4 6 3 6" xfId="4329" xr:uid="{F22934FC-355F-4916-885F-BCC509115F8E}"/>
    <cellStyle name="Normal 4 6 4" xfId="2941" xr:uid="{00000000-0005-0000-0000-00000D0A0000}"/>
    <cellStyle name="Normal 4 6 4 2" xfId="3657" xr:uid="{1308690D-35FA-46C4-ACE0-21D1D4CC7B05}"/>
    <cellStyle name="Normal 4 6 4 2 2" xfId="8749" xr:uid="{E50D3DC6-82E5-4406-AF30-136860B9B8DE}"/>
    <cellStyle name="Normal 4 6 4 2 3" xfId="7999" xr:uid="{80EEAB93-BCAD-45FE-9FDD-021767615D48}"/>
    <cellStyle name="Normal 4 6 4 2 4" xfId="7237" xr:uid="{518FDD45-0520-4C57-B7F8-038739A54723}"/>
    <cellStyle name="Normal 4 6 4 2 5" xfId="4525" xr:uid="{EDF93921-26FB-42E3-9054-0340CBA2E160}"/>
    <cellStyle name="Normal 4 6 4 3" xfId="6669" xr:uid="{939D8387-31A9-4AC1-AB1A-7BC89A6F1E04}"/>
    <cellStyle name="Normal 4 6 4 3 2" xfId="8228" xr:uid="{50262470-026C-486A-BCE4-7799E81AC316}"/>
    <cellStyle name="Normal 4 6 4 4" xfId="7478" xr:uid="{20DB51E4-E089-470A-8468-479374EA09AC}"/>
    <cellStyle name="Normal 4 6 4 5" xfId="6436" xr:uid="{CC023DEE-FDC2-4433-98CD-DCC4A3B99C00}"/>
    <cellStyle name="Normal 4 6 4 6" xfId="4249" xr:uid="{228F028C-3C2A-4949-B9C6-3C7FD496BE39}"/>
    <cellStyle name="Normal 4 6 5" xfId="3512" xr:uid="{10A89F49-8A40-4015-84BB-124C57F9144B}"/>
    <cellStyle name="Normal 4 6 5 2" xfId="3806" xr:uid="{FEAA40AB-68B2-446F-94C6-A25B27D13B39}"/>
    <cellStyle name="Normal 4 6 5 2 2" xfId="8791" xr:uid="{A61F0CEC-A984-4961-AAF9-A491158D388F}"/>
    <cellStyle name="Normal 4 6 5 2 3" xfId="7279" xr:uid="{506A4014-EFF7-4429-87DA-0E046DFD282F}"/>
    <cellStyle name="Normal 4 6 5 2 4" xfId="4658" xr:uid="{9254BB98-C8F7-4795-AD80-111DA22C1FAA}"/>
    <cellStyle name="Normal 4 6 5 3" xfId="8041" xr:uid="{6FDD767F-69A7-4557-A984-E925F1892B08}"/>
    <cellStyle name="Normal 4 6 5 4" xfId="6478" xr:uid="{5346FF0F-D16C-4F1A-9B86-42AC914F0FB4}"/>
    <cellStyle name="Normal 4 6 5 5" xfId="4382" xr:uid="{9EB85330-A836-4021-B0F5-7EDC080872E0}"/>
    <cellStyle name="Normal 4 6 6" xfId="3567" xr:uid="{52C840DD-40E2-4FEC-A9BB-EB793F5E9A78}"/>
    <cellStyle name="Normal 4 6 6 2" xfId="7323" xr:uid="{9ED319DE-933E-4737-919D-8AC779D3D399}"/>
    <cellStyle name="Normal 4 6 6 2 2" xfId="8835" xr:uid="{D4AE0649-164F-447F-9EEA-8227013E4D03}"/>
    <cellStyle name="Normal 4 6 6 3" xfId="8085" xr:uid="{CD27E42D-59D1-4B65-8A80-4D0FC903EEC8}"/>
    <cellStyle name="Normal 4 6 6 4" xfId="6529" xr:uid="{EA34E166-4579-49AB-A18C-D6249EF9183C}"/>
    <cellStyle name="Normal 4 6 6 5" xfId="4435" xr:uid="{0F33ADB4-5892-4F8C-887D-E51935C6AC72}"/>
    <cellStyle name="Normal 4 6 7" xfId="3853" xr:uid="{51102D2C-A5E0-4024-A4CE-A391D0555BA6}"/>
    <cellStyle name="Normal 4 6 7 2" xfId="6885" xr:uid="{1EFFA3A1-58BC-4F75-ADAA-4F50D1C0D2BA}"/>
    <cellStyle name="Normal 4 6 7 3" xfId="4705" xr:uid="{2420D015-5A70-42C2-A179-E8523002989F}"/>
    <cellStyle name="Normal 4 6 8" xfId="4159" xr:uid="{0A539B23-11D2-4C7C-8197-2D1A31F58D6C}"/>
    <cellStyle name="Normal 4 6 8 2" xfId="8367" xr:uid="{BBAF64FA-8959-4202-804C-8A33BA090452}"/>
    <cellStyle name="Normal 4 6 8 3" xfId="7617" xr:uid="{A278528C-B699-4278-BD6E-B782870BF1DC}"/>
    <cellStyle name="Normal 4 6 8 4" xfId="6828" xr:uid="{F88DDD1D-231F-4E2B-8FB2-8621AB7D275E}"/>
    <cellStyle name="Normal 4 6 9" xfId="6579" xr:uid="{79717DCE-4D72-4CE9-BAC7-B90F50D9ABED}"/>
    <cellStyle name="Normal 4 6 9 2" xfId="8138" xr:uid="{1C50D0AE-8D7B-4D4A-BA1E-4D7C937511BA}"/>
    <cellStyle name="Normal 4 7" xfId="2864" xr:uid="{00000000-0005-0000-0000-000039090000}"/>
    <cellStyle name="Normal 4 7 2" xfId="4081" xr:uid="{C4A8227B-4C2B-4467-9AD4-2AE1C167697D}"/>
    <cellStyle name="Normal 4 7 2 2" xfId="7111" xr:uid="{AD4762F9-FF77-4AFF-B469-586113739ABF}"/>
    <cellStyle name="Normal 4 7 2 2 2" xfId="8627" xr:uid="{B090F3C0-EE3F-4C58-B06B-8F4FE2576741}"/>
    <cellStyle name="Normal 4 7 2 3" xfId="7877" xr:uid="{E5BBA435-882F-436F-985F-B408EF029F97}"/>
    <cellStyle name="Normal 4 7 2 4" xfId="5695" xr:uid="{B404A3C9-A562-48AD-86EB-1C180EBFF4C0}"/>
    <cellStyle name="Normal 4 7 3" xfId="4092" xr:uid="{2FC388A0-BBB1-4387-86DB-423B7C5FD70A}"/>
    <cellStyle name="Normal 4 7 4" xfId="3970" xr:uid="{5D2A771F-B6B1-42E8-A1A2-09BB53AA590B}"/>
    <cellStyle name="Normal 4 8" xfId="26" xr:uid="{00000000-0005-0000-0000-00003A090000}"/>
    <cellStyle name="Normal 4 8 10" xfId="6555" xr:uid="{C9618C47-2AEF-4C5B-A56A-9EBC110087EC}"/>
    <cellStyle name="Normal 4 8 10 2" xfId="8114" xr:uid="{03FDF1A8-BF27-4203-81B1-C8E2CECDAC97}"/>
    <cellStyle name="Normal 4 8 11" xfId="7364" xr:uid="{FF988B36-681F-410E-B64B-D265ED9F9682}"/>
    <cellStyle name="Normal 4 8 12" xfId="5020" xr:uid="{A71A5AEE-A287-401E-BC04-7A43D08DD730}"/>
    <cellStyle name="Normal 4 8 13" xfId="3992" xr:uid="{CB37ADB9-1BBB-4523-B5CC-9717949F9B3D}"/>
    <cellStyle name="Normal 4 8 2" xfId="2872" xr:uid="{00000000-0005-0000-0000-00003A090000}"/>
    <cellStyle name="Normal 4 8 2 2" xfId="3588" xr:uid="{9A9894F9-6646-43A4-B95A-2445DB649F6F}"/>
    <cellStyle name="Normal 4 8 2 2 2" xfId="8577" xr:uid="{F7075C74-BA6C-4D2A-9720-8744337C3F27}"/>
    <cellStyle name="Normal 4 8 2 2 3" xfId="7827" xr:uid="{311E46C7-439E-4B14-B8FD-1E6C3B6927EE}"/>
    <cellStyle name="Normal 4 8 2 2 4" xfId="7058" xr:uid="{F94CD322-8D64-40EF-A817-1BFD8B13447C}"/>
    <cellStyle name="Normal 4 8 2 2 5" xfId="4456" xr:uid="{640E5DF3-ED79-4E88-89FF-9B758CEFB687}"/>
    <cellStyle name="Normal 4 8 2 3" xfId="4180" xr:uid="{5A18D494-EAB2-48D3-84A9-BD04A2E7B245}"/>
    <cellStyle name="Normal 4 8 2 3 2" xfId="8159" xr:uid="{0D601C39-30C0-45A5-AB41-0553C4CDD29B}"/>
    <cellStyle name="Normal 4 8 2 3 3" xfId="6600" xr:uid="{15463B5A-45C3-4B37-AA3E-A9E3A63BC77D}"/>
    <cellStyle name="Normal 4 8 2 4" xfId="7409" xr:uid="{643DCEA7-8ADB-4BFD-AC69-5DF7D646D72B}"/>
    <cellStyle name="Normal 4 8 2 5" xfId="5066" xr:uid="{AF26CCCE-7761-49BB-B2B6-C4E397A9BC74}"/>
    <cellStyle name="Normal 4 8 2 6" xfId="4019" xr:uid="{F16490DB-229E-42BE-9B8C-944787B6AE88}"/>
    <cellStyle name="Normal 4 8 3" xfId="2917" xr:uid="{00000000-0005-0000-0000-0000110A0000}"/>
    <cellStyle name="Normal 4 8 3 2" xfId="3633" xr:uid="{90201E4C-43A6-4F80-A2DE-DEDC9A4B8A26}"/>
    <cellStyle name="Normal 4 8 3 2 2" xfId="8684" xr:uid="{12B2CF34-097F-4D76-AD66-EA248CD4BCD9}"/>
    <cellStyle name="Normal 4 8 3 2 3" xfId="7934" xr:uid="{3D68DF92-D04A-40AE-8129-1AF923C30C08}"/>
    <cellStyle name="Normal 4 8 3 2 4" xfId="7171" xr:uid="{6E31A865-3DB3-4B7F-B23A-5E11BD317D85}"/>
    <cellStyle name="Normal 4 8 3 2 5" xfId="4501" xr:uid="{167F91DC-5731-4A12-86FE-8510A08BC079}"/>
    <cellStyle name="Normal 4 8 3 3" xfId="6645" xr:uid="{2DBB0C4B-F5AF-4B49-924F-375C8F4F9002}"/>
    <cellStyle name="Normal 4 8 3 3 2" xfId="8204" xr:uid="{319C0989-BC76-4161-8483-3B16762DDBDB}"/>
    <cellStyle name="Normal 4 8 3 4" xfId="7454" xr:uid="{1BC174B6-720B-4E6D-83D7-3180EEDDD682}"/>
    <cellStyle name="Normal 4 8 3 5" xfId="6351" xr:uid="{7FE98348-9A11-4095-9E51-1B833C8141F7}"/>
    <cellStyle name="Normal 4 8 3 6" xfId="4225" xr:uid="{DC1DF6BF-5EE5-426B-95D1-0BB6B0EC07D9}"/>
    <cellStyle name="Normal 4 8 4" xfId="3488" xr:uid="{2E19F4E3-573E-41A3-BEB5-FA50D11CCE74}"/>
    <cellStyle name="Normal 4 8 4 2" xfId="3782" xr:uid="{FD8D2700-2647-444C-983E-10C5F76FB844}"/>
    <cellStyle name="Normal 4 8 4 2 2" xfId="8726" xr:uid="{0468F061-F772-41C2-9E45-6501CEA684BD}"/>
    <cellStyle name="Normal 4 8 4 2 3" xfId="7214" xr:uid="{D12A9872-B39C-4388-AA8D-C63F097CF065}"/>
    <cellStyle name="Normal 4 8 4 2 4" xfId="4634" xr:uid="{63D4266E-4953-4879-B0EA-11FF77AD2F3C}"/>
    <cellStyle name="Normal 4 8 4 3" xfId="7976" xr:uid="{66014B33-E775-40B6-B012-0BA8B1F9A091}"/>
    <cellStyle name="Normal 4 8 4 4" xfId="6413" xr:uid="{DD8FFF8A-DF1B-4A86-A762-DBF4C5B8483B}"/>
    <cellStyle name="Normal 4 8 4 5" xfId="4358" xr:uid="{65C72226-43D0-4D0C-9F6C-1D2FEFBDBA30}"/>
    <cellStyle name="Normal 4 8 5" xfId="3543" xr:uid="{1CAC8D02-3292-421A-9444-1D9C94F71DAF}"/>
    <cellStyle name="Normal 4 8 5 2" xfId="7257" xr:uid="{7319D2B6-E4D1-423C-B911-A51573B1CBA2}"/>
    <cellStyle name="Normal 4 8 5 2 2" xfId="8769" xr:uid="{0FC6E6D8-2A90-46EB-B545-E8D539D72A4D}"/>
    <cellStyle name="Normal 4 8 5 3" xfId="8019" xr:uid="{0D25156E-6286-44F6-AD76-0C6913FCC854}"/>
    <cellStyle name="Normal 4 8 5 4" xfId="6456" xr:uid="{657AEC17-21B1-4720-9BC9-A8CA44EE00BE}"/>
    <cellStyle name="Normal 4 8 5 5" xfId="4411" xr:uid="{A6C1AA8D-2BC0-4E15-9558-87F9873E6EC5}"/>
    <cellStyle name="Normal 4 8 6" xfId="3829" xr:uid="{D36DDB43-6C7D-492D-8251-BD82F2308D11}"/>
    <cellStyle name="Normal 4 8 6 2" xfId="5274" xr:uid="{1E7081BE-FC0B-43AC-96BA-9DA38784A082}"/>
    <cellStyle name="Normal 4 8 6 3" xfId="4681" xr:uid="{9F95024B-EC81-40FF-B8A5-DE2BF54F7A77}"/>
    <cellStyle name="Normal 4 8 7" xfId="4131" xr:uid="{F6C22882-A06C-4BD5-9876-55BF6A989365}"/>
    <cellStyle name="Normal 4 8 7 2" xfId="7299" xr:uid="{32638C17-2099-4901-96F1-4401E5F6DCCD}"/>
    <cellStyle name="Normal 4 8 7 2 2" xfId="8811" xr:uid="{72C424ED-E926-4F37-A9C9-2E4B17E28BDA}"/>
    <cellStyle name="Normal 4 8 7 3" xfId="8061" xr:uid="{67AB74F1-2ABC-49DB-BDB1-5466999F4507}"/>
    <cellStyle name="Normal 4 8 7 4" xfId="6498" xr:uid="{85E4EB7B-6570-42E4-AD8F-E6AE2C289638}"/>
    <cellStyle name="Normal 4 8 8" xfId="7013" xr:uid="{BC4F6F37-6CB7-4A4C-8942-69BE1BF0ABF6}"/>
    <cellStyle name="Normal 4 8 8 2" xfId="8532" xr:uid="{B6A63ECE-7997-4E42-A8E3-C8CBBB05C70A}"/>
    <cellStyle name="Normal 4 8 8 3" xfId="7782" xr:uid="{1CED63CB-DE87-4F7A-B335-A9062EDCAD77}"/>
    <cellStyle name="Normal 4 8 9" xfId="6786" xr:uid="{7AF3CDBF-CDA1-4F18-8C60-E68C23290CB6}"/>
    <cellStyle name="Normal 4 8 9 2" xfId="8343" xr:uid="{3FBD4477-F5E8-42D6-8F34-A38E6273420E}"/>
    <cellStyle name="Normal 4 8 9 3" xfId="7593" xr:uid="{18CAA637-391F-4687-A989-7576FB945270}"/>
    <cellStyle name="Normal 4 9" xfId="21" xr:uid="{00000000-0005-0000-0000-000030090000}"/>
    <cellStyle name="Normal 4 9 2" xfId="2957" xr:uid="{00000000-0005-0000-0000-0000120A0000}"/>
    <cellStyle name="Normal 4 9 2 2" xfId="3673" xr:uid="{3FC5A381-B079-44F0-A8F7-1DF30F55E63A}"/>
    <cellStyle name="Normal 4 9 2 2 2" xfId="8667" xr:uid="{03E129DD-6449-4DC3-99C1-3F4C363ACEAA}"/>
    <cellStyle name="Normal 4 9 2 2 3" xfId="7917" xr:uid="{D74F4D8B-363F-4DFE-9B2F-68064D810082}"/>
    <cellStyle name="Normal 4 9 2 2 4" xfId="7154" xr:uid="{2B7E2253-2A8C-44CB-8563-EF73783AED59}"/>
    <cellStyle name="Normal 4 9 2 2 5" xfId="4541" xr:uid="{7E3CC3F0-31C4-4A72-886C-9C49749ED0D4}"/>
    <cellStyle name="Normal 4 9 2 3" xfId="6685" xr:uid="{F3CD6CCC-3CBC-4D5D-A3D7-471CABFBC997}"/>
    <cellStyle name="Normal 4 9 2 3 2" xfId="8244" xr:uid="{3109B4FC-4C3C-42C3-B306-DD4171F73002}"/>
    <cellStyle name="Normal 4 9 2 4" xfId="7494" xr:uid="{214355CD-475C-486B-8FCE-D727EE30E134}"/>
    <cellStyle name="Normal 4 9 2 5" xfId="6333" xr:uid="{61B1C6BD-FCE9-41AD-BCC7-3E2E58B6E0B0}"/>
    <cellStyle name="Normal 4 9 2 6" xfId="4265" xr:uid="{5F2D2D6B-7378-475F-A091-1E97B83FA1C4}"/>
    <cellStyle name="Normal 4 9 3" xfId="3538" xr:uid="{8C8B8F0F-4371-476F-B8F9-1C084E7148B0}"/>
    <cellStyle name="Normal 4 9 3 2" xfId="8527" xr:uid="{882AEBC1-97D7-4C9D-B82C-EE5A93F7DAFF}"/>
    <cellStyle name="Normal 4 9 3 3" xfId="7777" xr:uid="{0531A5B8-2BA0-48E1-B922-C2A5B1B8C787}"/>
    <cellStyle name="Normal 4 9 3 4" xfId="7008" xr:uid="{6B7827BE-D8F3-4834-B8CA-6531EF0A4EDB}"/>
    <cellStyle name="Normal 4 9 3 5" xfId="4406" xr:uid="{472A7254-53B6-411C-BF77-19D1C170BE74}"/>
    <cellStyle name="Normal 4 9 4" xfId="4126" xr:uid="{51675F18-00AE-4523-B7DA-B96930072F50}"/>
    <cellStyle name="Normal 4 9 4 2" xfId="8109" xr:uid="{291AA11E-0B92-4122-8174-51D4AC961BB9}"/>
    <cellStyle name="Normal 4 9 4 3" xfId="6550" xr:uid="{2AEAF8CA-FC3F-4826-9BA3-3BF067F947E2}"/>
    <cellStyle name="Normal 4 9 5" xfId="7359" xr:uid="{91CCFBC5-4744-4F87-8298-B97B57D1BE1A}"/>
    <cellStyle name="Normal 4 9 6" xfId="5015" xr:uid="{46D15E47-5E2C-40CC-94A9-3B9D5CE7B6EE}"/>
    <cellStyle name="Normal 4 9 7" xfId="4014" xr:uid="{AD55D9EE-B10E-4D1C-8254-255C0BE24649}"/>
    <cellStyle name="Normal 5" xfId="17" xr:uid="{00000000-0005-0000-0000-000009000000}"/>
    <cellStyle name="Normal 5 10" xfId="4122" xr:uid="{51F7036A-77B6-4279-ACDF-C293A4F6DF14}"/>
    <cellStyle name="Normal 5 10 2" xfId="8381" xr:uid="{71C45E8F-9664-44A2-BB66-A63192857E04}"/>
    <cellStyle name="Normal 5 10 3" xfId="7631" xr:uid="{2D9450CC-042E-4703-A62A-7CC3205D795C}"/>
    <cellStyle name="Normal 5 10 4" xfId="6843" xr:uid="{ACA5B712-E279-4CFC-92FF-63B8C579F2DB}"/>
    <cellStyle name="Normal 5 11" xfId="6782" xr:uid="{ED50DF70-E89C-42F3-84E7-25E0F48A410E}"/>
    <cellStyle name="Normal 5 11 2" xfId="8339" xr:uid="{1890F052-1556-4D0B-9D5E-4AF39F221ABE}"/>
    <cellStyle name="Normal 5 11 3" xfId="7589" xr:uid="{D0AB2C1D-B30F-490A-948A-AD7848740A3D}"/>
    <cellStyle name="Normal 5 12" xfId="6546" xr:uid="{6CAF259C-21DD-474F-BFD0-E5B28612EE11}"/>
    <cellStyle name="Normal 5 12 2" xfId="8105" xr:uid="{971E39B5-BF75-4D67-9C22-16FB8D36D443}"/>
    <cellStyle name="Normal 5 13" xfId="7355" xr:uid="{91C2909E-1C3E-4B68-B3D4-F99439405C9E}"/>
    <cellStyle name="Normal 5 14" xfId="4722" xr:uid="{73A321F9-2ABF-4DEA-A9C1-EFE0D4A282C5}"/>
    <cellStyle name="Normal 5 15" xfId="3877" xr:uid="{FDC453F0-DCD6-4596-A552-E75D84704810}"/>
    <cellStyle name="Normal 5 2" xfId="2260" xr:uid="{00000000-0005-0000-0000-00003C090000}"/>
    <cellStyle name="Normal 5 2 2" xfId="3957" xr:uid="{79EC9351-1CAD-47F8-B21A-876598DC914F}"/>
    <cellStyle name="Normal 5 2 3" xfId="4826" xr:uid="{7F794442-30AD-455B-AFC9-00101498E7C0}"/>
    <cellStyle name="Normal 5 2 4" xfId="6858" xr:uid="{E1DD448E-5DBF-4EE1-88AD-E276BA2090CE}"/>
    <cellStyle name="Normal 5 2 5" xfId="3899" xr:uid="{93B702B9-9210-4C4B-9807-2F0F2E72504A}"/>
    <cellStyle name="Normal 5 3" xfId="220" xr:uid="{00000000-0005-0000-0000-00003D090000}"/>
    <cellStyle name="Normal 5 3 2" xfId="6370" xr:uid="{5F5E1E8E-BA41-472F-88BF-2CB1E6CE8DB0}"/>
    <cellStyle name="Normal 5 3 3" xfId="5574" xr:uid="{8E7D1013-270B-4AD6-9BF4-CAEECD3BA723}"/>
    <cellStyle name="Normal 5 4" xfId="22" xr:uid="{00000000-0005-0000-0000-00003B090000}"/>
    <cellStyle name="Normal 5 4 2" xfId="3479" xr:uid="{00000000-0005-0000-0000-000007000000}"/>
    <cellStyle name="Normal 5 4 2 2" xfId="3773" xr:uid="{CF29A4C3-A1B3-4D9A-9739-934762F18219}"/>
    <cellStyle name="Normal 5 4 2 2 2" xfId="8450" xr:uid="{CF935248-464F-4D7F-A36B-AE85E5E9B551}"/>
    <cellStyle name="Normal 5 4 2 2 3" xfId="7700" xr:uid="{C97B851B-F069-4418-A601-3626A9A56386}"/>
    <cellStyle name="Normal 5 4 2 2 4" xfId="6931" xr:uid="{D3D2D5C9-631D-4D5A-811D-C8C234468436}"/>
    <cellStyle name="Normal 5 4 2 2 5" xfId="4625" xr:uid="{28D23C28-1536-46E3-8D13-88C09AA54154}"/>
    <cellStyle name="Normal 5 4 2 3" xfId="6770" xr:uid="{F778A776-3661-4BDF-BD12-574E62AAF3C3}"/>
    <cellStyle name="Normal 5 4 2 3 2" xfId="8328" xr:uid="{1F7B7316-2C2B-4B40-BD0C-D64C8386ABF4}"/>
    <cellStyle name="Normal 5 4 2 4" xfId="7578" xr:uid="{2FF9F1DE-39F6-49FE-B293-D1CA15589011}"/>
    <cellStyle name="Normal 5 4 2 5" xfId="4937" xr:uid="{B06A1DA2-3F8C-4FD1-B46F-06FF553B82ED}"/>
    <cellStyle name="Normal 5 4 2 6" xfId="4349" xr:uid="{CB6B40F3-E4E6-4909-AF40-0D8E1DB472D4}"/>
    <cellStyle name="Normal 5 4 3" xfId="3539" xr:uid="{E922481E-98C4-4476-B72F-4AEA6846DC0D}"/>
    <cellStyle name="Normal 5 4 3 2" xfId="6980" xr:uid="{4006D69D-BB2D-48E9-8689-BD342B686DC2}"/>
    <cellStyle name="Normal 5 4 3 2 2" xfId="8499" xr:uid="{5A9FAC17-4076-410D-B2E7-529DCBFBD5D4}"/>
    <cellStyle name="Normal 5 4 3 3" xfId="7749" xr:uid="{69AF0453-AFA6-4F71-ADA5-3E6FF3EA6B2D}"/>
    <cellStyle name="Normal 5 4 3 4" xfId="4986" xr:uid="{DE939B37-7746-41CE-860F-049606A1A578}"/>
    <cellStyle name="Normal 5 4 3 5" xfId="4407" xr:uid="{3357D436-E881-4A53-B6BD-220E87E39B93}"/>
    <cellStyle name="Normal 5 4 4" xfId="4127" xr:uid="{A3C3514F-2482-450E-8E16-F303A93DEF1C}"/>
    <cellStyle name="Normal 5 4 4 2" xfId="5259" xr:uid="{037F3DEB-C40D-4604-8ED6-96639878C241}"/>
    <cellStyle name="Normal 5 4 5" xfId="6881" xr:uid="{0E3714CC-46E3-4902-BF79-E3995DB018DD}"/>
    <cellStyle name="Normal 5 4 5 2" xfId="8404" xr:uid="{3525D23A-A68B-454A-A445-84CD61406E7C}"/>
    <cellStyle name="Normal 5 4 5 3" xfId="7654" xr:uid="{7E100A83-3122-4003-8DE3-2AECB574A9B5}"/>
    <cellStyle name="Normal 5 4 6" xfId="6551" xr:uid="{85D01F32-B67D-4C9E-B322-380B65918DFE}"/>
    <cellStyle name="Normal 5 4 6 2" xfId="8110" xr:uid="{F636ED5E-CD5D-4815-8B7B-5590CB24C9CC}"/>
    <cellStyle name="Normal 5 4 7" xfId="7360" xr:uid="{7C805801-F180-4338-8CD4-5E9017B4228D}"/>
    <cellStyle name="Normal 5 4 8" xfId="4812" xr:uid="{FC790873-2FD7-4BAE-BBD4-3A86709BA94C}"/>
    <cellStyle name="Normal 5 4 9" xfId="4015" xr:uid="{25C985B7-B9B0-46B5-8EFD-00359889A635}"/>
    <cellStyle name="Normal 5 5" xfId="2868" xr:uid="{00000000-0005-0000-0000-00003B090000}"/>
    <cellStyle name="Normal 5 5 2" xfId="3584" xr:uid="{2DFADD4A-5AE5-4F63-965E-06C1E128DAC1}"/>
    <cellStyle name="Normal 5 5 2 2" xfId="7168" xr:uid="{F7881BA1-127E-48B6-9CE2-5A066C36BAE1}"/>
    <cellStyle name="Normal 5 5 2 2 2" xfId="8681" xr:uid="{79371B25-1494-4F6A-8BFB-28336F4E44E5}"/>
    <cellStyle name="Normal 5 5 2 3" xfId="7931" xr:uid="{88FA383B-7DB2-4E67-A984-EE00C50B25EC}"/>
    <cellStyle name="Normal 5 5 2 4" xfId="6348" xr:uid="{762E9FDF-76F1-4CDA-B2B4-4D461D546DC7}"/>
    <cellStyle name="Normal 5 5 2 5" xfId="4452" xr:uid="{CB1907EE-8823-4DD1-A3E3-B0F777568FFC}"/>
    <cellStyle name="Normal 5 5 3" xfId="6908" xr:uid="{78C3544B-9C0F-4125-A32A-BEAB89EAEF92}"/>
    <cellStyle name="Normal 5 5 3 2" xfId="8427" xr:uid="{EC0807BB-4661-4597-9E01-5FA09883ED37}"/>
    <cellStyle name="Normal 5 5 3 3" xfId="7677" xr:uid="{2346B393-91AF-4AA7-841D-489601EE68CD}"/>
    <cellStyle name="Normal 5 5 4" xfId="6596" xr:uid="{274B6A01-14F7-48A4-8E49-D53BE1831F5B}"/>
    <cellStyle name="Normal 5 5 4 2" xfId="8155" xr:uid="{4ED14EE1-A52E-4213-87FD-31B270E1579A}"/>
    <cellStyle name="Normal 5 5 5" xfId="7405" xr:uid="{D519D1D0-D98C-4F20-95DD-94CA39C210C2}"/>
    <cellStyle name="Normal 5 5 6" xfId="4914" xr:uid="{1AAB97C4-8442-4AC0-82C4-106C422ED7F3}"/>
    <cellStyle name="Normal 5 5 7" xfId="4176" xr:uid="{DC8625C6-EF00-4CDB-9B1D-2B0DE008C68C}"/>
    <cellStyle name="Normal 5 6" xfId="2913" xr:uid="{00000000-0005-0000-0000-0000130A0000}"/>
    <cellStyle name="Normal 5 6 2" xfId="3629" xr:uid="{57DDE6BF-03D8-49F2-B723-8D68A2C089F1}"/>
    <cellStyle name="Normal 5 6 2 2" xfId="6403" xr:uid="{7E706BFD-7117-4767-9124-4D80F6820F1F}"/>
    <cellStyle name="Normal 5 6 2 3" xfId="4497" xr:uid="{49AD034F-C1B8-43A1-B215-1BAC19DD9CFA}"/>
    <cellStyle name="Normal 5 6 3" xfId="4221" xr:uid="{0994EA3A-8919-4990-B630-FB9CF4F9BD9C}"/>
    <cellStyle name="Normal 5 6 3 2" xfId="8476" xr:uid="{CFEAEE47-6B67-47F5-B5E4-DE27234C94CD}"/>
    <cellStyle name="Normal 5 6 3 3" xfId="7726" xr:uid="{1574CF27-56AB-40B2-8DD4-8A608A7B1F03}"/>
    <cellStyle name="Normal 5 6 3 4" xfId="6957" xr:uid="{5B9C0BE3-8F5D-490F-8611-F0B56B7CD68E}"/>
    <cellStyle name="Normal 5 6 4" xfId="6641" xr:uid="{B46D25C0-A1C3-4259-9E7D-34D39490EEF0}"/>
    <cellStyle name="Normal 5 6 4 2" xfId="8200" xr:uid="{34E63298-D3E1-4BB8-9B7D-EC46C382D9D1}"/>
    <cellStyle name="Normal 5 6 5" xfId="7450" xr:uid="{BC8ED5C5-525A-4239-8374-6864729BE3B1}"/>
    <cellStyle name="Normal 5 6 6" xfId="4963" xr:uid="{70152B20-3C56-41C8-BA82-B1A9DE7EDA3F}"/>
    <cellStyle name="Normal 5 6 7" xfId="4086" xr:uid="{CA3CAC1A-6A47-4B0A-945B-4D9D54D22075}"/>
    <cellStyle name="Normal 5 7" xfId="3484" xr:uid="{434971DD-FAF6-4C41-9AF0-E7832C3CDD53}"/>
    <cellStyle name="Normal 5 7 2" xfId="3778" xr:uid="{4EEC499D-EB60-4A32-ADA6-38CC8D3CA329}"/>
    <cellStyle name="Normal 5 7 2 2" xfId="7212" xr:uid="{91ACB78A-8B77-4713-90EA-FDC7C27D2320}"/>
    <cellStyle name="Normal 5 7 2 2 2" xfId="8724" xr:uid="{6460A7CF-5CD7-4152-A900-51365DD43697}"/>
    <cellStyle name="Normal 5 7 2 3" xfId="7974" xr:uid="{CDB2BED2-0FF9-4F64-BF52-23A88579D180}"/>
    <cellStyle name="Normal 5 7 2 4" xfId="6411" xr:uid="{71D16134-F7F4-44A9-81FD-F5892B0CA3CD}"/>
    <cellStyle name="Normal 5 7 2 5" xfId="4630" xr:uid="{15263CED-FE96-4AD5-B19A-EF82C8DCE79E}"/>
    <cellStyle name="Normal 5 7 3" xfId="7009" xr:uid="{AFB3C289-ED1C-476D-A08D-B128615EDD77}"/>
    <cellStyle name="Normal 5 7 3 2" xfId="8528" xr:uid="{69EBA0B4-04B8-44FD-9560-822276A3FBE9}"/>
    <cellStyle name="Normal 5 7 4" xfId="7778" xr:uid="{26DEEB7C-2ECD-438D-9C81-4F5048AF77A6}"/>
    <cellStyle name="Normal 5 7 5" xfId="5016" xr:uid="{FC88DFBB-8C99-4997-A084-7688AE2A0FAF}"/>
    <cellStyle name="Normal 5 7 6" xfId="4354" xr:uid="{D3F5DF74-B552-4E23-A4FB-7C99BE88DE0B}"/>
    <cellStyle name="Normal 5 8" xfId="3534" xr:uid="{D1B99510-D139-47A7-82CF-94F091A87A72}"/>
    <cellStyle name="Normal 5 8 2" xfId="7054" xr:uid="{BD69C7CE-8BEB-41A0-8145-91C3D52039E7}"/>
    <cellStyle name="Normal 5 8 2 2" xfId="8573" xr:uid="{124EB924-5659-4132-B6F5-B45170895C26}"/>
    <cellStyle name="Normal 5 8 3" xfId="7823" xr:uid="{3D0E90A1-EBE1-475D-82EB-96B313E9373A}"/>
    <cellStyle name="Normal 5 8 4" xfId="5062" xr:uid="{0A51FD59-FA65-43BC-929E-E1C15736C7B4}"/>
    <cellStyle name="Normal 5 8 5" xfId="4402" xr:uid="{81AA4812-5C7C-4531-90CC-328E005CE883}"/>
    <cellStyle name="Normal 5 9" xfId="3825" xr:uid="{F033F62C-6F01-42A6-ABF5-491128FD6663}"/>
    <cellStyle name="Normal 5 9 2" xfId="7295" xr:uid="{CC299E53-259B-4CF9-8354-DE56AFB304E7}"/>
    <cellStyle name="Normal 5 9 2 2" xfId="8807" xr:uid="{316F38C2-1DFC-45F8-B283-62875B688071}"/>
    <cellStyle name="Normal 5 9 3" xfId="8057" xr:uid="{0D6C6F04-D5F6-4EF9-BDF0-DBDAD6D406AB}"/>
    <cellStyle name="Normal 5 9 4" xfId="6494" xr:uid="{83BA3B32-E3EC-48A8-88E5-A96F7D732439}"/>
    <cellStyle name="Normal 5 9 5" xfId="4677" xr:uid="{59BD4597-59C9-4F9C-9304-36D226FBA016}"/>
    <cellStyle name="Normal 6" xfId="2538" xr:uid="{00000000-0005-0000-0000-00003E090000}"/>
    <cellStyle name="Normal 6 2" xfId="2261" xr:uid="{00000000-0005-0000-0000-00003F090000}"/>
    <cellStyle name="Normal 6 2 2" xfId="4899" xr:uid="{10136C17-2124-4716-9F33-96D64BB463A4}"/>
    <cellStyle name="Normal 6 3" xfId="3963" xr:uid="{EFD93F7F-EAC1-4CB5-9CC7-CCFB5BA2B5B6}"/>
    <cellStyle name="Normal 6 3 2" xfId="5603" xr:uid="{32B5BFEC-83AB-49B7-BEB2-9FD71CE83E64}"/>
    <cellStyle name="Normal 6 4" xfId="4043" xr:uid="{031C4B0D-DC07-4C69-9980-23034416EBF8}"/>
    <cellStyle name="Normal 6 4 2" xfId="4943" xr:uid="{16329103-4B01-44EA-BADC-77027F30FB0D}"/>
    <cellStyle name="Normal 6 4 2 2" xfId="6937" xr:uid="{DE7EF441-E46F-4104-A2DC-22D9577D2986}"/>
    <cellStyle name="Normal 6 4 2 2 2" xfId="8456" xr:uid="{D20991BE-4099-4441-A674-6D8E9F0234F0}"/>
    <cellStyle name="Normal 6 4 2 3" xfId="7706" xr:uid="{E451642A-DAAC-4B70-9729-1DFF944BF7D0}"/>
    <cellStyle name="Normal 6 4 3" xfId="4992" xr:uid="{41995D22-35E8-4E99-A28F-DF4993CF16A4}"/>
    <cellStyle name="Normal 6 4 3 2" xfId="6986" xr:uid="{BBC5455D-170E-403A-81AE-EB6AB960D0BD}"/>
    <cellStyle name="Normal 6 4 3 2 2" xfId="8505" xr:uid="{204F1B87-6193-41B0-AE6A-39B82F520324}"/>
    <cellStyle name="Normal 6 4 3 3" xfId="7755" xr:uid="{6B48AC93-9316-4DB0-8F7C-131058C690E4}"/>
    <cellStyle name="Normal 6 4 4" xfId="5694" xr:uid="{BCA5B2D3-7090-4B2A-A0AD-CCA37F6AFD87}"/>
    <cellStyle name="Normal 6 4 5" xfId="6889" xr:uid="{09163837-DB57-4DF4-9E1F-99DCE57EE0E1}"/>
    <cellStyle name="Normal 6 4 5 2" xfId="8410" xr:uid="{65A9648C-0B94-4380-9FF5-923F901F1996}"/>
    <cellStyle name="Normal 6 4 6" xfId="7660" xr:uid="{E4C3BEE6-3840-43A2-869F-69B9B4480C82}"/>
    <cellStyle name="Normal 6 4 7" xfId="4823" xr:uid="{83817F88-12B6-492A-B062-3B152EC32D3B}"/>
    <cellStyle name="Normal 6 5" xfId="4089" xr:uid="{F494710D-DEE9-4354-BF93-CBD4B9D57501}"/>
    <cellStyle name="Normal 6 5 2" xfId="4143" xr:uid="{0D51C881-4E7F-49E5-8C19-69F38C8277DE}"/>
    <cellStyle name="Normal 6 5 2 2" xfId="7206" xr:uid="{ACC31461-FB97-4E71-9801-3113BC4DCC6C}"/>
    <cellStyle name="Normal 6 5 2 2 2" xfId="8718" xr:uid="{A2A8F234-1B07-43C5-BD08-E9A56D14B7BE}"/>
    <cellStyle name="Normal 6 5 2 3" xfId="7968" xr:uid="{C0F510B7-5059-48CB-A11D-2AA71765D023}"/>
    <cellStyle name="Normal 6 5 2 4" xfId="6405" xr:uid="{D733659B-B10B-49CD-91CC-B5D590F282AE}"/>
    <cellStyle name="Normal 6 5 3" xfId="6510" xr:uid="{46A9A104-E873-4443-A26D-E7A814C91BAD}"/>
    <cellStyle name="Normal 6 5 3 2" xfId="8433" xr:uid="{50C47E31-1504-4391-AB27-29AF599F3E3E}"/>
    <cellStyle name="Normal 6 5 4" xfId="6914" xr:uid="{083960F6-966E-471B-938D-0BCDDEADBE5C}"/>
    <cellStyle name="Normal 6 5 5" xfId="7351" xr:uid="{B1B97AC5-8DE8-4F6C-957F-D38D8E8D4E6F}"/>
    <cellStyle name="Normal 6 5 6" xfId="7683" xr:uid="{CC86E5F2-49D6-4E26-8D05-B0DEA17D935C}"/>
    <cellStyle name="Normal 6 5 7" xfId="4920" xr:uid="{EAAFCBC0-8F54-490D-98E9-91442555FF2F}"/>
    <cellStyle name="Normal 6 6" xfId="4969" xr:uid="{FEBBBC5C-C34C-4A4B-86CE-6EC177290090}"/>
    <cellStyle name="Normal 6 6 2" xfId="6963" xr:uid="{BCAB8BDC-5C88-46D9-9291-05EE7282F838}"/>
    <cellStyle name="Normal 6 6 2 2" xfId="8482" xr:uid="{E7F44C84-0E69-452B-9415-1391CA95D2CE}"/>
    <cellStyle name="Normal 6 6 3" xfId="7732" xr:uid="{57F1C9C0-9189-4BBE-8A6D-B1922A388DA0}"/>
    <cellStyle name="Normal 6 7" xfId="6856" xr:uid="{0C009C7B-3B26-4DF5-9FE0-86AC77D29946}"/>
    <cellStyle name="Normal 6 7 2" xfId="8387" xr:uid="{1A080FBD-C37E-4D4D-875B-1AEF0E69CFD3}"/>
    <cellStyle name="Normal 6 7 3" xfId="7637" xr:uid="{1C0D0FC0-337F-40E8-8BB2-DD70C9FD4D1A}"/>
    <cellStyle name="Normal 6 8" xfId="4735" xr:uid="{6ECD0401-D730-4FF1-A52B-9EB55FD752AB}"/>
    <cellStyle name="Normal 6 9" xfId="3883" xr:uid="{8E256E11-71F9-4382-85D0-2A965D7DF64E}"/>
    <cellStyle name="Normal 7" xfId="2860" xr:uid="{00000000-0005-0000-0000-000040090000}"/>
    <cellStyle name="Normal 7 10" xfId="6839" xr:uid="{DB77C93D-68D9-4E14-8B02-7E848097BC44}"/>
    <cellStyle name="Normal 7 10 2" xfId="8378" xr:uid="{72AC063A-FD2C-42F7-8494-6A7ED2AF8D43}"/>
    <cellStyle name="Normal 7 10 3" xfId="7628" xr:uid="{D27D67C6-2616-4519-81F4-431483AD1130}"/>
    <cellStyle name="Normal 7 11" xfId="6590" xr:uid="{A9E55E79-AB55-4753-8ECE-C4E03F5A81C8}"/>
    <cellStyle name="Normal 7 11 2" xfId="8149" xr:uid="{A63C61E2-EB04-4B40-B68D-33170FB9D23A}"/>
    <cellStyle name="Normal 7 12" xfId="7399" xr:uid="{30477031-A9D6-4FF8-A5CE-1CB9527CBB2B}"/>
    <cellStyle name="Normal 7 13" xfId="4960" xr:uid="{965D9EE4-E17D-4C8B-AF55-1357F71A9E17}"/>
    <cellStyle name="Normal 7 14" xfId="3894" xr:uid="{F2F2B12A-AD7D-48CC-8E75-EDF6F5EE2CDC}"/>
    <cellStyle name="Normal 7 2" xfId="2262" xr:uid="{00000000-0005-0000-0000-000041090000}"/>
    <cellStyle name="Normal 7 2 2" xfId="4900" xr:uid="{4DEB6639-0264-4A3C-9AF2-A8CB463D4872}"/>
    <cellStyle name="Normal 7 3" xfId="2907" xr:uid="{00000000-0005-0000-0000-000040090000}"/>
    <cellStyle name="Normal 7 3 2" xfId="3008" xr:uid="{00000000-0005-0000-0000-00001A0A0000}"/>
    <cellStyle name="Normal 7 3 2 2" xfId="3724" xr:uid="{911FE266-1F81-4385-8095-AAB1283AE067}"/>
    <cellStyle name="Normal 7 3 2 2 2" xfId="7069" xr:uid="{2F651F36-2F5D-4788-811F-5209700E32A7}"/>
    <cellStyle name="Normal 7 3 2 2 3" xfId="4576" xr:uid="{FB9B4556-65E6-4904-A3BE-BEC051B44C0F}"/>
    <cellStyle name="Normal 7 3 2 3" xfId="6720" xr:uid="{054ADC13-2574-4D60-BF04-EB178E1F754D}"/>
    <cellStyle name="Normal 7 3 2 3 2" xfId="8279" xr:uid="{311305C5-C647-4E82-8890-DB546AE456BE}"/>
    <cellStyle name="Normal 7 3 2 4" xfId="7529" xr:uid="{2EF0D9BE-DDF7-4B06-9A78-49D8F1B9EB69}"/>
    <cellStyle name="Normal 7 3 2 5" xfId="5273" xr:uid="{BB028D3C-34EF-4B38-A711-CE6F0A76B076}"/>
    <cellStyle name="Normal 7 3 2 6" xfId="4300" xr:uid="{6359C3A6-3D9C-47B7-8C02-426795AE0124}"/>
    <cellStyle name="Normal 7 3 3" xfId="3623" xr:uid="{F660EC9B-285E-469B-B4F1-2BC23EB2E2FF}"/>
    <cellStyle name="Normal 7 3 3 2" xfId="8522" xr:uid="{105B8DC3-C64F-4B33-AA7C-61BF43EA5CA6}"/>
    <cellStyle name="Normal 7 3 3 3" xfId="7772" xr:uid="{D5459AAC-1205-4A1A-A9B9-11AB70CF47A0}"/>
    <cellStyle name="Normal 7 3 3 4" xfId="7003" xr:uid="{9F969542-8E88-4753-93D7-6B9B5E8919BF}"/>
    <cellStyle name="Normal 7 3 3 5" xfId="4491" xr:uid="{FADB0C5A-1286-4C41-9FE1-CCF335F2451D}"/>
    <cellStyle name="Normal 7 3 4" xfId="4215" xr:uid="{AC5435F6-C2E3-4AFD-953E-893B1565FE07}"/>
    <cellStyle name="Normal 7 3 4 2" xfId="8194" xr:uid="{294A2FDB-D993-48FD-B9C4-88211A1BF1B1}"/>
    <cellStyle name="Normal 7 3 4 3" xfId="6635" xr:uid="{342CF576-D23E-464C-9044-C6D97CE4CD51}"/>
    <cellStyle name="Normal 7 3 5" xfId="7444" xr:uid="{400C7472-D1CF-4A4A-A25E-309417004A19}"/>
    <cellStyle name="Normal 7 3 6" xfId="5009" xr:uid="{D8CDBF23-E02A-4E66-A2E5-B664D891C3A7}"/>
    <cellStyle name="Normal 7 3 7" xfId="4077" xr:uid="{98158472-3031-4FB3-9D12-A26E3472A876}"/>
    <cellStyle name="Normal 7 4" xfId="3452" xr:uid="{00000000-0005-0000-0000-00001B0A0000}"/>
    <cellStyle name="Normal 7 4 2" xfId="3764" xr:uid="{EAA0E6A2-6705-4692-BC94-879E1877D9E2}"/>
    <cellStyle name="Normal 7 4 2 2" xfId="6334" xr:uid="{2B4420F9-B564-4665-B672-1E426562D722}"/>
    <cellStyle name="Normal 7 4 2 3" xfId="4616" xr:uid="{CD74F89E-3D7F-466D-A943-E43D273CFB51}"/>
    <cellStyle name="Normal 7 4 3" xfId="7048" xr:uid="{65F1611C-D9DE-4B90-8B60-A1B979344400}"/>
    <cellStyle name="Normal 7 4 3 2" xfId="8567" xr:uid="{B0B3E2EA-CCED-4FFD-819E-F06A0AB0DE1F}"/>
    <cellStyle name="Normal 7 4 3 3" xfId="7817" xr:uid="{3DB8D10B-4354-4AC2-8FC2-343C1F6CDFCC}"/>
    <cellStyle name="Normal 7 4 4" xfId="6761" xr:uid="{4EF424D2-CA3C-4AE9-A1C3-81946D424E08}"/>
    <cellStyle name="Normal 7 4 4 2" xfId="8319" xr:uid="{27261D94-A150-4DB2-AA9D-CCB84F48D7F1}"/>
    <cellStyle name="Normal 7 4 5" xfId="7569" xr:uid="{67776210-6210-4A42-8607-589E85FF9552}"/>
    <cellStyle name="Normal 7 4 6" xfId="5055" xr:uid="{BC757FF2-5D43-42DF-9AFE-1EB27F3C3C82}"/>
    <cellStyle name="Normal 7 4 7" xfId="4340" xr:uid="{3077DEE6-F466-4A83-98B2-0ADB89DF1117}"/>
    <cellStyle name="Normal 7 5" xfId="2952" xr:uid="{00000000-0005-0000-0000-0000180A0000}"/>
    <cellStyle name="Normal 7 5 2" xfId="3668" xr:uid="{B7F79B6A-A15F-458E-A729-03CD9387C982}"/>
    <cellStyle name="Normal 7 5 2 2" xfId="8624" xr:uid="{AF269C84-2359-485C-9034-90CA9471BD87}"/>
    <cellStyle name="Normal 7 5 2 3" xfId="7874" xr:uid="{2F01A620-9C15-463B-949C-03AFDE4CE5FC}"/>
    <cellStyle name="Normal 7 5 2 4" xfId="7108" xr:uid="{C22BB28E-7E3F-42B7-A5BE-7B9327289F90}"/>
    <cellStyle name="Normal 7 5 2 5" xfId="4536" xr:uid="{3801EFE0-DFD6-40E0-95F1-7F4ED8D9A443}"/>
    <cellStyle name="Normal 7 5 3" xfId="6680" xr:uid="{BAF18D81-7BC1-4851-953B-C04D674BDD46}"/>
    <cellStyle name="Normal 7 5 3 2" xfId="8239" xr:uid="{3944DE3D-D8BA-42E6-BF50-29320E36720F}"/>
    <cellStyle name="Normal 7 5 4" xfId="7489" xr:uid="{4DADE4BB-BE9F-453A-B79D-E5216B64A520}"/>
    <cellStyle name="Normal 7 5 5" xfId="5661" xr:uid="{2BE14924-0FFA-463A-B23A-C0446F86A02F}"/>
    <cellStyle name="Normal 7 5 6" xfId="4260" xr:uid="{4B256AF5-4011-4099-9FB8-9769C8D0F409}"/>
    <cellStyle name="Normal 7 6" xfId="3523" xr:uid="{2E83D2EA-7898-42D1-A52D-A57EA10F018D}"/>
    <cellStyle name="Normal 7 6 2" xfId="3817" xr:uid="{0B9AE447-262E-4112-991B-298434CFAE82}"/>
    <cellStyle name="Normal 7 6 2 2" xfId="8760" xr:uid="{C9DAF07D-9229-4B2B-BCED-A398EF3F44E7}"/>
    <cellStyle name="Normal 7 6 2 3" xfId="7248" xr:uid="{21AC991A-F437-4796-964C-C2856D92E5A1}"/>
    <cellStyle name="Normal 7 6 2 4" xfId="4669" xr:uid="{DAD7DA6A-9607-4085-A69A-690B2E3951FA}"/>
    <cellStyle name="Normal 7 6 3" xfId="8010" xr:uid="{DF5F0A8D-124D-46EB-A28D-419AF7F18A04}"/>
    <cellStyle name="Normal 7 6 4" xfId="6447" xr:uid="{10A2E898-4918-427C-9750-234CB1C53343}"/>
    <cellStyle name="Normal 7 6 5" xfId="4393" xr:uid="{C81B4393-4061-47D0-8724-5AB7B0B0E7C2}"/>
    <cellStyle name="Normal 7 7" xfId="3578" xr:uid="{A3E94B19-A3BC-4C24-9AEC-F9A04CC8E4F1}"/>
    <cellStyle name="Normal 7 7 2" xfId="7288" xr:uid="{72122246-EDA2-4381-8F9F-6454266A9DAB}"/>
    <cellStyle name="Normal 7 7 2 2" xfId="8800" xr:uid="{AE6E97C1-52DB-4FE0-929B-FC619922CC77}"/>
    <cellStyle name="Normal 7 7 3" xfId="8050" xr:uid="{A3680B38-51DE-4595-9114-144D20510463}"/>
    <cellStyle name="Normal 7 7 4" xfId="6487" xr:uid="{D1CD2A6C-7171-432B-B8A0-6E261D4A27EE}"/>
    <cellStyle name="Normal 7 7 5" xfId="4446" xr:uid="{AE411E9D-8474-41F7-A03B-8571DE67A598}"/>
    <cellStyle name="Normal 7 8" xfId="3864" xr:uid="{B249A1DC-BF2E-42F3-9B7F-E949916D68EA}"/>
    <cellStyle name="Normal 7 8 2" xfId="7334" xr:uid="{E02B502D-B93A-432E-BDA6-1AAD29D9190A}"/>
    <cellStyle name="Normal 7 8 2 2" xfId="8846" xr:uid="{0D46C734-CCEE-479A-A574-FEFB0C1593FE}"/>
    <cellStyle name="Normal 7 8 3" xfId="8096" xr:uid="{9E35E4BA-486A-4057-A7A7-5F84524634C7}"/>
    <cellStyle name="Normal 7 8 4" xfId="6540" xr:uid="{1C9B0C0E-74D4-4C71-BAA3-CBEDFEFAF778}"/>
    <cellStyle name="Normal 7 8 5" xfId="4716" xr:uid="{7DFFE1F7-0DCF-4053-A704-878DAF3E3DED}"/>
    <cellStyle name="Normal 7 9" xfId="4170" xr:uid="{BDA80161-CC8A-434E-82C1-2FB8F8A5FE72}"/>
    <cellStyle name="Normal 7 9 2" xfId="8473" xr:uid="{1A1EA2A4-4F21-4AE0-9430-B506D6FCAB71}"/>
    <cellStyle name="Normal 7 9 3" xfId="7723" xr:uid="{B92A8018-1C44-4E76-BD61-859BFD4138AC}"/>
    <cellStyle name="Normal 7 9 4" xfId="6954" xr:uid="{7D99C435-9A51-4F3C-8441-2419415F4515}"/>
    <cellStyle name="Normal 8" xfId="3473" xr:uid="{00000000-0005-0000-0000-00001C0A0000}"/>
    <cellStyle name="Normal 8 2" xfId="2263" xr:uid="{00000000-0005-0000-0000-000042090000}"/>
    <cellStyle name="Normal 8 2 2" xfId="4901" xr:uid="{1D3E1CC4-D0CA-4CFF-A891-159CD2363D4E}"/>
    <cellStyle name="Normal 8 3" xfId="3526" xr:uid="{C5C486F4-FF30-46B0-912F-D3BC63637948}"/>
    <cellStyle name="Normal 8 3 2" xfId="3820" xr:uid="{13A3F98D-FDDF-47E1-8D91-33CA8CDC3446}"/>
    <cellStyle name="Normal 8 3 2 2" xfId="8322" xr:uid="{D4C38A32-AAA9-414B-A510-0B226B4546BD}"/>
    <cellStyle name="Normal 8 3 2 3" xfId="4672" xr:uid="{CAB5900C-5117-40CF-8030-D38325846641}"/>
    <cellStyle name="Normal 8 3 3" xfId="4396" xr:uid="{B1938E84-BDF7-4689-BC21-5D89BEC1E0E3}"/>
    <cellStyle name="Normal 8 3 4" xfId="6764" xr:uid="{4983F5CF-E2E6-471E-851B-B29294A2F82C}"/>
    <cellStyle name="Normal 8 3 5" xfId="4082" xr:uid="{1E72D63D-FF26-4F57-8C18-A5CECD35250F}"/>
    <cellStyle name="Normal 8 4" xfId="3767" xr:uid="{81F8261A-B61C-48CB-9B08-F8C85FE2534E}"/>
    <cellStyle name="Normal 8 4 2" xfId="7572" xr:uid="{DFD40E1F-7392-45FA-B0D3-62A7CEDCA5CF}"/>
    <cellStyle name="Normal 8 4 3" xfId="4619" xr:uid="{D26DEA88-B460-4A16-8E1E-764FBA261E44}"/>
    <cellStyle name="Normal 8 5" xfId="3867" xr:uid="{9FDD9011-2A56-4612-B03C-B8BD5F782D37}"/>
    <cellStyle name="Normal 8 5 2" xfId="4719" xr:uid="{3D2821E9-4EA6-4241-9410-425951F5798B}"/>
    <cellStyle name="Normal 8 6" xfId="4343" xr:uid="{B0C93713-1FB3-4079-8B2C-4CEB7594C380}"/>
    <cellStyle name="Normal 8 7" xfId="3895" xr:uid="{0ECD4A99-DF07-4485-818A-32651B4BFE38}"/>
    <cellStyle name="Normal 9" xfId="3529" xr:uid="{460CD198-D8C5-49BA-9F02-4093B4D36594}"/>
    <cellStyle name="Normal 9 2" xfId="2264" xr:uid="{00000000-0005-0000-0000-000043090000}"/>
    <cellStyle name="Normal 9 2 2" xfId="4902" xr:uid="{F5D73109-B0EB-46DA-85D7-8BD76B572E01}"/>
    <cellStyle name="Normal 9 3" xfId="4010" xr:uid="{050796AB-9A58-41C6-8F37-34CA983E4D2A}"/>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10 2" xfId="2265" xr:uid="{00000000-0005-0000-0000-00004D090000}"/>
    <cellStyle name="Note 10 2 2" xfId="2711" xr:uid="{00000000-0005-0000-0000-00004E090000}"/>
    <cellStyle name="Note 10 2 2 2" xfId="3142" xr:uid="{00000000-0005-0000-0000-00002A0A0000}"/>
    <cellStyle name="Note 10 2 3" xfId="6174" xr:uid="{E4CB942E-20F6-4B25-B1D9-C792F781A833}"/>
    <cellStyle name="Note 10 2 4" xfId="5777" xr:uid="{9175DF22-9D68-410C-957B-32CD553B3F5A}"/>
    <cellStyle name="Note 10 3" xfId="2266" xr:uid="{00000000-0005-0000-0000-00004F090000}"/>
    <cellStyle name="Note 10 3 2" xfId="2712" xr:uid="{00000000-0005-0000-0000-000050090000}"/>
    <cellStyle name="Note 10 3 2 2" xfId="3141" xr:uid="{00000000-0005-0000-0000-00002D0A0000}"/>
    <cellStyle name="Note 10 3 3" xfId="5798" xr:uid="{4BFC7B5B-C0F0-4F57-B76B-A94E544674F4}"/>
    <cellStyle name="Note 10 3 4" xfId="5778" xr:uid="{C8FAC52D-5998-42F7-BAA5-7DC90F53219B}"/>
    <cellStyle name="Note 10 4" xfId="2267" xr:uid="{00000000-0005-0000-0000-000051090000}"/>
    <cellStyle name="Note 10 4 2" xfId="2713" xr:uid="{00000000-0005-0000-0000-000052090000}"/>
    <cellStyle name="Note 10 4 2 2" xfId="3140" xr:uid="{00000000-0005-0000-0000-0000300A0000}"/>
    <cellStyle name="Note 10 4 3" xfId="5904" xr:uid="{37946AC2-EAA1-4212-866E-9DF4F3325B9C}"/>
    <cellStyle name="Note 10 4 4" xfId="5779" xr:uid="{30C09D8F-A933-476F-9947-4C4CEB0DCF10}"/>
    <cellStyle name="Note 10 5" xfId="2268" xr:uid="{00000000-0005-0000-0000-000053090000}"/>
    <cellStyle name="Note 10 5 2" xfId="2714" xr:uid="{00000000-0005-0000-0000-000054090000}"/>
    <cellStyle name="Note 10 5 2 2" xfId="3139" xr:uid="{00000000-0005-0000-0000-0000330A0000}"/>
    <cellStyle name="Note 10 5 3" xfId="5903" xr:uid="{9FECFF36-C141-4A8B-BB0C-8D9A30171F16}"/>
    <cellStyle name="Note 10 5 4" xfId="5780" xr:uid="{5A4C499F-8788-46A6-9833-9F2B7AED76EF}"/>
    <cellStyle name="Note 10 6" xfId="2269" xr:uid="{00000000-0005-0000-0000-000055090000}"/>
    <cellStyle name="Note 10 6 2" xfId="2715" xr:uid="{00000000-0005-0000-0000-000056090000}"/>
    <cellStyle name="Note 10 6 2 2" xfId="3138" xr:uid="{00000000-0005-0000-0000-0000360A0000}"/>
    <cellStyle name="Note 10 6 3" xfId="5902" xr:uid="{E815E896-D430-450B-B9F0-86D5E65D0B51}"/>
    <cellStyle name="Note 10 6 4" xfId="5761" xr:uid="{1F83D1F6-F3D6-49DD-8F5C-AA5F04712237}"/>
    <cellStyle name="Note 11 2" xfId="2270" xr:uid="{00000000-0005-0000-0000-000057090000}"/>
    <cellStyle name="Note 11 2 2" xfId="2716" xr:uid="{00000000-0005-0000-0000-000058090000}"/>
    <cellStyle name="Note 11 2 2 2" xfId="3137" xr:uid="{00000000-0005-0000-0000-0000390A0000}"/>
    <cellStyle name="Note 11 2 3" xfId="5901" xr:uid="{4590603B-EEC3-408A-96CE-00C13AEDA1CB}"/>
    <cellStyle name="Note 11 2 4" xfId="5941" xr:uid="{C9C64074-9CF0-4A2E-A0A4-FCC0AFBB7108}"/>
    <cellStyle name="Note 11 3" xfId="2271" xr:uid="{00000000-0005-0000-0000-000059090000}"/>
    <cellStyle name="Note 11 3 2" xfId="2717" xr:uid="{00000000-0005-0000-0000-00005A090000}"/>
    <cellStyle name="Note 11 3 2 2" xfId="3136" xr:uid="{00000000-0005-0000-0000-00003C0A0000}"/>
    <cellStyle name="Note 11 3 3" xfId="5900" xr:uid="{3C398367-9EAD-40D4-A21C-291D58D86C64}"/>
    <cellStyle name="Note 11 3 4" xfId="5867" xr:uid="{F380C50D-AEC3-4C4F-8E5E-2A7209047CE2}"/>
    <cellStyle name="Note 11 4" xfId="2272" xr:uid="{00000000-0005-0000-0000-00005B090000}"/>
    <cellStyle name="Note 11 4 2" xfId="2718" xr:uid="{00000000-0005-0000-0000-00005C090000}"/>
    <cellStyle name="Note 11 4 2 2" xfId="3135" xr:uid="{00000000-0005-0000-0000-00003F0A0000}"/>
    <cellStyle name="Note 11 4 3" xfId="6258" xr:uid="{B0B67D14-66B7-4FE7-B4FF-90965A573B6A}"/>
    <cellStyle name="Note 11 4 4" xfId="5782" xr:uid="{FCF93C6C-3655-4930-B216-E096A13F9B2F}"/>
    <cellStyle name="Note 11 5" xfId="2273" xr:uid="{00000000-0005-0000-0000-00005D090000}"/>
    <cellStyle name="Note 11 5 2" xfId="2719" xr:uid="{00000000-0005-0000-0000-00005E090000}"/>
    <cellStyle name="Note 11 5 2 2" xfId="3134" xr:uid="{00000000-0005-0000-0000-0000420A0000}"/>
    <cellStyle name="Note 11 5 3" xfId="6173" xr:uid="{AC34971B-F901-41F6-9422-3AAC1E7B32D3}"/>
    <cellStyle name="Note 11 5 4" xfId="6060" xr:uid="{3E6A2ECA-1086-4BA9-B9C0-1FD749FBF035}"/>
    <cellStyle name="Note 11 6" xfId="2274" xr:uid="{00000000-0005-0000-0000-00005F090000}"/>
    <cellStyle name="Note 11 6 2" xfId="2720" xr:uid="{00000000-0005-0000-0000-000060090000}"/>
    <cellStyle name="Note 11 6 2 2" xfId="3133" xr:uid="{00000000-0005-0000-0000-0000450A0000}"/>
    <cellStyle name="Note 11 6 3" xfId="6257" xr:uid="{1938D7DA-6E84-48E8-B102-DEC98C6F6000}"/>
    <cellStyle name="Note 11 6 4" xfId="6061" xr:uid="{BA1E4A89-3590-4D24-9DB7-80A5A84EF6EC}"/>
    <cellStyle name="Note 2" xfId="221" xr:uid="{00000000-0005-0000-0000-000061090000}"/>
    <cellStyle name="Note 2 2" xfId="2275" xr:uid="{00000000-0005-0000-0000-000062090000}"/>
    <cellStyle name="Note 2 2 2" xfId="2721" xr:uid="{00000000-0005-0000-0000-000063090000}"/>
    <cellStyle name="Note 2 2 2 2" xfId="3132" xr:uid="{00000000-0005-0000-0000-0000490A0000}"/>
    <cellStyle name="Note 2 2 3" xfId="5898" xr:uid="{551CAD32-E472-4157-ADE7-3B2F108F3D1C}"/>
    <cellStyle name="Note 2 2 4" xfId="6244" xr:uid="{61A0727C-10A2-4C71-9C7C-FEE4B55F863F}"/>
    <cellStyle name="Note 2 3" xfId="2276" xr:uid="{00000000-0005-0000-0000-000064090000}"/>
    <cellStyle name="Note 2 3 2" xfId="2722" xr:uid="{00000000-0005-0000-0000-000065090000}"/>
    <cellStyle name="Note 2 3 2 2" xfId="3131" xr:uid="{00000000-0005-0000-0000-00004C0A0000}"/>
    <cellStyle name="Note 2 3 3" xfId="5897" xr:uid="{3B8D2A43-F73A-48E2-9296-B19663250FB6}"/>
    <cellStyle name="Note 2 3 4" xfId="6281" xr:uid="{3C864CE8-6B3D-42EC-A607-A2574EE6C152}"/>
    <cellStyle name="Note 2 3 5" xfId="5677" xr:uid="{18C3778E-D30B-438C-ADE9-04E5B7E9A9A9}"/>
    <cellStyle name="Note 2 3 6" xfId="5176" xr:uid="{966F87D5-2260-4A30-8943-40D97CA4E5FA}"/>
    <cellStyle name="Note 2 4" xfId="2277" xr:uid="{00000000-0005-0000-0000-000066090000}"/>
    <cellStyle name="Note 2 4 2" xfId="2723" xr:uid="{00000000-0005-0000-0000-000067090000}"/>
    <cellStyle name="Note 2 4 2 2" xfId="3130" xr:uid="{00000000-0005-0000-0000-00004F0A0000}"/>
    <cellStyle name="Note 2 4 3" xfId="5896" xr:uid="{F096E076-1A4C-4417-9A33-0A7976925E81}"/>
    <cellStyle name="Note 2 4 4" xfId="6201" xr:uid="{F72A571A-BFA3-4EAD-833F-D270B1B4E0F7}"/>
    <cellStyle name="Note 2 4 5" xfId="5678" xr:uid="{328A8F18-94D8-4BBA-8293-61A1E91A2BE5}"/>
    <cellStyle name="Note 2 4 6" xfId="5670" xr:uid="{65D1AB45-8592-4A09-86F9-85F50954B9A8}"/>
    <cellStyle name="Note 2 5" xfId="2278" xr:uid="{00000000-0005-0000-0000-000068090000}"/>
    <cellStyle name="Note 2 5 2" xfId="2724" xr:uid="{00000000-0005-0000-0000-000069090000}"/>
    <cellStyle name="Note 2 5 2 2" xfId="3129" xr:uid="{00000000-0005-0000-0000-0000520A0000}"/>
    <cellStyle name="Note 2 5 3" xfId="5895" xr:uid="{630E39C1-0E77-4196-B407-F700720EBA35}"/>
    <cellStyle name="Note 2 5 4" xfId="5942" xr:uid="{7025BA02-C0B3-45DF-8288-E136AF80A905}"/>
    <cellStyle name="Note 2 5 5" xfId="5679" xr:uid="{C1C6AA2B-3DF1-4D02-9EBE-99111F9B99F2}"/>
    <cellStyle name="Note 2 5 6" xfId="5602" xr:uid="{B2BF1FF3-DF36-424A-82EE-A83D89092A89}"/>
    <cellStyle name="Note 2 6" xfId="2279" xr:uid="{00000000-0005-0000-0000-00006A090000}"/>
    <cellStyle name="Note 2 6 2" xfId="2725" xr:uid="{00000000-0005-0000-0000-00006B090000}"/>
    <cellStyle name="Note 2 6 2 2" xfId="3128" xr:uid="{00000000-0005-0000-0000-0000550A0000}"/>
    <cellStyle name="Note 2 6 3" xfId="5894" xr:uid="{72696E0A-0EEC-4B98-840B-BD78F4366419}"/>
    <cellStyle name="Note 2 6 4" xfId="6062" xr:uid="{B9E4918E-8244-4598-84EA-FA5B2559BAAA}"/>
    <cellStyle name="Note 2 6 5" xfId="5680" xr:uid="{535F99F3-1A1C-450A-8288-BE34282AD725}"/>
    <cellStyle name="Note 2 6 6" xfId="5272" xr:uid="{BCD5822D-E582-4CAF-A11E-0748DC09EE29}"/>
    <cellStyle name="Note 2 7" xfId="2566" xr:uid="{00000000-0005-0000-0000-00006C090000}"/>
    <cellStyle name="Note 2 7 2" xfId="3287" xr:uid="{00000000-0005-0000-0000-0000570A0000}"/>
    <cellStyle name="Note 2 8" xfId="3937" xr:uid="{FC014EC0-12A1-46A9-AAF9-AF839DF2C31A}"/>
    <cellStyle name="Note 2 8 2" xfId="4033" xr:uid="{1117D5F1-96BE-44A0-BD5C-36837E221E2F}"/>
    <cellStyle name="Note 2 8 3" xfId="5601" xr:uid="{868F7DF7-9841-4D27-ADA2-F764D198925C}"/>
    <cellStyle name="Note 2 9" xfId="5738" xr:uid="{2736202F-2F5A-4F7E-AA24-8B8CD7B6660A}"/>
    <cellStyle name="Note 3" xfId="222" xr:uid="{00000000-0005-0000-0000-00006D090000}"/>
    <cellStyle name="Note 3 10" xfId="3938" xr:uid="{7C7AA6CC-85F2-42E2-B068-803589622CA5}"/>
    <cellStyle name="Note 3 10 2" xfId="4056" xr:uid="{6BC1DBA1-7E30-49C7-A767-A6C9769CB053}"/>
    <cellStyle name="Note 3 10 3" xfId="4811" xr:uid="{F984BA67-42D7-4469-8AA9-85365AA6B5E6}"/>
    <cellStyle name="Note 3 11" xfId="6286" xr:uid="{E9FA0AB6-7E4B-4C28-9CA7-D10C97975E76}"/>
    <cellStyle name="Note 3 12" xfId="5261" xr:uid="{345FF77E-A205-494B-8C05-465792ED90C7}"/>
    <cellStyle name="Note 3 2" xfId="2281" xr:uid="{00000000-0005-0000-0000-00006E090000}"/>
    <cellStyle name="Note 3 2 2" xfId="2727" xr:uid="{00000000-0005-0000-0000-00006F090000}"/>
    <cellStyle name="Note 3 2 2 2" xfId="3126" xr:uid="{00000000-0005-0000-0000-00005B0A0000}"/>
    <cellStyle name="Note 3 2 3" xfId="5834" xr:uid="{ED06C9FD-3B1E-41D3-B4F1-222AEF53A628}"/>
    <cellStyle name="Note 3 2 4" xfId="5856" xr:uid="{21488144-0C52-46C6-8188-67108E979D41}"/>
    <cellStyle name="Note 3 3" xfId="2282" xr:uid="{00000000-0005-0000-0000-000070090000}"/>
    <cellStyle name="Note 3 3 2" xfId="2728" xr:uid="{00000000-0005-0000-0000-000071090000}"/>
    <cellStyle name="Note 3 3 2 2" xfId="3125" xr:uid="{00000000-0005-0000-0000-00005E0A0000}"/>
    <cellStyle name="Note 3 3 3" xfId="5893" xr:uid="{3B2DFFA6-6C0D-40BE-95F7-751A65D81268}"/>
    <cellStyle name="Note 3 3 4" xfId="6064" xr:uid="{3760690E-60CA-4565-AAA5-9F91277FBE2B}"/>
    <cellStyle name="Note 3 4" xfId="2283" xr:uid="{00000000-0005-0000-0000-000072090000}"/>
    <cellStyle name="Note 3 4 2" xfId="2729" xr:uid="{00000000-0005-0000-0000-000073090000}"/>
    <cellStyle name="Note 3 4 2 2" xfId="3124" xr:uid="{00000000-0005-0000-0000-0000610A0000}"/>
    <cellStyle name="Note 3 4 3" xfId="5899" xr:uid="{A450193C-5321-4703-BE03-4C8C556FEF1C}"/>
    <cellStyle name="Note 3 4 4" xfId="6065" xr:uid="{C244A7DC-0612-4ED4-90E0-7D21D23CBC67}"/>
    <cellStyle name="Note 3 5" xfId="2284" xr:uid="{00000000-0005-0000-0000-000074090000}"/>
    <cellStyle name="Note 3 5 2" xfId="2730" xr:uid="{00000000-0005-0000-0000-000075090000}"/>
    <cellStyle name="Note 3 5 2 2" xfId="3123" xr:uid="{00000000-0005-0000-0000-0000640A0000}"/>
    <cellStyle name="Note 3 5 3" xfId="6256" xr:uid="{90D1D826-018A-43BA-ADFF-5E63261EB227}"/>
    <cellStyle name="Note 3 5 4" xfId="6199" xr:uid="{941C6222-7CEA-4435-BF22-485E01FD8E60}"/>
    <cellStyle name="Note 3 6" xfId="2285" xr:uid="{00000000-0005-0000-0000-000076090000}"/>
    <cellStyle name="Note 3 6 2" xfId="2731" xr:uid="{00000000-0005-0000-0000-000077090000}"/>
    <cellStyle name="Note 3 6 2 2" xfId="3122" xr:uid="{00000000-0005-0000-0000-0000670A0000}"/>
    <cellStyle name="Note 3 6 3" xfId="5891" xr:uid="{B9289831-79C8-47ED-8328-4EB75C126840}"/>
    <cellStyle name="Note 3 6 4" xfId="5817" xr:uid="{A5785FC0-F900-4C5D-8A8D-F0ED3C7E947C}"/>
    <cellStyle name="Note 3 7" xfId="2286" xr:uid="{00000000-0005-0000-0000-000078090000}"/>
    <cellStyle name="Note 3 7 2" xfId="2732" xr:uid="{00000000-0005-0000-0000-000079090000}"/>
    <cellStyle name="Note 3 7 2 2" xfId="3121" xr:uid="{00000000-0005-0000-0000-00006A0A0000}"/>
    <cellStyle name="Note 3 7 3" xfId="5890" xr:uid="{DDAC4553-EFC3-4F10-8DA0-CBA5C3F9D064}"/>
    <cellStyle name="Note 3 7 4" xfId="6059" xr:uid="{3C563909-FB82-4F78-94EB-5E0E0391832F}"/>
    <cellStyle name="Note 3 7 5" xfId="5681" xr:uid="{BB243B86-FE44-414D-82B2-E5B578AD9D9A}"/>
    <cellStyle name="Note 3 7 6" xfId="5500" xr:uid="{ACF56C2F-BD71-4D46-87D6-CAFC8F22FA80}"/>
    <cellStyle name="Note 3 8" xfId="2280" xr:uid="{00000000-0005-0000-0000-00007A090000}"/>
    <cellStyle name="Note 3 8 2" xfId="2726" xr:uid="{00000000-0005-0000-0000-00007B090000}"/>
    <cellStyle name="Note 3 8 2 2" xfId="3127" xr:uid="{00000000-0005-0000-0000-00006D0A0000}"/>
    <cellStyle name="Note 3 8 3" xfId="5797" xr:uid="{0930E3CF-7A7D-4830-8139-C4C4353E345C}"/>
    <cellStyle name="Note 3 8 4" xfId="5781" xr:uid="{43BE2AAE-A3E6-490F-BB3C-AFB982FDFDD0}"/>
    <cellStyle name="Note 3 9" xfId="2567" xr:uid="{00000000-0005-0000-0000-00007C090000}"/>
    <cellStyle name="Note 3 9 2" xfId="3286" xr:uid="{00000000-0005-0000-0000-00006F0A0000}"/>
    <cellStyle name="Note 4" xfId="223" xr:uid="{00000000-0005-0000-0000-00007D090000}"/>
    <cellStyle name="Note 4 10" xfId="3939" xr:uid="{1AAFCAA3-28EF-489B-8744-7961DEBD6D8F}"/>
    <cellStyle name="Note 4 10 2" xfId="4032" xr:uid="{D12B3450-BB70-42D2-A53B-800E11FC66B8}"/>
    <cellStyle name="Note 4 11" xfId="6309" xr:uid="{794E11CD-86E5-4C79-BB0D-6E801332D81D}"/>
    <cellStyle name="Note 4 12" xfId="5548" xr:uid="{C9EEB451-1A54-4D47-8CBD-49A617477A30}"/>
    <cellStyle name="Note 4 2" xfId="2288" xr:uid="{00000000-0005-0000-0000-00007E090000}"/>
    <cellStyle name="Note 4 2 2" xfId="2734" xr:uid="{00000000-0005-0000-0000-00007F090000}"/>
    <cellStyle name="Note 4 2 2 2" xfId="3119" xr:uid="{00000000-0005-0000-0000-0000730A0000}"/>
    <cellStyle name="Note 4 2 3" xfId="5889" xr:uid="{B3452F09-CB36-4C30-9B34-05A58C10414E}"/>
    <cellStyle name="Note 4 2 4" xfId="6067" xr:uid="{5D3143F3-5723-4937-A07D-4DCDFA61F20D}"/>
    <cellStyle name="Note 4 3" xfId="2289" xr:uid="{00000000-0005-0000-0000-000080090000}"/>
    <cellStyle name="Note 4 3 2" xfId="2735" xr:uid="{00000000-0005-0000-0000-000081090000}"/>
    <cellStyle name="Note 4 3 2 2" xfId="3118" xr:uid="{00000000-0005-0000-0000-0000760A0000}"/>
    <cellStyle name="Note 4 3 3" xfId="5888" xr:uid="{BECF60BD-9455-49D5-A724-6F72B36991D6}"/>
    <cellStyle name="Note 4 3 4" xfId="6063" xr:uid="{2BB6F0C0-AD52-4279-B044-AE0F2FEC270E}"/>
    <cellStyle name="Note 4 4" xfId="2290" xr:uid="{00000000-0005-0000-0000-000082090000}"/>
    <cellStyle name="Note 4 4 2" xfId="2736" xr:uid="{00000000-0005-0000-0000-000083090000}"/>
    <cellStyle name="Note 4 4 2 2" xfId="3117" xr:uid="{00000000-0005-0000-0000-0000790A0000}"/>
    <cellStyle name="Note 4 4 3" xfId="5887" xr:uid="{78C431A4-883F-455D-B0BE-C349FC11B370}"/>
    <cellStyle name="Note 4 4 4" xfId="5945" xr:uid="{516390FA-6699-4DB1-ABEE-4B3914BB6637}"/>
    <cellStyle name="Note 4 5" xfId="2291" xr:uid="{00000000-0005-0000-0000-000084090000}"/>
    <cellStyle name="Note 4 5 2" xfId="2737" xr:uid="{00000000-0005-0000-0000-000085090000}"/>
    <cellStyle name="Note 4 5 2 2" xfId="3116" xr:uid="{00000000-0005-0000-0000-00007C0A0000}"/>
    <cellStyle name="Note 4 5 3" xfId="5886" xr:uid="{E6BD445F-C4AA-4FF2-BF45-B05B3695D653}"/>
    <cellStyle name="Note 4 5 4" xfId="6245" xr:uid="{64909B32-A7EE-406F-B6A6-866C463906EC}"/>
    <cellStyle name="Note 4 6" xfId="2292" xr:uid="{00000000-0005-0000-0000-000086090000}"/>
    <cellStyle name="Note 4 6 2" xfId="2738" xr:uid="{00000000-0005-0000-0000-000087090000}"/>
    <cellStyle name="Note 4 6 2 2" xfId="3115" xr:uid="{00000000-0005-0000-0000-00007F0A0000}"/>
    <cellStyle name="Note 4 6 3" xfId="5796" xr:uid="{BC1ED4D2-25B2-44E8-9B10-94B54595E200}"/>
    <cellStyle name="Note 4 6 4" xfId="5757" xr:uid="{5642B69A-D40D-40AD-B44B-DD8B968BE883}"/>
    <cellStyle name="Note 4 7" xfId="2293" xr:uid="{00000000-0005-0000-0000-000088090000}"/>
    <cellStyle name="Note 4 7 2" xfId="2739" xr:uid="{00000000-0005-0000-0000-000089090000}"/>
    <cellStyle name="Note 4 7 2 2" xfId="3114" xr:uid="{00000000-0005-0000-0000-0000820A0000}"/>
    <cellStyle name="Note 4 7 3" xfId="6171" xr:uid="{4C8842D7-3AA4-4204-9EC8-ADE99465195D}"/>
    <cellStyle name="Note 4 7 4" xfId="6306" xr:uid="{CA0DA8B0-BC07-4884-9F11-91B1945A1BF4}"/>
    <cellStyle name="Note 4 8" xfId="2287" xr:uid="{00000000-0005-0000-0000-00008A090000}"/>
    <cellStyle name="Note 4 8 2" xfId="2733" xr:uid="{00000000-0005-0000-0000-00008B090000}"/>
    <cellStyle name="Note 4 8 2 2" xfId="3120" xr:uid="{00000000-0005-0000-0000-0000850A0000}"/>
    <cellStyle name="Note 4 8 3" xfId="6172" xr:uid="{701EDB46-AFCA-4847-BBBF-71FCEADE6585}"/>
    <cellStyle name="Note 4 8 4" xfId="5733" xr:uid="{2A609E55-D440-4F14-8BC5-EF60461A3478}"/>
    <cellStyle name="Note 4 9" xfId="2568" xr:uid="{00000000-0005-0000-0000-00008C090000}"/>
    <cellStyle name="Note 4 9 2" xfId="3285" xr:uid="{00000000-0005-0000-0000-0000870A0000}"/>
    <cellStyle name="Note 5" xfId="224" xr:uid="{00000000-0005-0000-0000-00008D090000}"/>
    <cellStyle name="Note 5 2" xfId="2294" xr:uid="{00000000-0005-0000-0000-00008E090000}"/>
    <cellStyle name="Note 5 2 2" xfId="2740" xr:uid="{00000000-0005-0000-0000-00008F090000}"/>
    <cellStyle name="Note 5 2 2 2" xfId="3113" xr:uid="{00000000-0005-0000-0000-00008B0A0000}"/>
    <cellStyle name="Note 5 2 3" xfId="5795" xr:uid="{D56A47BA-1938-4D63-81B6-EC0F6C7A3B52}"/>
    <cellStyle name="Note 5 2 4" xfId="5873" xr:uid="{14E20C7F-D84A-47BA-8A35-2B83A418DA8C}"/>
    <cellStyle name="Note 5 3" xfId="2295" xr:uid="{00000000-0005-0000-0000-000090090000}"/>
    <cellStyle name="Note 5 3 2" xfId="2741" xr:uid="{00000000-0005-0000-0000-000091090000}"/>
    <cellStyle name="Note 5 3 2 2" xfId="3112" xr:uid="{00000000-0005-0000-0000-00008E0A0000}"/>
    <cellStyle name="Note 5 3 3" xfId="6241" xr:uid="{B1B05876-87F6-408F-9340-B01F005A3A5C}"/>
    <cellStyle name="Note 5 3 4" xfId="5869" xr:uid="{1FC2F637-48EA-4A06-8CE4-CEECA8F30C36}"/>
    <cellStyle name="Note 5 4" xfId="2296" xr:uid="{00000000-0005-0000-0000-000092090000}"/>
    <cellStyle name="Note 5 4 2" xfId="2742" xr:uid="{00000000-0005-0000-0000-000093090000}"/>
    <cellStyle name="Note 5 4 2 2" xfId="3111" xr:uid="{00000000-0005-0000-0000-0000910A0000}"/>
    <cellStyle name="Note 5 4 3" xfId="6247" xr:uid="{E8568A74-75AB-40BA-A9CA-448B8748F94C}"/>
    <cellStyle name="Note 5 4 4" xfId="5870" xr:uid="{36B888F0-0FB5-41B7-B9CC-568CCA9F4FC4}"/>
    <cellStyle name="Note 5 5" xfId="2297" xr:uid="{00000000-0005-0000-0000-000094090000}"/>
    <cellStyle name="Note 5 5 2" xfId="2743" xr:uid="{00000000-0005-0000-0000-000095090000}"/>
    <cellStyle name="Note 5 5 2 2" xfId="3110" xr:uid="{00000000-0005-0000-0000-0000940A0000}"/>
    <cellStyle name="Note 5 5 3" xfId="6208" xr:uid="{A92356E1-EE2F-42BC-ABE7-BCB5D7A3370B}"/>
    <cellStyle name="Note 5 5 4" xfId="5853" xr:uid="{C6FF6E15-3D5A-4636-B1C7-F20AA27AE2EE}"/>
    <cellStyle name="Note 5 6" xfId="2298" xr:uid="{00000000-0005-0000-0000-000096090000}"/>
    <cellStyle name="Note 5 6 2" xfId="2744" xr:uid="{00000000-0005-0000-0000-000097090000}"/>
    <cellStyle name="Note 5 6 2 2" xfId="3109" xr:uid="{00000000-0005-0000-0000-0000970A0000}"/>
    <cellStyle name="Note 5 6 3" xfId="6207" xr:uid="{32BF7A52-60DC-460A-8F53-FCF04C77CF02}"/>
    <cellStyle name="Note 5 6 4" xfId="6068" xr:uid="{4540D503-8529-4217-BFE3-30DF1A2226FF}"/>
    <cellStyle name="Note 5 7" xfId="2569" xr:uid="{00000000-0005-0000-0000-000098090000}"/>
    <cellStyle name="Note 5 7 2" xfId="3284" xr:uid="{00000000-0005-0000-0000-0000990A0000}"/>
    <cellStyle name="Note 5 8" xfId="3940" xr:uid="{C36DCC58-6062-49B7-AF57-72F66A851104}"/>
    <cellStyle name="Note 5 8 2" xfId="4055" xr:uid="{F1946591-7BD3-4F1B-8B5F-980BABDB5966}"/>
    <cellStyle name="Note 5 9" xfId="6086" xr:uid="{3639A2E5-B068-447F-8837-8B146946B106}"/>
    <cellStyle name="Note 6" xfId="225" xr:uid="{00000000-0005-0000-0000-000099090000}"/>
    <cellStyle name="Note 6 2" xfId="2299" xr:uid="{00000000-0005-0000-0000-00009A090000}"/>
    <cellStyle name="Note 6 2 2" xfId="2745" xr:uid="{00000000-0005-0000-0000-00009B090000}"/>
    <cellStyle name="Note 6 2 2 2" xfId="3108" xr:uid="{00000000-0005-0000-0000-00009D0A0000}"/>
    <cellStyle name="Note 6 2 3" xfId="5892" xr:uid="{718BD9C5-9230-423E-BA7E-49105AC2D0D0}"/>
    <cellStyle name="Note 6 2 4" xfId="6069" xr:uid="{2E87DA88-210C-41D9-BE5D-C2B86AB869DB}"/>
    <cellStyle name="Note 6 3" xfId="2300" xr:uid="{00000000-0005-0000-0000-00009C090000}"/>
    <cellStyle name="Note 6 3 2" xfId="2746" xr:uid="{00000000-0005-0000-0000-00009D090000}"/>
    <cellStyle name="Note 6 3 2 2" xfId="3107" xr:uid="{00000000-0005-0000-0000-0000A00A0000}"/>
    <cellStyle name="Note 6 3 3" xfId="6255" xr:uid="{76F57716-A88F-47EB-A749-2D170FA0B411}"/>
    <cellStyle name="Note 6 3 4" xfId="5871" xr:uid="{F90ED0AE-6694-4882-85D3-A378EA232D75}"/>
    <cellStyle name="Note 6 4" xfId="2301" xr:uid="{00000000-0005-0000-0000-00009E090000}"/>
    <cellStyle name="Note 6 4 2" xfId="2747" xr:uid="{00000000-0005-0000-0000-00009F090000}"/>
    <cellStyle name="Note 6 4 2 2" xfId="3106" xr:uid="{00000000-0005-0000-0000-0000A30A0000}"/>
    <cellStyle name="Note 6 4 3" xfId="5885" xr:uid="{56E8050D-09E9-4F4C-8903-641EE371E5D5}"/>
    <cellStyle name="Note 6 4 4" xfId="6168" xr:uid="{DD857FF2-82AD-45A3-9DE7-56BD0C60E475}"/>
    <cellStyle name="Note 6 5" xfId="2302" xr:uid="{00000000-0005-0000-0000-0000A0090000}"/>
    <cellStyle name="Note 6 5 2" xfId="2748" xr:uid="{00000000-0005-0000-0000-0000A1090000}"/>
    <cellStyle name="Note 6 5 2 2" xfId="3105" xr:uid="{00000000-0005-0000-0000-0000A60A0000}"/>
    <cellStyle name="Note 6 5 3" xfId="6206" xr:uid="{E83E4ED6-25B5-4D39-8611-3225CC76BD7F}"/>
    <cellStyle name="Note 6 5 4" xfId="6250" xr:uid="{48EF2DD3-F485-42A1-93D8-C5A888F78837}"/>
    <cellStyle name="Note 6 6" xfId="2303" xr:uid="{00000000-0005-0000-0000-0000A2090000}"/>
    <cellStyle name="Note 6 6 2" xfId="2749" xr:uid="{00000000-0005-0000-0000-0000A3090000}"/>
    <cellStyle name="Note 6 6 2 2" xfId="3104" xr:uid="{00000000-0005-0000-0000-0000A90A0000}"/>
    <cellStyle name="Note 6 6 3" xfId="6205" xr:uid="{8D9D7E96-018A-4B48-B5D5-4A651805E632}"/>
    <cellStyle name="Note 6 6 4" xfId="6071" xr:uid="{D64D80BA-16B2-4227-B012-EF04415E6FA0}"/>
    <cellStyle name="Note 6 7" xfId="2570" xr:uid="{00000000-0005-0000-0000-0000A4090000}"/>
    <cellStyle name="Note 6 7 2" xfId="3283" xr:uid="{00000000-0005-0000-0000-0000AB0A0000}"/>
    <cellStyle name="Note 6 8" xfId="3941" xr:uid="{12221301-C8C3-47C3-A965-2B709B8F84E0}"/>
    <cellStyle name="Note 6 8 2" xfId="4031" xr:uid="{277AC24C-0D8D-4D60-9EB2-555F74AED64E}"/>
    <cellStyle name="Note 6 9" xfId="5988" xr:uid="{E9747EDA-9D4E-46AF-B215-21E7C81825E4}"/>
    <cellStyle name="Note 7" xfId="226" xr:uid="{00000000-0005-0000-0000-0000A5090000}"/>
    <cellStyle name="Note 7 2" xfId="2304" xr:uid="{00000000-0005-0000-0000-0000A6090000}"/>
    <cellStyle name="Note 7 2 2" xfId="2750" xr:uid="{00000000-0005-0000-0000-0000A7090000}"/>
    <cellStyle name="Note 7 2 2 2" xfId="3103" xr:uid="{00000000-0005-0000-0000-0000AF0A0000}"/>
    <cellStyle name="Note 7 2 3" xfId="5884" xr:uid="{E8773EEA-90AF-48DA-A803-34DDB19E4EEB}"/>
    <cellStyle name="Note 7 2 4" xfId="5872" xr:uid="{20223813-0CC3-4DD3-97F1-2BE62A803446}"/>
    <cellStyle name="Note 7 3" xfId="2305" xr:uid="{00000000-0005-0000-0000-0000A8090000}"/>
    <cellStyle name="Note 7 3 2" xfId="2751" xr:uid="{00000000-0005-0000-0000-0000A9090000}"/>
    <cellStyle name="Note 7 3 2 2" xfId="3102" xr:uid="{00000000-0005-0000-0000-0000B20A0000}"/>
    <cellStyle name="Note 7 3 3" xfId="5883" xr:uid="{27B1C7BE-5C2F-4ECA-8E35-95E24C036955}"/>
    <cellStyle name="Note 7 3 4" xfId="6072" xr:uid="{48DB6292-D287-4C82-B1E7-64426CC87E9B}"/>
    <cellStyle name="Note 7 4" xfId="2306" xr:uid="{00000000-0005-0000-0000-0000AA090000}"/>
    <cellStyle name="Note 7 4 2" xfId="2752" xr:uid="{00000000-0005-0000-0000-0000AB090000}"/>
    <cellStyle name="Note 7 4 2 2" xfId="3101" xr:uid="{00000000-0005-0000-0000-0000B50A0000}"/>
    <cellStyle name="Note 7 4 3" xfId="6204" xr:uid="{E208D69B-E378-474D-892F-168804041BD0}"/>
    <cellStyle name="Note 7 4 4" xfId="5944" xr:uid="{775BD5CF-7F2A-40AB-BFD6-9EB3E72B45FB}"/>
    <cellStyle name="Note 7 5" xfId="2307" xr:uid="{00000000-0005-0000-0000-0000AC090000}"/>
    <cellStyle name="Note 7 5 2" xfId="2753" xr:uid="{00000000-0005-0000-0000-0000AD090000}"/>
    <cellStyle name="Note 7 5 2 2" xfId="3100" xr:uid="{00000000-0005-0000-0000-0000B80A0000}"/>
    <cellStyle name="Note 7 5 3" xfId="5882" xr:uid="{FD1535AF-A10A-4301-973D-A8B7CA89099F}"/>
    <cellStyle name="Note 7 5 4" xfId="6308" xr:uid="{AD89F237-B29F-40F3-BA2F-D55E84F9A22A}"/>
    <cellStyle name="Note 7 6" xfId="2308" xr:uid="{00000000-0005-0000-0000-0000AE090000}"/>
    <cellStyle name="Note 7 6 2" xfId="2754" xr:uid="{00000000-0005-0000-0000-0000AF090000}"/>
    <cellStyle name="Note 7 6 2 2" xfId="3099" xr:uid="{00000000-0005-0000-0000-0000BB0A0000}"/>
    <cellStyle name="Note 7 6 3" xfId="5881" xr:uid="{D537BCEF-9AB3-462C-89C9-2A245AE33CFC}"/>
    <cellStyle name="Note 7 6 4" xfId="5854" xr:uid="{DBF0094B-ADED-4541-B335-79F39CCC3767}"/>
    <cellStyle name="Note 7 7" xfId="2571" xr:uid="{00000000-0005-0000-0000-0000B0090000}"/>
    <cellStyle name="Note 7 7 2" xfId="3282" xr:uid="{00000000-0005-0000-0000-0000BD0A0000}"/>
    <cellStyle name="Note 7 8" xfId="3942" xr:uid="{1AA8CDA5-E2AF-44BC-889A-3A6A946A7DF8}"/>
    <cellStyle name="Note 7 8 2" xfId="4026" xr:uid="{32A2666E-B939-47E8-BF21-CB2B82FD1E38}"/>
    <cellStyle name="Note 7 9" xfId="5989" xr:uid="{182A0AF8-C78F-467E-AB15-57DB174ED432}"/>
    <cellStyle name="Note 8 2" xfId="2309" xr:uid="{00000000-0005-0000-0000-0000B1090000}"/>
    <cellStyle name="Note 8 2 2" xfId="2755" xr:uid="{00000000-0005-0000-0000-0000B2090000}"/>
    <cellStyle name="Note 8 2 2 2" xfId="3098" xr:uid="{00000000-0005-0000-0000-0000C00A0000}"/>
    <cellStyle name="Note 8 2 3" xfId="5793" xr:uid="{07C7C618-9B06-4F9F-A60E-CDE51FAD539B}"/>
    <cellStyle name="Note 8 2 4" xfId="6066" xr:uid="{93D3AB1E-302B-4BDA-BAB9-9BCB4F8FC090}"/>
    <cellStyle name="Note 8 3" xfId="2310" xr:uid="{00000000-0005-0000-0000-0000B3090000}"/>
    <cellStyle name="Note 8 3 2" xfId="2756" xr:uid="{00000000-0005-0000-0000-0000B4090000}"/>
    <cellStyle name="Note 8 3 2 2" xfId="3097" xr:uid="{00000000-0005-0000-0000-0000C30A0000}"/>
    <cellStyle name="Note 8 3 3" xfId="6238" xr:uid="{0587279D-8F05-4EA9-99D6-E2779FC8112A}"/>
    <cellStyle name="Note 8 3 4" xfId="6175" xr:uid="{1E402D09-1342-4853-B494-6E7CA6215713}"/>
    <cellStyle name="Note 8 4" xfId="2311" xr:uid="{00000000-0005-0000-0000-0000B5090000}"/>
    <cellStyle name="Note 8 4 2" xfId="2757" xr:uid="{00000000-0005-0000-0000-0000B6090000}"/>
    <cellStyle name="Note 8 4 2 2" xfId="3096" xr:uid="{00000000-0005-0000-0000-0000C60A0000}"/>
    <cellStyle name="Note 8 4 3" xfId="6254" xr:uid="{2FF8C47F-D490-4F59-9598-6B5F4E4B176D}"/>
    <cellStyle name="Note 8 4 4" xfId="6159" xr:uid="{9498C8D6-614E-456D-AFC1-8990EC2CC4D5}"/>
    <cellStyle name="Note 8 5" xfId="2312" xr:uid="{00000000-0005-0000-0000-0000B7090000}"/>
    <cellStyle name="Note 8 5 2" xfId="2758" xr:uid="{00000000-0005-0000-0000-0000B8090000}"/>
    <cellStyle name="Note 8 5 2 2" xfId="3095" xr:uid="{00000000-0005-0000-0000-0000C90A0000}"/>
    <cellStyle name="Note 8 5 3" xfId="5880" xr:uid="{81A14D5C-ADCA-4166-A589-D75319908418}"/>
    <cellStyle name="Note 8 5 4" xfId="6073" xr:uid="{3616414A-8C31-41A1-AD4B-7C814096237F}"/>
    <cellStyle name="Note 8 6" xfId="2313" xr:uid="{00000000-0005-0000-0000-0000B9090000}"/>
    <cellStyle name="Note 8 6 2" xfId="2759" xr:uid="{00000000-0005-0000-0000-0000BA090000}"/>
    <cellStyle name="Note 8 6 2 2" xfId="3094" xr:uid="{00000000-0005-0000-0000-0000CC0A0000}"/>
    <cellStyle name="Note 8 6 3" xfId="6246" xr:uid="{4639266A-A7DA-4D9C-8E03-CA2EBDC915A0}"/>
    <cellStyle name="Note 8 6 4" xfId="5734" xr:uid="{40DA0674-56EB-45C6-A88A-7CAB639FE122}"/>
    <cellStyle name="Note 9 2" xfId="2314" xr:uid="{00000000-0005-0000-0000-0000BB090000}"/>
    <cellStyle name="Note 9 2 2" xfId="2760" xr:uid="{00000000-0005-0000-0000-0000BC090000}"/>
    <cellStyle name="Note 9 2 2 2" xfId="3093" xr:uid="{00000000-0005-0000-0000-0000CF0A0000}"/>
    <cellStyle name="Note 9 2 3" xfId="6170" xr:uid="{380BEA46-6C00-4BF6-8ED6-1D7FFBDDA696}"/>
    <cellStyle name="Note 9 2 4" xfId="6074" xr:uid="{807458A5-BE94-4F6E-8DDD-2545D9D5C31E}"/>
    <cellStyle name="Note 9 3" xfId="2315" xr:uid="{00000000-0005-0000-0000-0000BD090000}"/>
    <cellStyle name="Note 9 3 2" xfId="2761" xr:uid="{00000000-0005-0000-0000-0000BE090000}"/>
    <cellStyle name="Note 9 3 2 2" xfId="3092" xr:uid="{00000000-0005-0000-0000-0000D20A0000}"/>
    <cellStyle name="Note 9 3 3" xfId="5878" xr:uid="{21DBD8D9-EA3A-43C8-A705-3BCEE49D5EF0}"/>
    <cellStyle name="Note 9 3 4" xfId="6070" xr:uid="{8AACAC5A-6B44-4F9B-95DA-2FE0BBD7B49B}"/>
    <cellStyle name="Note 9 4" xfId="2316" xr:uid="{00000000-0005-0000-0000-0000BF090000}"/>
    <cellStyle name="Note 9 4 2" xfId="2762" xr:uid="{00000000-0005-0000-0000-0000C0090000}"/>
    <cellStyle name="Note 9 4 2 2" xfId="3091" xr:uid="{00000000-0005-0000-0000-0000D50A0000}"/>
    <cellStyle name="Note 9 4 3" xfId="5879" xr:uid="{7F0D496E-EF75-49DF-B557-02EAD4AC6A6C}"/>
    <cellStyle name="Note 9 4 4" xfId="5855" xr:uid="{C2D826FC-94DD-41DD-89F4-D150025D039A}"/>
    <cellStyle name="Note 9 5" xfId="2317" xr:uid="{00000000-0005-0000-0000-0000C1090000}"/>
    <cellStyle name="Note 9 5 2" xfId="2763" xr:uid="{00000000-0005-0000-0000-0000C2090000}"/>
    <cellStyle name="Note 9 5 2 2" xfId="3090" xr:uid="{00000000-0005-0000-0000-0000D80A0000}"/>
    <cellStyle name="Note 9 5 3" xfId="5877" xr:uid="{5580F839-D9A2-4CF8-9F17-3E5535FF67E9}"/>
    <cellStyle name="Note 9 5 4" xfId="5818" xr:uid="{B9BC65E4-5C1E-4961-ABEB-B5C6F79A6187}"/>
    <cellStyle name="Note 9 6" xfId="2318" xr:uid="{00000000-0005-0000-0000-0000C3090000}"/>
    <cellStyle name="Note 9 6 2" xfId="2764" xr:uid="{00000000-0005-0000-0000-0000C4090000}"/>
    <cellStyle name="Note 9 6 2 2" xfId="3089" xr:uid="{00000000-0005-0000-0000-0000DB0A0000}"/>
    <cellStyle name="Note 9 6 3" xfId="5876" xr:uid="{C736286F-50D2-49B7-887B-AC3270D9F983}"/>
    <cellStyle name="Note 9 6 4" xfId="5857" xr:uid="{F344FC5F-FDEB-4F86-B415-9833ED85E902}"/>
    <cellStyle name="Number" xfId="227" xr:uid="{00000000-0005-0000-0000-0000C5090000}"/>
    <cellStyle name="Output 10 2" xfId="2319" xr:uid="{00000000-0005-0000-0000-0000C6090000}"/>
    <cellStyle name="Output 10 2 2" xfId="2552" xr:uid="{00000000-0005-0000-0000-0000C7090000}"/>
    <cellStyle name="Output 10 2 2 2" xfId="3301" xr:uid="{00000000-0005-0000-0000-0000DF0A0000}"/>
    <cellStyle name="Output 10 2 3" xfId="3417" xr:uid="{00000000-0005-0000-0000-0000E00A0000}"/>
    <cellStyle name="Output 10 2 4" xfId="5785" xr:uid="{88688EA5-3E4B-45E7-A6E7-910541BEC4B4}"/>
    <cellStyle name="Output 10 2 5" xfId="5986" xr:uid="{6213D606-CFC7-4415-B662-528533693CE5}"/>
    <cellStyle name="Output 10 3" xfId="2320" xr:uid="{00000000-0005-0000-0000-0000C8090000}"/>
    <cellStyle name="Output 10 3 2" xfId="2601" xr:uid="{00000000-0005-0000-0000-0000C9090000}"/>
    <cellStyle name="Output 10 3 2 2" xfId="3252" xr:uid="{00000000-0005-0000-0000-0000E30A0000}"/>
    <cellStyle name="Output 10 3 3" xfId="3416" xr:uid="{00000000-0005-0000-0000-0000E40A0000}"/>
    <cellStyle name="Output 10 3 4" xfId="6098" xr:uid="{0348B8A1-E1AE-4C92-B28D-12FEFF7C36DA}"/>
    <cellStyle name="Output 10 3 5" xfId="5840" xr:uid="{10AD1416-F276-4270-A5B2-B58316FB3868}"/>
    <cellStyle name="Output 10 4" xfId="2321" xr:uid="{00000000-0005-0000-0000-0000CA090000}"/>
    <cellStyle name="Output 10 4 2" xfId="2602" xr:uid="{00000000-0005-0000-0000-0000CB090000}"/>
    <cellStyle name="Output 10 4 2 2" xfId="3251" xr:uid="{00000000-0005-0000-0000-0000E70A0000}"/>
    <cellStyle name="Output 10 4 3" xfId="3415" xr:uid="{00000000-0005-0000-0000-0000E80A0000}"/>
    <cellStyle name="Output 10 4 4" xfId="5822" xr:uid="{440E7386-F8A9-41DF-AE2E-C72BA9B1B724}"/>
    <cellStyle name="Output 10 4 5" xfId="5985" xr:uid="{A118185F-F372-4A3C-94EB-E933AC9B83EB}"/>
    <cellStyle name="Output 10 5" xfId="2322" xr:uid="{00000000-0005-0000-0000-0000CC090000}"/>
    <cellStyle name="Output 10 5 2" xfId="2553" xr:uid="{00000000-0005-0000-0000-0000CD090000}"/>
    <cellStyle name="Output 10 5 2 2" xfId="3300" xr:uid="{00000000-0005-0000-0000-0000EB0A0000}"/>
    <cellStyle name="Output 10 5 3" xfId="3414" xr:uid="{00000000-0005-0000-0000-0000EC0A0000}"/>
    <cellStyle name="Output 10 5 4" xfId="6099" xr:uid="{B492F54A-D804-42A7-A2AC-42CD44EB5BAB}"/>
    <cellStyle name="Output 10 5 5" xfId="5984" xr:uid="{63C655F0-DA89-44A7-908B-92FEEE1D925B}"/>
    <cellStyle name="Output 10 6" xfId="2323" xr:uid="{00000000-0005-0000-0000-0000CE090000}"/>
    <cellStyle name="Output 10 6 2" xfId="2551" xr:uid="{00000000-0005-0000-0000-0000CF090000}"/>
    <cellStyle name="Output 10 6 2 2" xfId="3302" xr:uid="{00000000-0005-0000-0000-0000EF0A0000}"/>
    <cellStyle name="Output 10 6 3" xfId="3413" xr:uid="{00000000-0005-0000-0000-0000F00A0000}"/>
    <cellStyle name="Output 10 6 4" xfId="6100" xr:uid="{835A8355-47A3-4354-B219-6E78E7299288}"/>
    <cellStyle name="Output 10 6 5" xfId="5983" xr:uid="{B9CA87EE-643C-491D-9173-EA6D8422D5AA}"/>
    <cellStyle name="Output 11 2" xfId="2324" xr:uid="{00000000-0005-0000-0000-0000D0090000}"/>
    <cellStyle name="Output 11 2 2" xfId="2550" xr:uid="{00000000-0005-0000-0000-0000D1090000}"/>
    <cellStyle name="Output 11 2 2 2" xfId="3303" xr:uid="{00000000-0005-0000-0000-0000F30A0000}"/>
    <cellStyle name="Output 11 2 3" xfId="3412" xr:uid="{00000000-0005-0000-0000-0000F40A0000}"/>
    <cellStyle name="Output 11 2 4" xfId="6101" xr:uid="{CDFCCA59-A91C-4ABE-806F-C559EC904F19}"/>
    <cellStyle name="Output 11 2 5" xfId="5987" xr:uid="{370046EB-0D2E-4C98-BE98-2C904ACC562C}"/>
    <cellStyle name="Output 11 3" xfId="2325" xr:uid="{00000000-0005-0000-0000-0000D2090000}"/>
    <cellStyle name="Output 11 3 2" xfId="2549" xr:uid="{00000000-0005-0000-0000-0000D3090000}"/>
    <cellStyle name="Output 11 3 2 2" xfId="3304" xr:uid="{00000000-0005-0000-0000-0000F70A0000}"/>
    <cellStyle name="Output 11 3 3" xfId="3411" xr:uid="{00000000-0005-0000-0000-0000F80A0000}"/>
    <cellStyle name="Output 11 3 4" xfId="6102" xr:uid="{57F7D02A-2A18-4154-A3ED-E7FFACF0D9E9}"/>
    <cellStyle name="Output 11 3 5" xfId="6097" xr:uid="{A6A3FBBA-9743-4F24-BF45-4D7F4BC44064}"/>
    <cellStyle name="Output 11 4" xfId="2326" xr:uid="{00000000-0005-0000-0000-0000D4090000}"/>
    <cellStyle name="Output 11 4 2" xfId="2548" xr:uid="{00000000-0005-0000-0000-0000D5090000}"/>
    <cellStyle name="Output 11 4 2 2" xfId="3305" xr:uid="{00000000-0005-0000-0000-0000FB0A0000}"/>
    <cellStyle name="Output 11 4 3" xfId="3410" xr:uid="{00000000-0005-0000-0000-0000FC0A0000}"/>
    <cellStyle name="Output 11 4 4" xfId="6103" xr:uid="{A8B428F6-9190-4C84-B9AB-2B91099C6267}"/>
    <cellStyle name="Output 11 4 5" xfId="6160" xr:uid="{A92F99A0-540B-4642-A4DD-74284C8F2205}"/>
    <cellStyle name="Output 11 5" xfId="2327" xr:uid="{00000000-0005-0000-0000-0000D6090000}"/>
    <cellStyle name="Output 11 5 2" xfId="2547" xr:uid="{00000000-0005-0000-0000-0000D7090000}"/>
    <cellStyle name="Output 11 5 2 2" xfId="3306" xr:uid="{00000000-0005-0000-0000-0000FF0A0000}"/>
    <cellStyle name="Output 11 5 3" xfId="3409" xr:uid="{00000000-0005-0000-0000-0000000B0000}"/>
    <cellStyle name="Output 11 5 4" xfId="5743" xr:uid="{2DD5EF0D-15AE-4BFF-B9F6-066FB191D2A9}"/>
    <cellStyle name="Output 11 5 5" xfId="5982" xr:uid="{3E221E83-0092-4A92-8A2C-7810F2E8CEDA}"/>
    <cellStyle name="Output 11 6" xfId="2328" xr:uid="{00000000-0005-0000-0000-0000D8090000}"/>
    <cellStyle name="Output 11 6 2" xfId="2600" xr:uid="{00000000-0005-0000-0000-0000D9090000}"/>
    <cellStyle name="Output 11 6 2 2" xfId="3253" xr:uid="{00000000-0005-0000-0000-0000030B0000}"/>
    <cellStyle name="Output 11 6 3" xfId="3408" xr:uid="{00000000-0005-0000-0000-0000040B0000}"/>
    <cellStyle name="Output 11 6 4" xfId="5742" xr:uid="{CCDBDFC3-8827-49BE-9338-E1A653E0D400}"/>
    <cellStyle name="Output 11 6 5" xfId="5981" xr:uid="{8383D3DF-AFA0-4DA7-BDDD-5FEABFC8281E}"/>
    <cellStyle name="Output 2" xfId="228" xr:uid="{00000000-0005-0000-0000-0000DA090000}"/>
    <cellStyle name="Output 2 10" xfId="5875" xr:uid="{F8956036-F16D-4E73-969C-8A8F4C5A7EE8}"/>
    <cellStyle name="Output 2 2" xfId="2329" xr:uid="{00000000-0005-0000-0000-0000DB090000}"/>
    <cellStyle name="Output 2 2 2" xfId="2599" xr:uid="{00000000-0005-0000-0000-0000DC090000}"/>
    <cellStyle name="Output 2 2 2 2" xfId="3254" xr:uid="{00000000-0005-0000-0000-0000080B0000}"/>
    <cellStyle name="Output 2 2 3" xfId="3407" xr:uid="{00000000-0005-0000-0000-0000090B0000}"/>
    <cellStyle name="Output 2 2 4" xfId="5823" xr:uid="{A5BFE828-0C69-4DEE-AF43-07A053262171}"/>
    <cellStyle name="Output 2 2 5" xfId="6275" xr:uid="{A8D978F9-96AF-4E6C-AF0D-731254341662}"/>
    <cellStyle name="Output 2 3" xfId="2330" xr:uid="{00000000-0005-0000-0000-0000DD090000}"/>
    <cellStyle name="Output 2 3 2" xfId="2598" xr:uid="{00000000-0005-0000-0000-0000DE090000}"/>
    <cellStyle name="Output 2 3 2 2" xfId="3255" xr:uid="{00000000-0005-0000-0000-00000C0B0000}"/>
    <cellStyle name="Output 2 3 3" xfId="3406" xr:uid="{00000000-0005-0000-0000-00000D0B0000}"/>
    <cellStyle name="Output 2 3 4" xfId="6106" xr:uid="{3F7C186E-186A-487F-9E88-2A0D665F8DA1}"/>
    <cellStyle name="Output 2 3 5" xfId="6274" xr:uid="{2EB5CE7F-18C1-4F1A-A3BE-3E8636D29F75}"/>
    <cellStyle name="Output 2 3 6" xfId="5682" xr:uid="{693C998F-446C-4661-AEC1-B3714796208A}"/>
    <cellStyle name="Output 2 3 7" xfId="5385" xr:uid="{D7797741-2FEA-427E-A273-7D95CD7951DA}"/>
    <cellStyle name="Output 2 4" xfId="2331" xr:uid="{00000000-0005-0000-0000-0000DF090000}"/>
    <cellStyle name="Output 2 4 2" xfId="2597" xr:uid="{00000000-0005-0000-0000-0000E0090000}"/>
    <cellStyle name="Output 2 4 2 2" xfId="3256" xr:uid="{00000000-0005-0000-0000-0000100B0000}"/>
    <cellStyle name="Output 2 4 3" xfId="3405" xr:uid="{00000000-0005-0000-0000-0000110B0000}"/>
    <cellStyle name="Output 2 4 4" xfId="6107" xr:uid="{563D7F31-615F-4BCE-856F-6582F862607F}"/>
    <cellStyle name="Output 2 4 5" xfId="6283" xr:uid="{407C23E2-B11C-49B9-AFE4-E60B1D9D4854}"/>
    <cellStyle name="Output 2 4 6" xfId="5683" xr:uid="{632FD7A0-7236-4473-B961-6762391C5345}"/>
    <cellStyle name="Output 2 4 7" xfId="5384" xr:uid="{2536A273-854E-4429-A50E-F1CE3EFB1CA2}"/>
    <cellStyle name="Output 2 5" xfId="2332" xr:uid="{00000000-0005-0000-0000-0000E1090000}"/>
    <cellStyle name="Output 2 5 2" xfId="2596" xr:uid="{00000000-0005-0000-0000-0000E2090000}"/>
    <cellStyle name="Output 2 5 2 2" xfId="3257" xr:uid="{00000000-0005-0000-0000-0000140B0000}"/>
    <cellStyle name="Output 2 5 3" xfId="3404" xr:uid="{00000000-0005-0000-0000-0000150B0000}"/>
    <cellStyle name="Output 2 5 4" xfId="6108" xr:uid="{84867C29-5603-465F-9A64-C8468D28E632}"/>
    <cellStyle name="Output 2 5 5" xfId="6187" xr:uid="{4B20DFBC-0FEE-40DC-B0D9-F2ABFE0B6CF4}"/>
    <cellStyle name="Output 2 5 6" xfId="5684" xr:uid="{CDB3D14A-9D0C-4C1E-B914-D1862F8E095C}"/>
    <cellStyle name="Output 2 5 7" xfId="5600" xr:uid="{B5BF3552-031C-4AF6-8488-8F818B177C2A}"/>
    <cellStyle name="Output 2 6" xfId="2333" xr:uid="{00000000-0005-0000-0000-0000E3090000}"/>
    <cellStyle name="Output 2 6 2" xfId="2595" xr:uid="{00000000-0005-0000-0000-0000E4090000}"/>
    <cellStyle name="Output 2 6 2 2" xfId="3258" xr:uid="{00000000-0005-0000-0000-0000180B0000}"/>
    <cellStyle name="Output 2 6 3" xfId="3403" xr:uid="{00000000-0005-0000-0000-0000190B0000}"/>
    <cellStyle name="Output 2 6 4" xfId="6109" xr:uid="{E7116216-2A91-449B-B747-2ABE97A739BC}"/>
    <cellStyle name="Output 2 6 5" xfId="5752" xr:uid="{34EB03A8-CD5E-4377-8F4F-3F5E092065B0}"/>
    <cellStyle name="Output 2 6 6" xfId="5685" xr:uid="{E69FEDC6-44F1-4160-93D3-44D2018D57BA}"/>
    <cellStyle name="Output 2 6 7" xfId="5271" xr:uid="{1377C720-E8A9-4B8E-A120-E249C83ACA02}"/>
    <cellStyle name="Output 2 7" xfId="2777" xr:uid="{00000000-0005-0000-0000-0000E5090000}"/>
    <cellStyle name="Output 2 7 2" xfId="3076" xr:uid="{00000000-0005-0000-0000-00001B0B0000}"/>
    <cellStyle name="Output 2 8" xfId="3426" xr:uid="{00000000-0005-0000-0000-00001C0B0000}"/>
    <cellStyle name="Output 2 8 2" xfId="5706" xr:uid="{5BF453D2-5C3B-45FB-9BF7-1AB0C9FFA9EE}"/>
    <cellStyle name="Output 2 8 3" xfId="7080" xr:uid="{27C6022D-49D7-495E-9227-ABD8B5557111}"/>
    <cellStyle name="Output 2 8 4" xfId="5549" xr:uid="{25914679-87DD-449A-B485-AB2F3E695645}"/>
    <cellStyle name="Output 2 9" xfId="5858" xr:uid="{846DF020-F6A4-4BF4-ACE3-6BF6AB17779E}"/>
    <cellStyle name="Output 3" xfId="229" xr:uid="{00000000-0005-0000-0000-0000E6090000}"/>
    <cellStyle name="Output 3 10" xfId="3425" xr:uid="{00000000-0005-0000-0000-00001E0B0000}"/>
    <cellStyle name="Output 3 11" xfId="5859" xr:uid="{34C47485-ACFC-4C82-8512-D5CCF925690C}"/>
    <cellStyle name="Output 3 12" xfId="6080" xr:uid="{781E829E-00E9-4A84-92E9-2E8F0887B1D1}"/>
    <cellStyle name="Output 3 13" xfId="5587" xr:uid="{BB744F53-D1E3-40DF-83C2-75B49A054399}"/>
    <cellStyle name="Output 3 2" xfId="2335" xr:uid="{00000000-0005-0000-0000-0000E7090000}"/>
    <cellStyle name="Output 3 2 2" xfId="2593" xr:uid="{00000000-0005-0000-0000-0000E8090000}"/>
    <cellStyle name="Output 3 2 2 2" xfId="3260" xr:uid="{00000000-0005-0000-0000-0000210B0000}"/>
    <cellStyle name="Output 3 2 3" xfId="3401" xr:uid="{00000000-0005-0000-0000-0000220B0000}"/>
    <cellStyle name="Output 3 2 4" xfId="6104" xr:uid="{4D78E926-C092-448D-BDC3-292756CD1552}"/>
    <cellStyle name="Output 3 2 5" xfId="5979" xr:uid="{79F48560-3E8D-4398-B461-4C677CB9BCC2}"/>
    <cellStyle name="Output 3 3" xfId="2336" xr:uid="{00000000-0005-0000-0000-0000E9090000}"/>
    <cellStyle name="Output 3 3 2" xfId="2592" xr:uid="{00000000-0005-0000-0000-0000EA090000}"/>
    <cellStyle name="Output 3 3 2 2" xfId="3261" xr:uid="{00000000-0005-0000-0000-0000250B0000}"/>
    <cellStyle name="Output 3 3 3" xfId="3400" xr:uid="{00000000-0005-0000-0000-0000260B0000}"/>
    <cellStyle name="Output 3 3 4" xfId="6105" xr:uid="{ACD053CD-5BDD-47F2-A193-ED145C61E482}"/>
    <cellStyle name="Output 3 3 5" xfId="5978" xr:uid="{D43BA30A-E340-425B-9D78-4DF329E634BD}"/>
    <cellStyle name="Output 3 4" xfId="2337" xr:uid="{00000000-0005-0000-0000-0000EB090000}"/>
    <cellStyle name="Output 3 4 2" xfId="2546" xr:uid="{00000000-0005-0000-0000-0000EC090000}"/>
    <cellStyle name="Output 3 4 2 2" xfId="3307" xr:uid="{00000000-0005-0000-0000-0000290B0000}"/>
    <cellStyle name="Output 3 4 3" xfId="3399" xr:uid="{00000000-0005-0000-0000-00002A0B0000}"/>
    <cellStyle name="Output 3 4 4" xfId="6197" xr:uid="{9556311C-0EB7-4297-941F-E808B87361E8}"/>
    <cellStyle name="Output 3 4 5" xfId="6273" xr:uid="{B1651734-6ABB-45BB-90B5-7BBFD158445B}"/>
    <cellStyle name="Output 3 5" xfId="2338" xr:uid="{00000000-0005-0000-0000-0000ED090000}"/>
    <cellStyle name="Output 3 5 2" xfId="2591" xr:uid="{00000000-0005-0000-0000-0000EE090000}"/>
    <cellStyle name="Output 3 5 2 2" xfId="3262" xr:uid="{00000000-0005-0000-0000-00002D0B0000}"/>
    <cellStyle name="Output 3 5 3" xfId="3398" xr:uid="{00000000-0005-0000-0000-00002E0B0000}"/>
    <cellStyle name="Output 3 5 4" xfId="5744" xr:uid="{3A8F15D8-C7E9-4EB4-A2A7-36E3A10EEF71}"/>
    <cellStyle name="Output 3 5 5" xfId="6272" xr:uid="{5BFBD967-C254-408E-BCB3-5C6B4907F6FA}"/>
    <cellStyle name="Output 3 6" xfId="2339" xr:uid="{00000000-0005-0000-0000-0000EF090000}"/>
    <cellStyle name="Output 3 6 2" xfId="2590" xr:uid="{00000000-0005-0000-0000-0000F0090000}"/>
    <cellStyle name="Output 3 6 2 2" xfId="3263" xr:uid="{00000000-0005-0000-0000-0000310B0000}"/>
    <cellStyle name="Output 3 6 3" xfId="3397" xr:uid="{00000000-0005-0000-0000-0000320B0000}"/>
    <cellStyle name="Output 3 6 4" xfId="6112" xr:uid="{627D66E3-DF6A-4162-B056-D9C49166A3A5}"/>
    <cellStyle name="Output 3 6 5" xfId="6186" xr:uid="{73E2A391-8F84-4ACF-A404-97057EFF644E}"/>
    <cellStyle name="Output 3 7" xfId="2340" xr:uid="{00000000-0005-0000-0000-0000F1090000}"/>
    <cellStyle name="Output 3 7 2" xfId="2589" xr:uid="{00000000-0005-0000-0000-0000F2090000}"/>
    <cellStyle name="Output 3 7 2 2" xfId="3264" xr:uid="{00000000-0005-0000-0000-0000350B0000}"/>
    <cellStyle name="Output 3 7 3" xfId="3396" xr:uid="{00000000-0005-0000-0000-0000360B0000}"/>
    <cellStyle name="Output 3 7 4" xfId="6113" xr:uid="{13D2FC74-41C9-4CAA-A573-492B50F6C5EB}"/>
    <cellStyle name="Output 3 7 5" xfId="5763" xr:uid="{85137EE7-B3C8-45CF-9998-A9CFE8332F82}"/>
    <cellStyle name="Output 3 7 6" xfId="5686" xr:uid="{D1413EFA-873C-4083-B447-EE99EBA25A20}"/>
    <cellStyle name="Output 3 7 7" xfId="5599" xr:uid="{4F660C1D-D6EE-44B3-B9A4-AE025F48F293}"/>
    <cellStyle name="Output 3 8" xfId="2334" xr:uid="{00000000-0005-0000-0000-0000F3090000}"/>
    <cellStyle name="Output 3 8 2" xfId="2594" xr:uid="{00000000-0005-0000-0000-0000F4090000}"/>
    <cellStyle name="Output 3 8 2 2" xfId="3259" xr:uid="{00000000-0005-0000-0000-0000390B0000}"/>
    <cellStyle name="Output 3 8 3" xfId="3402" xr:uid="{00000000-0005-0000-0000-00003A0B0000}"/>
    <cellStyle name="Output 3 8 4" xfId="6110" xr:uid="{87949D1B-706F-422F-A187-07FB8469F902}"/>
    <cellStyle name="Output 3 8 5" xfId="5832" xr:uid="{92EF0D9C-1463-4312-977F-49AB25FA133A}"/>
    <cellStyle name="Output 3 9" xfId="2776" xr:uid="{00000000-0005-0000-0000-0000F5090000}"/>
    <cellStyle name="Output 3 9 2" xfId="3077" xr:uid="{00000000-0005-0000-0000-00003C0B0000}"/>
    <cellStyle name="Output 4" xfId="230" xr:uid="{00000000-0005-0000-0000-0000F6090000}"/>
    <cellStyle name="Output 4 10" xfId="3424" xr:uid="{00000000-0005-0000-0000-00003E0B0000}"/>
    <cellStyle name="Output 4 11" xfId="5860" xr:uid="{8BABB29F-358F-4277-B199-01776CA8688F}"/>
    <cellStyle name="Output 4 12" xfId="6251" xr:uid="{BF3D2FAC-29CC-4102-B21E-EE3B85F5D618}"/>
    <cellStyle name="Output 4 2" xfId="2342" xr:uid="{00000000-0005-0000-0000-0000F7090000}"/>
    <cellStyle name="Output 4 2 2" xfId="2587" xr:uid="{00000000-0005-0000-0000-0000F8090000}"/>
    <cellStyle name="Output 4 2 2 2" xfId="3266" xr:uid="{00000000-0005-0000-0000-0000410B0000}"/>
    <cellStyle name="Output 4 2 3" xfId="3394" xr:uid="{00000000-0005-0000-0000-0000420B0000}"/>
    <cellStyle name="Output 4 2 4" xfId="6115" xr:uid="{0297F35C-DB4E-4AFF-AA6E-0B2B79B778EC}"/>
    <cellStyle name="Output 4 2 5" xfId="6161" xr:uid="{4252027A-087A-4724-A678-C0D9A917C4FC}"/>
    <cellStyle name="Output 4 2 6" xfId="5687" xr:uid="{C9716A2D-1D7A-4615-92B0-2D4FDE308521}"/>
    <cellStyle name="Output 4 2 7" xfId="5598" xr:uid="{023B9305-31D2-42F5-A5AA-31CC30CF6341}"/>
    <cellStyle name="Output 4 3" xfId="2343" xr:uid="{00000000-0005-0000-0000-0000F9090000}"/>
    <cellStyle name="Output 4 3 2" xfId="2586" xr:uid="{00000000-0005-0000-0000-0000FA090000}"/>
    <cellStyle name="Output 4 3 2 2" xfId="3267" xr:uid="{00000000-0005-0000-0000-0000450B0000}"/>
    <cellStyle name="Output 4 3 3" xfId="3393" xr:uid="{00000000-0005-0000-0000-0000460B0000}"/>
    <cellStyle name="Output 4 3 4" xfId="5824" xr:uid="{93AA9CC7-8811-48B7-8C4E-BBCA89D241C6}"/>
    <cellStyle name="Output 4 3 5" xfId="5977" xr:uid="{725667D2-EB78-4615-AC23-CA8487120612}"/>
    <cellStyle name="Output 4 4" xfId="2344" xr:uid="{00000000-0005-0000-0000-0000FB090000}"/>
    <cellStyle name="Output 4 4 2" xfId="2585" xr:uid="{00000000-0005-0000-0000-0000FC090000}"/>
    <cellStyle name="Output 4 4 2 2" xfId="3268" xr:uid="{00000000-0005-0000-0000-0000490B0000}"/>
    <cellStyle name="Output 4 4 3" xfId="3392" xr:uid="{00000000-0005-0000-0000-00004A0B0000}"/>
    <cellStyle name="Output 4 4 4" xfId="6116" xr:uid="{173B17EE-9C13-4CFF-831C-86721B7017D8}"/>
    <cellStyle name="Output 4 4 5" xfId="5762" xr:uid="{0FD336BC-9F91-4265-9586-B7800843BA9B}"/>
    <cellStyle name="Output 4 5" xfId="2345" xr:uid="{00000000-0005-0000-0000-0000FD090000}"/>
    <cellStyle name="Output 4 5 2" xfId="2584" xr:uid="{00000000-0005-0000-0000-0000FE090000}"/>
    <cellStyle name="Output 4 5 2 2" xfId="3269" xr:uid="{00000000-0005-0000-0000-00004D0B0000}"/>
    <cellStyle name="Output 4 5 3" xfId="3391" xr:uid="{00000000-0005-0000-0000-00004E0B0000}"/>
    <cellStyle name="Output 4 5 4" xfId="6117" xr:uid="{A2752D65-7996-4800-8326-34ABDAEDA0CF}"/>
    <cellStyle name="Output 4 5 5" xfId="6296" xr:uid="{B461C70C-0800-4CDD-9870-4EC15AA55B7D}"/>
    <cellStyle name="Output 4 6" xfId="2346" xr:uid="{00000000-0005-0000-0000-0000FF090000}"/>
    <cellStyle name="Output 4 6 2" xfId="2583" xr:uid="{00000000-0005-0000-0000-0000000A0000}"/>
    <cellStyle name="Output 4 6 2 2" xfId="3270" xr:uid="{00000000-0005-0000-0000-0000510B0000}"/>
    <cellStyle name="Output 4 6 3" xfId="3390" xr:uid="{00000000-0005-0000-0000-0000520B0000}"/>
    <cellStyle name="Output 4 6 4" xfId="6111" xr:uid="{4B34E11E-A11F-4549-8462-3C5CD107A037}"/>
    <cellStyle name="Output 4 6 5" xfId="5976" xr:uid="{28B7BCFF-F720-4E23-B9E4-296AB4FFEDCC}"/>
    <cellStyle name="Output 4 7" xfId="2347" xr:uid="{00000000-0005-0000-0000-0000010A0000}"/>
    <cellStyle name="Output 4 7 2" xfId="2582" xr:uid="{00000000-0005-0000-0000-0000020A0000}"/>
    <cellStyle name="Output 4 7 2 2" xfId="3271" xr:uid="{00000000-0005-0000-0000-0000550B0000}"/>
    <cellStyle name="Output 4 7 3" xfId="3389" xr:uid="{00000000-0005-0000-0000-0000560B0000}"/>
    <cellStyle name="Output 4 7 4" xfId="5745" xr:uid="{64C791B9-5A1D-4BA1-B2F2-2321008F35CE}"/>
    <cellStyle name="Output 4 7 5" xfId="5975" xr:uid="{CD923B58-013A-4D3C-AC33-7207028A0840}"/>
    <cellStyle name="Output 4 8" xfId="2341" xr:uid="{00000000-0005-0000-0000-0000030A0000}"/>
    <cellStyle name="Output 4 8 2" xfId="2588" xr:uid="{00000000-0005-0000-0000-0000040A0000}"/>
    <cellStyle name="Output 4 8 2 2" xfId="3265" xr:uid="{00000000-0005-0000-0000-0000590B0000}"/>
    <cellStyle name="Output 4 8 3" xfId="3395" xr:uid="{00000000-0005-0000-0000-00005A0B0000}"/>
    <cellStyle name="Output 4 8 4" xfId="6114" xr:uid="{DEE6923B-FA89-4171-8DBA-5E7620EDD1F0}"/>
    <cellStyle name="Output 4 8 5" xfId="5980" xr:uid="{448329C8-07A8-433F-BA86-CBF9C0516444}"/>
    <cellStyle name="Output 4 9" xfId="2775" xr:uid="{00000000-0005-0000-0000-0000050A0000}"/>
    <cellStyle name="Output 4 9 2" xfId="3078" xr:uid="{00000000-0005-0000-0000-00005C0B0000}"/>
    <cellStyle name="Output 5" xfId="231" xr:uid="{00000000-0005-0000-0000-0000060A0000}"/>
    <cellStyle name="Output 5 10" xfId="6079" xr:uid="{C1A15F23-5292-424A-92DD-E773ABC82A58}"/>
    <cellStyle name="Output 5 2" xfId="2348" xr:uid="{00000000-0005-0000-0000-0000070A0000}"/>
    <cellStyle name="Output 5 2 2" xfId="2545" xr:uid="{00000000-0005-0000-0000-0000080A0000}"/>
    <cellStyle name="Output 5 2 2 2" xfId="3308" xr:uid="{00000000-0005-0000-0000-0000600B0000}"/>
    <cellStyle name="Output 5 2 3" xfId="3388" xr:uid="{00000000-0005-0000-0000-0000610B0000}"/>
    <cellStyle name="Output 5 2 4" xfId="6118" xr:uid="{4A9785EE-42EC-4B2D-A8D1-2EBD0819F6E0}"/>
    <cellStyle name="Output 5 2 5" xfId="6196" xr:uid="{05762054-3F30-4DFB-9201-9855E7A8D29E}"/>
    <cellStyle name="Output 5 3" xfId="2349" xr:uid="{00000000-0005-0000-0000-0000090A0000}"/>
    <cellStyle name="Output 5 3 2" xfId="2581" xr:uid="{00000000-0005-0000-0000-00000A0A0000}"/>
    <cellStyle name="Output 5 3 2 2" xfId="3272" xr:uid="{00000000-0005-0000-0000-0000640B0000}"/>
    <cellStyle name="Output 5 3 3" xfId="3387" xr:uid="{00000000-0005-0000-0000-0000650B0000}"/>
    <cellStyle name="Output 5 3 4" xfId="5825" xr:uid="{D5A7AC4A-74D0-445C-9192-1BF65150A532}"/>
    <cellStyle name="Output 5 3 5" xfId="5974" xr:uid="{2A6D85A5-CA13-4DB5-BA49-52B6FDADEC06}"/>
    <cellStyle name="Output 5 4" xfId="2350" xr:uid="{00000000-0005-0000-0000-00000B0A0000}"/>
    <cellStyle name="Output 5 4 2" xfId="2580" xr:uid="{00000000-0005-0000-0000-00000C0A0000}"/>
    <cellStyle name="Output 5 4 2 2" xfId="3273" xr:uid="{00000000-0005-0000-0000-0000680B0000}"/>
    <cellStyle name="Output 5 4 3" xfId="3386" xr:uid="{00000000-0005-0000-0000-0000690B0000}"/>
    <cellStyle name="Output 5 4 4" xfId="5786" xr:uid="{F7401C25-BC81-4094-B531-F0EDA7DB879D}"/>
    <cellStyle name="Output 5 4 5" xfId="5973" xr:uid="{D843AA14-C0A7-438F-8D51-C4FFC3A04CCC}"/>
    <cellStyle name="Output 5 5" xfId="2351" xr:uid="{00000000-0005-0000-0000-00000D0A0000}"/>
    <cellStyle name="Output 5 5 2" xfId="2579" xr:uid="{00000000-0005-0000-0000-00000E0A0000}"/>
    <cellStyle name="Output 5 5 2 2" xfId="3274" xr:uid="{00000000-0005-0000-0000-00006C0B0000}"/>
    <cellStyle name="Output 5 5 3" xfId="3385" xr:uid="{00000000-0005-0000-0000-00006D0B0000}"/>
    <cellStyle name="Output 5 5 4" xfId="6119" xr:uid="{04B7F313-E830-4427-A40F-C7E2F7EEF4BD}"/>
    <cellStyle name="Output 5 5 5" xfId="5972" xr:uid="{D131DB8E-8D82-40BC-A32C-6AF388553928}"/>
    <cellStyle name="Output 5 6" xfId="2352" xr:uid="{00000000-0005-0000-0000-00000F0A0000}"/>
    <cellStyle name="Output 5 6 2" xfId="2578" xr:uid="{00000000-0005-0000-0000-0000100A0000}"/>
    <cellStyle name="Output 5 6 2 2" xfId="3275" xr:uid="{00000000-0005-0000-0000-0000700B0000}"/>
    <cellStyle name="Output 5 6 3" xfId="3384" xr:uid="{00000000-0005-0000-0000-0000710B0000}"/>
    <cellStyle name="Output 5 6 4" xfId="6120" xr:uid="{05E1A143-0A9A-48AE-BD62-C00C49661663}"/>
    <cellStyle name="Output 5 6 5" xfId="5971" xr:uid="{D7585523-DF48-418E-94B9-CA94E30E9A41}"/>
    <cellStyle name="Output 5 7" xfId="2774" xr:uid="{00000000-0005-0000-0000-0000110A0000}"/>
    <cellStyle name="Output 5 7 2" xfId="3079" xr:uid="{00000000-0005-0000-0000-0000730B0000}"/>
    <cellStyle name="Output 5 8" xfId="3423" xr:uid="{00000000-0005-0000-0000-0000740B0000}"/>
    <cellStyle name="Output 5 9" xfId="5792" xr:uid="{2CD0ECBB-D385-4FA7-BA14-93D7995D8034}"/>
    <cellStyle name="Output 6" xfId="232" xr:uid="{00000000-0005-0000-0000-0000120A0000}"/>
    <cellStyle name="Output 6 10" xfId="5736" xr:uid="{C2594AAB-FAB5-4E20-8D19-FB4EF660358E}"/>
    <cellStyle name="Output 6 2" xfId="2353" xr:uid="{00000000-0005-0000-0000-0000130A0000}"/>
    <cellStyle name="Output 6 2 2" xfId="2577" xr:uid="{00000000-0005-0000-0000-0000140A0000}"/>
    <cellStyle name="Output 6 2 2 2" xfId="3276" xr:uid="{00000000-0005-0000-0000-0000780B0000}"/>
    <cellStyle name="Output 6 2 3" xfId="3383" xr:uid="{00000000-0005-0000-0000-0000790B0000}"/>
    <cellStyle name="Output 6 2 4" xfId="6121" xr:uid="{E97A5A43-E5F6-4C52-A690-0CDA7AF047A5}"/>
    <cellStyle name="Output 6 2 5" xfId="5970" xr:uid="{697FF1AA-C974-4B71-B87C-332F02264260}"/>
    <cellStyle name="Output 6 3" xfId="2354" xr:uid="{00000000-0005-0000-0000-0000150A0000}"/>
    <cellStyle name="Output 6 3 2" xfId="2576" xr:uid="{00000000-0005-0000-0000-0000160A0000}"/>
    <cellStyle name="Output 6 3 2 2" xfId="3277" xr:uid="{00000000-0005-0000-0000-00007C0B0000}"/>
    <cellStyle name="Output 6 3 3" xfId="3382" xr:uid="{00000000-0005-0000-0000-00007D0B0000}"/>
    <cellStyle name="Output 6 3 4" xfId="6237" xr:uid="{CB47183F-6830-4E8C-AA15-4A42010AE680}"/>
    <cellStyle name="Output 6 3 5" xfId="5739" xr:uid="{5A02A4FE-D94D-4425-A27F-00097B05A71A}"/>
    <cellStyle name="Output 6 4" xfId="2355" xr:uid="{00000000-0005-0000-0000-0000170A0000}"/>
    <cellStyle name="Output 6 4 2" xfId="2575" xr:uid="{00000000-0005-0000-0000-0000180A0000}"/>
    <cellStyle name="Output 6 4 2 2" xfId="3278" xr:uid="{00000000-0005-0000-0000-0000800B0000}"/>
    <cellStyle name="Output 6 4 3" xfId="3381" xr:uid="{00000000-0005-0000-0000-0000810B0000}"/>
    <cellStyle name="Output 6 4 4" xfId="6280" xr:uid="{0667B9DA-3E30-43D7-9FA5-A94DF7837DC5}"/>
    <cellStyle name="Output 6 4 5" xfId="5969" xr:uid="{34038F1B-854D-409C-A72D-DDC948951873}"/>
    <cellStyle name="Output 6 5" xfId="2356" xr:uid="{00000000-0005-0000-0000-0000190A0000}"/>
    <cellStyle name="Output 6 5 2" xfId="2574" xr:uid="{00000000-0005-0000-0000-00001A0A0000}"/>
    <cellStyle name="Output 6 5 2 2" xfId="3279" xr:uid="{00000000-0005-0000-0000-0000840B0000}"/>
    <cellStyle name="Output 6 5 3" xfId="3380" xr:uid="{00000000-0005-0000-0000-0000850B0000}"/>
    <cellStyle name="Output 6 5 4" xfId="6122" xr:uid="{A808CAE1-CE61-4166-8858-5492CEDC96D4}"/>
    <cellStyle name="Output 6 5 5" xfId="6303" xr:uid="{ADCD8E7F-CF05-4A56-BA36-436C271EE5D3}"/>
    <cellStyle name="Output 6 6" xfId="2357" xr:uid="{00000000-0005-0000-0000-00001B0A0000}"/>
    <cellStyle name="Output 6 6 2" xfId="2573" xr:uid="{00000000-0005-0000-0000-00001C0A0000}"/>
    <cellStyle name="Output 6 6 2 2" xfId="3280" xr:uid="{00000000-0005-0000-0000-0000880B0000}"/>
    <cellStyle name="Output 6 6 3" xfId="3379" xr:uid="{00000000-0005-0000-0000-0000890B0000}"/>
    <cellStyle name="Output 6 6 4" xfId="5746" xr:uid="{EE367E3B-8103-4D8C-B55B-479C13CAEC25}"/>
    <cellStyle name="Output 6 6 5" xfId="5819" xr:uid="{AB5F0F4F-F9AF-4EC0-A16C-2CE4B01E55D4}"/>
    <cellStyle name="Output 6 7" xfId="2773" xr:uid="{00000000-0005-0000-0000-00001D0A0000}"/>
    <cellStyle name="Output 6 7 2" xfId="3080" xr:uid="{00000000-0005-0000-0000-00008B0B0000}"/>
    <cellStyle name="Output 6 8" xfId="3422" xr:uid="{00000000-0005-0000-0000-00008C0B0000}"/>
    <cellStyle name="Output 6 9" xfId="5861" xr:uid="{A6517EB1-D7FC-4260-8690-27FC3C32322A}"/>
    <cellStyle name="Output 7" xfId="233" xr:uid="{00000000-0005-0000-0000-00001E0A0000}"/>
    <cellStyle name="Output 7 10" xfId="6081" xr:uid="{4CFC8BE2-EFC1-403B-96AF-C629F5641CB7}"/>
    <cellStyle name="Output 7 2" xfId="2358" xr:uid="{00000000-0005-0000-0000-00001F0A0000}"/>
    <cellStyle name="Output 7 2 2" xfId="2572" xr:uid="{00000000-0005-0000-0000-0000200A0000}"/>
    <cellStyle name="Output 7 2 2 2" xfId="3281" xr:uid="{00000000-0005-0000-0000-0000900B0000}"/>
    <cellStyle name="Output 7 2 3" xfId="3378" xr:uid="{00000000-0005-0000-0000-0000910B0000}"/>
    <cellStyle name="Output 7 2 4" xfId="5787" xr:uid="{DB754224-0107-45DE-ACEF-3EC9DC20B7CC}"/>
    <cellStyle name="Output 7 2 5" xfId="6096" xr:uid="{1D706711-DA8C-48CD-A44D-679B1E1FCD63}"/>
    <cellStyle name="Output 7 3" xfId="2359" xr:uid="{00000000-0005-0000-0000-0000210A0000}"/>
    <cellStyle name="Output 7 3 2" xfId="2542" xr:uid="{00000000-0005-0000-0000-0000220A0000}"/>
    <cellStyle name="Output 7 3 2 2" xfId="3311" xr:uid="{00000000-0005-0000-0000-0000940B0000}"/>
    <cellStyle name="Output 7 3 3" xfId="3377" xr:uid="{00000000-0005-0000-0000-0000950B0000}"/>
    <cellStyle name="Output 7 3 4" xfId="6124" xr:uid="{A42A49D8-8A37-49A8-BD30-ABD625ADC0F1}"/>
    <cellStyle name="Output 7 3 5" xfId="5968" xr:uid="{C03729D8-2623-475B-A560-A104B179A845}"/>
    <cellStyle name="Output 7 4" xfId="2360" xr:uid="{00000000-0005-0000-0000-0000230A0000}"/>
    <cellStyle name="Output 7 4 2" xfId="2544" xr:uid="{00000000-0005-0000-0000-0000240A0000}"/>
    <cellStyle name="Output 7 4 2 2" xfId="3309" xr:uid="{00000000-0005-0000-0000-0000980B0000}"/>
    <cellStyle name="Output 7 4 3" xfId="3376" xr:uid="{00000000-0005-0000-0000-0000990B0000}"/>
    <cellStyle name="Output 7 4 4" xfId="6125" xr:uid="{66F22273-D11B-411C-971E-F8D3B40121E2}"/>
    <cellStyle name="Output 7 4 5" xfId="5967" xr:uid="{E1CBD329-F348-4E27-90F8-CF81D91ED2DB}"/>
    <cellStyle name="Output 7 5" xfId="2361" xr:uid="{00000000-0005-0000-0000-0000250A0000}"/>
    <cellStyle name="Output 7 5 2" xfId="2543" xr:uid="{00000000-0005-0000-0000-0000260A0000}"/>
    <cellStyle name="Output 7 5 2 2" xfId="3310" xr:uid="{00000000-0005-0000-0000-00009C0B0000}"/>
    <cellStyle name="Output 7 5 3" xfId="3375" xr:uid="{00000000-0005-0000-0000-00009D0B0000}"/>
    <cellStyle name="Output 7 5 4" xfId="6126" xr:uid="{60B0DA49-0314-4407-B266-4F93C5625EFA}"/>
    <cellStyle name="Output 7 5 5" xfId="5966" xr:uid="{DBD3D3B6-912D-48CC-9EF0-4143B616B12B}"/>
    <cellStyle name="Output 7 6" xfId="2362" xr:uid="{00000000-0005-0000-0000-0000270A0000}"/>
    <cellStyle name="Output 7 6 2" xfId="2778" xr:uid="{00000000-0005-0000-0000-0000280A0000}"/>
    <cellStyle name="Output 7 6 2 2" xfId="3075" xr:uid="{00000000-0005-0000-0000-0000A00B0000}"/>
    <cellStyle name="Output 7 6 3" xfId="3374" xr:uid="{00000000-0005-0000-0000-0000A10B0000}"/>
    <cellStyle name="Output 7 6 4" xfId="6127" xr:uid="{DCDB4B11-B802-49F3-AAAA-CDA67A0009E2}"/>
    <cellStyle name="Output 7 6 5" xfId="5965" xr:uid="{114C0A57-A3B6-486C-B9C8-1E9AFC348785}"/>
    <cellStyle name="Output 7 7" xfId="2772" xr:uid="{00000000-0005-0000-0000-0000290A0000}"/>
    <cellStyle name="Output 7 7 2" xfId="3081" xr:uid="{00000000-0005-0000-0000-0000A30B0000}"/>
    <cellStyle name="Output 7 8" xfId="3421" xr:uid="{00000000-0005-0000-0000-0000A40B0000}"/>
    <cellStyle name="Output 7 9" xfId="5862" xr:uid="{3B8C2DFC-9BAB-4353-9ABF-25FF4686C5A4}"/>
    <cellStyle name="Output 8 2" xfId="2363" xr:uid="{00000000-0005-0000-0000-00002A0A0000}"/>
    <cellStyle name="Output 8 2 2" xfId="2779" xr:uid="{00000000-0005-0000-0000-00002B0A0000}"/>
    <cellStyle name="Output 8 2 2 2" xfId="3074" xr:uid="{00000000-0005-0000-0000-0000A70B0000}"/>
    <cellStyle name="Output 8 2 3" xfId="3373" xr:uid="{00000000-0005-0000-0000-0000A80B0000}"/>
    <cellStyle name="Output 8 2 4" xfId="5747" xr:uid="{7B49AAD7-8CA3-4001-8C62-39D59D4D1D58}"/>
    <cellStyle name="Output 8 2 5" xfId="5964" xr:uid="{1B564543-454F-4ED1-97D9-96EEE955C664}"/>
    <cellStyle name="Output 8 3" xfId="2364" xr:uid="{00000000-0005-0000-0000-00002C0A0000}"/>
    <cellStyle name="Output 8 3 2" xfId="2780" xr:uid="{00000000-0005-0000-0000-00002D0A0000}"/>
    <cellStyle name="Output 8 3 2 2" xfId="3073" xr:uid="{00000000-0005-0000-0000-0000AB0B0000}"/>
    <cellStyle name="Output 8 3 3" xfId="3372" xr:uid="{00000000-0005-0000-0000-0000AC0B0000}"/>
    <cellStyle name="Output 8 3 4" xfId="6128" xr:uid="{3D4ED827-50E0-4473-BFCD-B7980A855ADB}"/>
    <cellStyle name="Output 8 3 5" xfId="5821" xr:uid="{DED59F5E-71ED-4A68-9799-94E1A2C32462}"/>
    <cellStyle name="Output 8 4" xfId="2365" xr:uid="{00000000-0005-0000-0000-00002E0A0000}"/>
    <cellStyle name="Output 8 4 2" xfId="2781" xr:uid="{00000000-0005-0000-0000-00002F0A0000}"/>
    <cellStyle name="Output 8 4 2 2" xfId="3072" xr:uid="{00000000-0005-0000-0000-0000AF0B0000}"/>
    <cellStyle name="Output 8 4 3" xfId="3371" xr:uid="{00000000-0005-0000-0000-0000B00B0000}"/>
    <cellStyle name="Output 8 4 4" xfId="6123" xr:uid="{C55E8B33-3068-467C-8900-911087FB968D}"/>
    <cellStyle name="Output 8 4 5" xfId="6223" xr:uid="{60E26165-ECE8-473E-BEA9-559CD9F881E6}"/>
    <cellStyle name="Output 8 5" xfId="2366" xr:uid="{00000000-0005-0000-0000-0000300A0000}"/>
    <cellStyle name="Output 8 5 2" xfId="2782" xr:uid="{00000000-0005-0000-0000-0000310A0000}"/>
    <cellStyle name="Output 8 5 2 2" xfId="3029" xr:uid="{00000000-0005-0000-0000-0000B30B0000}"/>
    <cellStyle name="Output 8 5 3" xfId="3370" xr:uid="{00000000-0005-0000-0000-0000B40B0000}"/>
    <cellStyle name="Output 8 5 4" xfId="5788" xr:uid="{CE6AC784-0F73-47CD-9B95-F11D975071DE}"/>
    <cellStyle name="Output 8 5 5" xfId="6222" xr:uid="{0B6491E4-FE4F-4236-9DDF-AD74195CA2F0}"/>
    <cellStyle name="Output 8 6" xfId="2367" xr:uid="{00000000-0005-0000-0000-0000320A0000}"/>
    <cellStyle name="Output 8 6 2" xfId="2783" xr:uid="{00000000-0005-0000-0000-0000330A0000}"/>
    <cellStyle name="Output 8 6 2 2" xfId="3070" xr:uid="{00000000-0005-0000-0000-0000B70B0000}"/>
    <cellStyle name="Output 8 6 3" xfId="3369" xr:uid="{00000000-0005-0000-0000-0000B80B0000}"/>
    <cellStyle name="Output 8 6 4" xfId="6129" xr:uid="{FDDF0A14-548C-4E7C-9637-DAD26F599EE9}"/>
    <cellStyle name="Output 8 6 5" xfId="6221" xr:uid="{07478B9C-621F-40B0-BFEC-3DE12BD83424}"/>
    <cellStyle name="Output 9 2" xfId="2368" xr:uid="{00000000-0005-0000-0000-0000340A0000}"/>
    <cellStyle name="Output 9 2 2" xfId="2784" xr:uid="{00000000-0005-0000-0000-0000350A0000}"/>
    <cellStyle name="Output 9 2 2 2" xfId="3071" xr:uid="{00000000-0005-0000-0000-0000BB0B0000}"/>
    <cellStyle name="Output 9 2 3" xfId="3368" xr:uid="{00000000-0005-0000-0000-0000BC0B0000}"/>
    <cellStyle name="Output 9 2 4" xfId="6130" xr:uid="{D26529EA-6FCB-41F1-B4CD-F4F773B85A88}"/>
    <cellStyle name="Output 9 2 5" xfId="5758" xr:uid="{6D2F2C28-9960-4B5B-BB10-A9F92835E75F}"/>
    <cellStyle name="Output 9 3" xfId="2369" xr:uid="{00000000-0005-0000-0000-0000360A0000}"/>
    <cellStyle name="Output 9 3 2" xfId="2785" xr:uid="{00000000-0005-0000-0000-0000370A0000}"/>
    <cellStyle name="Output 9 3 2 2" xfId="3031" xr:uid="{00000000-0005-0000-0000-0000BF0B0000}"/>
    <cellStyle name="Output 9 3 3" xfId="3367" xr:uid="{00000000-0005-0000-0000-0000C00B0000}"/>
    <cellStyle name="Output 9 3 4" xfId="6131" xr:uid="{955C1A0D-0A13-470A-8256-C8E1DBD159EB}"/>
    <cellStyle name="Output 9 3 5" xfId="6218" xr:uid="{567B06BB-2ED6-474F-A919-C154FE206034}"/>
    <cellStyle name="Output 9 4" xfId="2370" xr:uid="{00000000-0005-0000-0000-0000380A0000}"/>
    <cellStyle name="Output 9 4 2" xfId="2786" xr:uid="{00000000-0005-0000-0000-0000390A0000}"/>
    <cellStyle name="Output 9 4 2 2" xfId="3028" xr:uid="{00000000-0005-0000-0000-0000C30B0000}"/>
    <cellStyle name="Output 9 4 3" xfId="3366" xr:uid="{00000000-0005-0000-0000-0000C40B0000}"/>
    <cellStyle name="Output 9 4 4" xfId="6132" xr:uid="{C5F710C8-903B-416C-95B0-671149BE1D10}"/>
    <cellStyle name="Output 9 4 5" xfId="6220" xr:uid="{CB2F04EC-AE77-45D8-BA88-7FF89EB324F4}"/>
    <cellStyle name="Output 9 5" xfId="2371" xr:uid="{00000000-0005-0000-0000-00003A0A0000}"/>
    <cellStyle name="Output 9 5 2" xfId="2787" xr:uid="{00000000-0005-0000-0000-00003B0A0000}"/>
    <cellStyle name="Output 9 5 2 2" xfId="3027" xr:uid="{00000000-0005-0000-0000-0000C70B0000}"/>
    <cellStyle name="Output 9 5 3" xfId="3365" xr:uid="{00000000-0005-0000-0000-0000C80B0000}"/>
    <cellStyle name="Output 9 5 4" xfId="6133" xr:uid="{14B71F37-E8DE-41CC-A000-39BF2A6D0309}"/>
    <cellStyle name="Output 9 5 5" xfId="5963" xr:uid="{1221E7BA-E583-4701-B56B-BB7206153C31}"/>
    <cellStyle name="Output 9 6" xfId="2372" xr:uid="{00000000-0005-0000-0000-00003C0A0000}"/>
    <cellStyle name="Output 9 6 2" xfId="2788" xr:uid="{00000000-0005-0000-0000-00003D0A0000}"/>
    <cellStyle name="Output 9 6 2 2" xfId="3026" xr:uid="{00000000-0005-0000-0000-0000CB0B0000}"/>
    <cellStyle name="Output 9 6 3" xfId="3364" xr:uid="{00000000-0005-0000-0000-0000CC0B0000}"/>
    <cellStyle name="Output 9 6 4" xfId="6134" xr:uid="{39D06813-7859-428C-82D2-B2EA42B74CEE}"/>
    <cellStyle name="Output 9 6 5" xfId="5784" xr:uid="{3D4181D9-1750-4AEC-A399-F0D1A872621D}"/>
    <cellStyle name="Percent 2" xfId="3900" xr:uid="{7863F99C-3BDD-4AFD-8B6E-4EA627ED6A59}"/>
    <cellStyle name="Percent 2 2" xfId="4034" xr:uid="{62A29BCC-DD96-41EE-9C74-F7B6EDD9F503}"/>
    <cellStyle name="Percent 2 2 2" xfId="5269" xr:uid="{43B6F409-6E42-49C8-B7FB-6C9A5EA54407}"/>
    <cellStyle name="Percent 2 2 3" xfId="4817" xr:uid="{08A9ADF6-5915-4AE6-88EF-FB46C31BB320}"/>
    <cellStyle name="Percent 2 3" xfId="4087" xr:uid="{0F7A1F3A-9104-4977-8AFD-39F2CB0FF5A3}"/>
    <cellStyle name="Percent 2 3 2" xfId="6507" xr:uid="{1837554C-4D7C-4F57-869D-E0B280213299}"/>
    <cellStyle name="Percent 2 3 2 2" xfId="8715" xr:uid="{5CD9F1B6-5894-42BB-98CF-12B6ED1744C0}"/>
    <cellStyle name="Percent 2 3 3" xfId="7203" xr:uid="{C0AC796C-9227-455E-B09E-30A0CEB38B13}"/>
    <cellStyle name="Percent 2 3 4" xfId="7348" xr:uid="{5E2ED497-3773-4333-92EF-576F541E147C}"/>
    <cellStyle name="Percent 2 3 5" xfId="7965" xr:uid="{A8C96E33-D4C8-4E85-8433-5C988C3D7E1B}"/>
    <cellStyle name="Percent 2 3 6" xfId="6401" xr:uid="{1E2F1C29-8B16-4ECD-A9B5-38B1481CA825}"/>
    <cellStyle name="Percent 2 4" xfId="4084" xr:uid="{DF077273-2EB9-4A18-86D2-F1395215BC37}"/>
    <cellStyle name="Percent 2 4 2" xfId="4138" xr:uid="{FED4B23F-07FA-427B-9FF1-D282BF3D7218}"/>
    <cellStyle name="Percent 2 4 2 2" xfId="8720" xr:uid="{72B53471-1372-4F14-AF88-93C472AEF8AF}"/>
    <cellStyle name="Percent 2 4 2 3" xfId="6512" xr:uid="{8C963CFA-B871-4E2C-8DAA-234EE88CEC13}"/>
    <cellStyle name="Percent 2 4 3" xfId="7208" xr:uid="{B80FEE91-8F3F-4BC1-ABC1-6BA5AD51A9D1}"/>
    <cellStyle name="Percent 2 4 4" xfId="7346" xr:uid="{73DF5C21-1028-4C71-802A-F4F16141B2CE}"/>
    <cellStyle name="Percent 2 4 5" xfId="7970" xr:uid="{3434A067-B1BE-4D44-9449-8E3781C74914}"/>
    <cellStyle name="Percent 2 4 6" xfId="6407" xr:uid="{6F1DD238-5EF8-43C1-8976-601013038DFF}"/>
    <cellStyle name="Percent 2 5" xfId="4726" xr:uid="{E079736C-7F22-4C29-BA7C-45332AC69B0D}"/>
    <cellStyle name="Percent 3" xfId="4058" xr:uid="{833408D4-2583-45F3-BCE1-619246462A75}"/>
    <cellStyle name="Percent 3 2" xfId="4816" xr:uid="{E245BA3B-E89A-4543-928F-93D37565349B}"/>
    <cellStyle name="Percent 3 2 2" xfId="4940" xr:uid="{AE71AD38-0B58-43B3-AA38-23ABF824CA2B}"/>
    <cellStyle name="Percent 3 2 2 2" xfId="6934" xr:uid="{9E67FA8D-84BE-4CE8-BC12-0B495D3AFDB4}"/>
    <cellStyle name="Percent 3 2 2 2 2" xfId="8453" xr:uid="{E5E1DFD5-52BA-4E4D-989A-FA2408EACEAB}"/>
    <cellStyle name="Percent 3 2 2 3" xfId="7703" xr:uid="{AFF84C79-1CC7-4FEA-A302-D299973CB1D4}"/>
    <cellStyle name="Percent 3 2 3" xfId="4989" xr:uid="{EB2A4D26-E2AC-4566-825D-5A2A31230B2E}"/>
    <cellStyle name="Percent 3 2 3 2" xfId="6983" xr:uid="{BA0494ED-A5A8-4FDE-9428-C296C235E1F1}"/>
    <cellStyle name="Percent 3 2 3 2 2" xfId="8502" xr:uid="{71D83BD0-524A-4DFA-AE19-A4F2E92EED96}"/>
    <cellStyle name="Percent 3 2 3 3" xfId="7752" xr:uid="{0D19DFC6-E62B-42EB-9DE1-8EE797DC947B}"/>
    <cellStyle name="Percent 3 2 4" xfId="6884" xr:uid="{F0388DB6-AADF-4846-B9E1-09654BC71EF3}"/>
    <cellStyle name="Percent 3 2 4 2" xfId="8407" xr:uid="{0257E015-9C94-483B-8436-905700999F76}"/>
    <cellStyle name="Percent 3 2 5" xfId="7657" xr:uid="{F0B630A8-3DC3-4E04-B007-DC4F3F227441}"/>
    <cellStyle name="Percent 3 3" xfId="4917" xr:uid="{25F18FD7-20D8-42D2-BE05-BC45ED06D351}"/>
    <cellStyle name="Percent 3 3 2" xfId="6911" xr:uid="{72C7B087-9917-481B-BA0C-15F8B8CD5423}"/>
    <cellStyle name="Percent 3 3 2 2" xfId="8430" xr:uid="{ECBA6592-0CCF-4597-9AFE-D2C7E8940764}"/>
    <cellStyle name="Percent 3 3 3" xfId="7680" xr:uid="{3EC058BC-2315-43D0-B651-BB9E3AB3C390}"/>
    <cellStyle name="Percent 3 4" xfId="4966" xr:uid="{0B2695B4-B4DB-459B-9791-C248D3337878}"/>
    <cellStyle name="Percent 3 4 2" xfId="6960" xr:uid="{2C8FC9F5-189F-4075-9DE5-DBC25F262CF9}"/>
    <cellStyle name="Percent 3 4 2 2" xfId="8479" xr:uid="{173D4C6F-7800-42C9-BA57-A5BBC08D165C}"/>
    <cellStyle name="Percent 3 4 3" xfId="7729" xr:uid="{C0EA3B59-4806-484A-8718-E3A3B6DA78D3}"/>
    <cellStyle name="Percent 3 5" xfId="6399" xr:uid="{DA3A566A-DD5D-44A7-82A1-1888430C157C}"/>
    <cellStyle name="Percent 3 5 2" xfId="7201" xr:uid="{3F82A8C3-2C73-4B79-84A4-5E5C3D4D2E0C}"/>
    <cellStyle name="Percent 3 5 2 2" xfId="8713" xr:uid="{C5C7C093-F1F0-4F8B-93E8-FADC37739FB8}"/>
    <cellStyle name="Percent 3 5 3" xfId="7963" xr:uid="{FB3FFAB9-28CA-42BB-99FA-D51EA2E82240}"/>
    <cellStyle name="Percent 3 6" xfId="6846" xr:uid="{C658F4C7-CD42-4DEC-A01E-22D81FA0DDE3}"/>
    <cellStyle name="Percent 3 6 2" xfId="8384" xr:uid="{EDBCB656-8221-4808-8CD3-0C5F22858D47}"/>
    <cellStyle name="Percent 3 7" xfId="7634" xr:uid="{217A60E8-EBC8-4FAB-8358-17CB39552B82}"/>
    <cellStyle name="Percent 3 8" xfId="4725" xr:uid="{4FA9C662-8168-4C4C-B50B-DE9677F96C28}"/>
    <cellStyle name="Percent 4" xfId="3890" xr:uid="{BE4BCAFE-FC21-4CAD-92DA-B4BA654D1702}"/>
    <cellStyle name="Percent 4 2" xfId="4038" xr:uid="{875DE82E-D885-4DCB-8814-663D55C0E8B0}"/>
    <cellStyle name="Percent 4 2 2" xfId="4945" xr:uid="{428EDAC5-0196-49C9-96CD-CFF905E91D80}"/>
    <cellStyle name="Percent 4 2 2 2" xfId="6939" xr:uid="{5170643F-10B3-48AF-802C-8C5E7E800AF8}"/>
    <cellStyle name="Percent 4 2 2 2 2" xfId="8458" xr:uid="{F0842A6A-6760-4532-A221-43EBF2F36085}"/>
    <cellStyle name="Percent 4 2 2 3" xfId="7708" xr:uid="{ECC12B49-BCBE-4239-B510-05AF8647C477}"/>
    <cellStyle name="Percent 4 2 3" xfId="4994" xr:uid="{B376C48A-A670-469C-9AD7-AB6546AB195E}"/>
    <cellStyle name="Percent 4 2 3 2" xfId="6988" xr:uid="{C4A5AB45-565B-4815-B05F-ACA7645C7E35}"/>
    <cellStyle name="Percent 4 2 3 2 2" xfId="8507" xr:uid="{880FCF3B-4ACD-41B3-9E34-170F0F2E90B2}"/>
    <cellStyle name="Percent 4 2 3 3" xfId="7757" xr:uid="{82DEB1A3-B646-4AA5-B54E-71CFC73F4694}"/>
    <cellStyle name="Percent 4 2 4" xfId="6891" xr:uid="{2625A92A-BBC8-4059-8304-DE29B40A6579}"/>
    <cellStyle name="Percent 4 2 4 2" xfId="8412" xr:uid="{1FC7BB73-C666-475F-9621-D9CD2382EBD9}"/>
    <cellStyle name="Percent 4 2 5" xfId="7662" xr:uid="{87496131-96AA-4DF4-A581-BA1E96C38520}"/>
    <cellStyle name="Percent 4 2 6" xfId="4827" xr:uid="{1A753CAB-029C-4AAA-BE96-4710C59EB711}"/>
    <cellStyle name="Percent 4 3" xfId="4922" xr:uid="{19F0EB19-46A5-4AA0-BE41-6FDDA36F06D7}"/>
    <cellStyle name="Percent 4 3 2" xfId="6916" xr:uid="{8F07F7FD-09A4-4C8B-927F-407617953710}"/>
    <cellStyle name="Percent 4 3 2 2" xfId="8435" xr:uid="{1091FA39-2AF3-49A3-B178-38D664630A1E}"/>
    <cellStyle name="Percent 4 3 3" xfId="7685" xr:uid="{682EF4E4-4D4B-487C-A176-CC0BA60B82A7}"/>
    <cellStyle name="Percent 4 4" xfId="4971" xr:uid="{9665A759-6F22-41ED-A1EF-363D59350DB1}"/>
    <cellStyle name="Percent 4 4 2" xfId="6965" xr:uid="{5821F724-CF07-4330-8167-3218650A52FD}"/>
    <cellStyle name="Percent 4 4 2 2" xfId="8484" xr:uid="{821079AC-F791-4960-BDAC-0F4110758A5E}"/>
    <cellStyle name="Percent 4 4 3" xfId="7734" xr:uid="{7DFCAAAF-A7C0-4376-A2CF-97DA353BF9FD}"/>
    <cellStyle name="Percent 4 5" xfId="5270" xr:uid="{EACFD9D2-AB84-466D-9ECC-10CA6E330DA1}"/>
    <cellStyle name="Percent 4 5 2" xfId="7068" xr:uid="{727AEFBE-20F3-4530-96BD-7DA05142617D}"/>
    <cellStyle name="Percent 4 5 2 2" xfId="8587" xr:uid="{8516050F-E092-4DEF-80CB-1471B88213BE}"/>
    <cellStyle name="Percent 4 5 3" xfId="7837" xr:uid="{20D8AE0E-6957-45E3-800C-DACEE5E8BB19}"/>
    <cellStyle name="Percent 4 6" xfId="6859" xr:uid="{7DE51BD7-A9DB-4E21-A775-1B8FE97E3C93}"/>
    <cellStyle name="Percent 4 6 2" xfId="8389" xr:uid="{23F4E7BE-A5EB-4161-842E-782C925CDF04}"/>
    <cellStyle name="Percent 4 7" xfId="7639" xr:uid="{78B254EC-A6D8-45CD-BEBA-5D1471837A64}"/>
    <cellStyle name="Percent 4 8" xfId="4737" xr:uid="{C80CF9EC-B6FA-4627-9183-26B691F9E4A4}"/>
    <cellStyle name="Percent 5" xfId="3889" xr:uid="{20CF9CBF-6004-45F6-9B12-7D5306186C51}"/>
    <cellStyle name="Percent 5 2" xfId="3901" xr:uid="{0A81CED9-20FE-4927-8FCE-508A53F5612C}"/>
    <cellStyle name="Percent 6" xfId="3893" xr:uid="{2EF81328-8BB2-48CB-B637-3A1497B1A773}"/>
    <cellStyle name="Percent 6 2" xfId="4035" xr:uid="{6D605CAB-1A11-47FA-AB39-3687EE7EB500}"/>
    <cellStyle name="Percent 6 2 2" xfId="7005" xr:uid="{E2288949-9EC7-4E9F-9B4B-1D4E3E618003}"/>
    <cellStyle name="Percent 6 2 2 2" xfId="8524" xr:uid="{326455B6-F986-4FAB-852C-4392F4543196}"/>
    <cellStyle name="Percent 6 2 3" xfId="7774" xr:uid="{EF066F50-2C86-4805-95AD-A9342087AE34}"/>
    <cellStyle name="Percent 6 2 4" xfId="5011" xr:uid="{945F0664-6815-48A2-8FA1-A379B8E00659}"/>
    <cellStyle name="Percent 6 3" xfId="6956" xr:uid="{A8B88667-9130-43DF-8B34-3C3C0A098BA0}"/>
    <cellStyle name="Percent 6 3 2" xfId="8475" xr:uid="{77409E8E-3939-4B2A-8BD8-8A07E840A6BD}"/>
    <cellStyle name="Percent 6 4" xfId="7725" xr:uid="{0AA89EC6-72A9-4F5F-8B1F-9675DFFEF4A5}"/>
    <cellStyle name="Percent 6 5" xfId="4962" xr:uid="{AE5FDCFA-9AD4-4A6A-A394-5B83467E06A4}"/>
    <cellStyle name="Percent 7" xfId="4141" xr:uid="{C58BC788-46D7-41C9-AFAB-847D03408676}"/>
    <cellStyle name="Percent 7 2" xfId="6842" xr:uid="{E0CECA9D-BD3B-4B83-BD34-8CC6453E6C77}"/>
    <cellStyle name="Percent 8" xfId="7341" xr:uid="{AED7AB13-9868-4628-AC25-8EA86A35C098}"/>
    <cellStyle name="Percent 9" xfId="3886" xr:uid="{86D0CE1A-EF7D-4123-B91B-01E16E0DC192}"/>
    <cellStyle name="Rounding" xfId="234" xr:uid="{00000000-0005-0000-0000-00003E0A0000}"/>
    <cellStyle name="Sheet Title" xfId="235" xr:uid="{00000000-0005-0000-0000-00003F0A0000}"/>
    <cellStyle name="Single Border" xfId="236" xr:uid="{00000000-0005-0000-0000-0000400A0000}"/>
    <cellStyle name="Single Underline" xfId="237" xr:uid="{00000000-0005-0000-0000-0000410A0000}"/>
    <cellStyle name="STYLE1" xfId="238" xr:uid="{00000000-0005-0000-0000-0000420A0000}"/>
    <cellStyle name="STYLE2" xfId="239" xr:uid="{00000000-0005-0000-0000-0000430A0000}"/>
    <cellStyle name="Title 10 2" xfId="2373" xr:uid="{00000000-0005-0000-0000-0000440A0000}"/>
    <cellStyle name="Title 10 3" xfId="2374" xr:uid="{00000000-0005-0000-0000-0000450A0000}"/>
    <cellStyle name="Title 10 4" xfId="2375" xr:uid="{00000000-0005-0000-0000-0000460A0000}"/>
    <cellStyle name="Title 10 5" xfId="2376" xr:uid="{00000000-0005-0000-0000-0000470A0000}"/>
    <cellStyle name="Title 10 6" xfId="2377" xr:uid="{00000000-0005-0000-0000-0000480A0000}"/>
    <cellStyle name="Title 11 2" xfId="2378" xr:uid="{00000000-0005-0000-0000-0000490A0000}"/>
    <cellStyle name="Title 11 3" xfId="2379" xr:uid="{00000000-0005-0000-0000-00004A0A0000}"/>
    <cellStyle name="Title 11 4" xfId="2380" xr:uid="{00000000-0005-0000-0000-00004B0A0000}"/>
    <cellStyle name="Title 11 5" xfId="2381" xr:uid="{00000000-0005-0000-0000-00004C0A0000}"/>
    <cellStyle name="Title 11 6" xfId="2382" xr:uid="{00000000-0005-0000-0000-00004D0A0000}"/>
    <cellStyle name="Title 2" xfId="2383" xr:uid="{00000000-0005-0000-0000-00004E0A0000}"/>
    <cellStyle name="Title 2 2" xfId="2384" xr:uid="{00000000-0005-0000-0000-00004F0A0000}"/>
    <cellStyle name="Title 2 3" xfId="2385" xr:uid="{00000000-0005-0000-0000-0000500A0000}"/>
    <cellStyle name="Title 2 4" xfId="2386" xr:uid="{00000000-0005-0000-0000-0000510A0000}"/>
    <cellStyle name="Title 2 5" xfId="2387" xr:uid="{00000000-0005-0000-0000-0000520A0000}"/>
    <cellStyle name="Title 2 6" xfId="2388" xr:uid="{00000000-0005-0000-0000-0000530A0000}"/>
    <cellStyle name="Title 2 7" xfId="5596" xr:uid="{A34A112F-4EE9-44CF-BCE2-6735BCD6F15C}"/>
    <cellStyle name="Title 3" xfId="2389" xr:uid="{00000000-0005-0000-0000-0000540A0000}"/>
    <cellStyle name="Title 3 2" xfId="2390" xr:uid="{00000000-0005-0000-0000-0000550A0000}"/>
    <cellStyle name="Title 3 3" xfId="2391" xr:uid="{00000000-0005-0000-0000-0000560A0000}"/>
    <cellStyle name="Title 3 4" xfId="2392" xr:uid="{00000000-0005-0000-0000-0000570A0000}"/>
    <cellStyle name="Title 3 5" xfId="2393" xr:uid="{00000000-0005-0000-0000-0000580A0000}"/>
    <cellStyle name="Title 3 6" xfId="2394" xr:uid="{00000000-0005-0000-0000-0000590A0000}"/>
    <cellStyle name="Title 4 2" xfId="2395" xr:uid="{00000000-0005-0000-0000-00005A0A0000}"/>
    <cellStyle name="Title 4 3" xfId="2396" xr:uid="{00000000-0005-0000-0000-00005B0A0000}"/>
    <cellStyle name="Title 4 4" xfId="2397" xr:uid="{00000000-0005-0000-0000-00005C0A0000}"/>
    <cellStyle name="Title 4 5" xfId="2398" xr:uid="{00000000-0005-0000-0000-00005D0A0000}"/>
    <cellStyle name="Title 4 6" xfId="2399" xr:uid="{00000000-0005-0000-0000-00005E0A0000}"/>
    <cellStyle name="Title 5 2" xfId="2400" xr:uid="{00000000-0005-0000-0000-00005F0A0000}"/>
    <cellStyle name="Title 5 3" xfId="2401" xr:uid="{00000000-0005-0000-0000-0000600A0000}"/>
    <cellStyle name="Title 5 4" xfId="2402" xr:uid="{00000000-0005-0000-0000-0000610A0000}"/>
    <cellStyle name="Title 5 5" xfId="2403" xr:uid="{00000000-0005-0000-0000-0000620A0000}"/>
    <cellStyle name="Title 5 6" xfId="2404" xr:uid="{00000000-0005-0000-0000-0000630A0000}"/>
    <cellStyle name="Title 6 2" xfId="2405" xr:uid="{00000000-0005-0000-0000-0000640A0000}"/>
    <cellStyle name="Title 6 3" xfId="2406" xr:uid="{00000000-0005-0000-0000-0000650A0000}"/>
    <cellStyle name="Title 6 4" xfId="2407" xr:uid="{00000000-0005-0000-0000-0000660A0000}"/>
    <cellStyle name="Title 6 5" xfId="2408" xr:uid="{00000000-0005-0000-0000-0000670A0000}"/>
    <cellStyle name="Title 6 6" xfId="2409" xr:uid="{00000000-0005-0000-0000-0000680A0000}"/>
    <cellStyle name="Title 7 2" xfId="2410" xr:uid="{00000000-0005-0000-0000-0000690A0000}"/>
    <cellStyle name="Title 7 3" xfId="2411" xr:uid="{00000000-0005-0000-0000-00006A0A0000}"/>
    <cellStyle name="Title 7 4" xfId="2412" xr:uid="{00000000-0005-0000-0000-00006B0A0000}"/>
    <cellStyle name="Title 7 5" xfId="2413" xr:uid="{00000000-0005-0000-0000-00006C0A0000}"/>
    <cellStyle name="Title 7 6" xfId="2414" xr:uid="{00000000-0005-0000-0000-00006D0A0000}"/>
    <cellStyle name="Title 8 2" xfId="2415" xr:uid="{00000000-0005-0000-0000-00006E0A0000}"/>
    <cellStyle name="Title 8 3" xfId="2416" xr:uid="{00000000-0005-0000-0000-00006F0A0000}"/>
    <cellStyle name="Title 8 4" xfId="2417" xr:uid="{00000000-0005-0000-0000-0000700A0000}"/>
    <cellStyle name="Title 8 5" xfId="2418" xr:uid="{00000000-0005-0000-0000-0000710A0000}"/>
    <cellStyle name="Title 8 6" xfId="2419" xr:uid="{00000000-0005-0000-0000-0000720A0000}"/>
    <cellStyle name="Title 9 2" xfId="2420" xr:uid="{00000000-0005-0000-0000-0000730A0000}"/>
    <cellStyle name="Title 9 3" xfId="2421" xr:uid="{00000000-0005-0000-0000-0000740A0000}"/>
    <cellStyle name="Title 9 4" xfId="2422" xr:uid="{00000000-0005-0000-0000-0000750A0000}"/>
    <cellStyle name="Title 9 5" xfId="2423" xr:uid="{00000000-0005-0000-0000-0000760A0000}"/>
    <cellStyle name="Title 9 6" xfId="2424" xr:uid="{00000000-0005-0000-0000-0000770A0000}"/>
    <cellStyle name="Top Bold Border" xfId="240" xr:uid="{00000000-0005-0000-0000-0000780A0000}"/>
    <cellStyle name="Top Bold Border 2" xfId="6371" xr:uid="{1A8F2FEA-DB1A-4CE5-8160-A6443A63D675}"/>
    <cellStyle name="Top Bold Border 3" xfId="6808" xr:uid="{EF15B721-653D-4A95-AE43-72C960894604}"/>
    <cellStyle name="Top Double Border" xfId="241" xr:uid="{00000000-0005-0000-0000-0000790A0000}"/>
    <cellStyle name="Top Double Border 2" xfId="6372" xr:uid="{CF362080-AAA9-4388-85CE-AFD30542AB12}"/>
    <cellStyle name="Top Double Border 3" xfId="6809" xr:uid="{4898EA2B-7723-4DB8-AE5A-3B7F197E0DEB}"/>
    <cellStyle name="Top Single Border" xfId="242" xr:uid="{00000000-0005-0000-0000-00007A0A0000}"/>
    <cellStyle name="Top Single Border 2" xfId="2771" xr:uid="{00000000-0005-0000-0000-00007B0A0000}"/>
    <cellStyle name="Top Single Border 2 2" xfId="3082" xr:uid="{00000000-0005-0000-0000-00000B0C0000}"/>
    <cellStyle name="Top Single Border 2 2 2" xfId="4090" xr:uid="{497CD514-A134-49BF-AE1F-D950C54EC3DB}"/>
    <cellStyle name="Top Single Border 2 2 2 2" xfId="7184" xr:uid="{C3B1ACC7-88C3-4130-B57E-60D454793141}"/>
    <cellStyle name="Top Single Border 2 2 3" xfId="6733" xr:uid="{0FCC763A-6FF1-4A4F-9930-BCF785393D35}"/>
    <cellStyle name="Top Single Border 2 2 4" xfId="6382" xr:uid="{06D1181C-9A70-4487-8C42-7639A9A17600}"/>
    <cellStyle name="Top Single Border 2 3" xfId="3989" xr:uid="{93256303-3B0A-4A26-BE44-297519B298C6}"/>
    <cellStyle name="Top Single Border 2 3 2" xfId="6821" xr:uid="{7E96AB95-D171-47D2-B122-607C7F7E9239}"/>
    <cellStyle name="Top Single Border 3" xfId="3040" xr:uid="{00000000-0005-0000-0000-00000C0C0000}"/>
    <cellStyle name="Top Single Border 3 2" xfId="7121" xr:uid="{44029C98-439F-462B-92FC-3D9A9EC96D8B}"/>
    <cellStyle name="Top Single Border 4" xfId="5863" xr:uid="{52B80886-2A53-4D23-84D7-BDF0EEF4F711}"/>
    <cellStyle name="Top Single Border 4 2" xfId="7337" xr:uid="{D73B070D-AE9F-453B-92B4-19AFF68909D3}"/>
    <cellStyle name="Top Single Border 4 3" xfId="7137" xr:uid="{7C971991-FCDA-44F0-9923-5B8D800048ED}"/>
    <cellStyle name="Top Single Border 5" xfId="6078" xr:uid="{A8E79C3A-50A2-4FEC-8BF4-BAFD8A9C2AED}"/>
    <cellStyle name="Top Single Border 5 2" xfId="7338" xr:uid="{91C9DDAE-A357-4141-B096-613067D74231}"/>
    <cellStyle name="Top Single Border 5 3" xfId="7138" xr:uid="{C317DA73-4E1A-4CC6-BFF0-0193D472E576}"/>
    <cellStyle name="Top Single Border 6" xfId="6373" xr:uid="{3AB521C5-C26C-4FBE-AE80-08CD8C615EF5}"/>
    <cellStyle name="Top Single Border 7" xfId="6810" xr:uid="{FC5D0C67-02AF-40FB-BD9B-67E0FCDA8E57}"/>
    <cellStyle name="Total 10 2" xfId="2425" xr:uid="{00000000-0005-0000-0000-00007C0A0000}"/>
    <cellStyle name="Total 10 2 2" xfId="2789" xr:uid="{00000000-0005-0000-0000-00007D0A0000}"/>
    <cellStyle name="Total 10 2 2 2" xfId="3025" xr:uid="{00000000-0005-0000-0000-00000F0C0000}"/>
    <cellStyle name="Total 10 2 3" xfId="3363" xr:uid="{00000000-0005-0000-0000-0000100C0000}"/>
    <cellStyle name="Total 10 2 4" xfId="5827" xr:uid="{97E5D1EB-E835-4DB5-B582-240D0BAFBFE8}"/>
    <cellStyle name="Total 10 2 5" xfId="5962" xr:uid="{401CBF74-4CC3-4F82-BCB8-5AF36354D70D}"/>
    <cellStyle name="Total 10 3" xfId="2426" xr:uid="{00000000-0005-0000-0000-00007E0A0000}"/>
    <cellStyle name="Total 10 3 2" xfId="2790" xr:uid="{00000000-0005-0000-0000-00007F0A0000}"/>
    <cellStyle name="Total 10 3 2 2" xfId="3024" xr:uid="{00000000-0005-0000-0000-0000130C0000}"/>
    <cellStyle name="Total 10 3 3" xfId="3362" xr:uid="{00000000-0005-0000-0000-0000140C0000}"/>
    <cellStyle name="Total 10 3 4" xfId="5801" xr:uid="{6D7371CF-C2F1-4FD0-B44C-B5CF9039413F}"/>
    <cellStyle name="Total 10 3 5" xfId="5961" xr:uid="{92E7A439-2A03-42C1-8CD7-A2023F3194FF}"/>
    <cellStyle name="Total 10 4" xfId="2427" xr:uid="{00000000-0005-0000-0000-0000800A0000}"/>
    <cellStyle name="Total 10 4 2" xfId="2791" xr:uid="{00000000-0005-0000-0000-0000810A0000}"/>
    <cellStyle name="Total 10 4 2 2" xfId="3069" xr:uid="{00000000-0005-0000-0000-0000170C0000}"/>
    <cellStyle name="Total 10 4 3" xfId="3361" xr:uid="{00000000-0005-0000-0000-0000180C0000}"/>
    <cellStyle name="Total 10 4 4" xfId="6141" xr:uid="{4C97B519-9666-4804-A01F-F78A6AA2DA9D}"/>
    <cellStyle name="Total 10 4 5" xfId="5960" xr:uid="{E0D7B70C-8496-405F-B1B9-D3889A9B8E01}"/>
    <cellStyle name="Total 10 5" xfId="2428" xr:uid="{00000000-0005-0000-0000-0000820A0000}"/>
    <cellStyle name="Total 10 5 2" xfId="2792" xr:uid="{00000000-0005-0000-0000-0000830A0000}"/>
    <cellStyle name="Total 10 5 2 2" xfId="3068" xr:uid="{00000000-0005-0000-0000-00001B0C0000}"/>
    <cellStyle name="Total 10 5 3" xfId="3360" xr:uid="{00000000-0005-0000-0000-00001C0C0000}"/>
    <cellStyle name="Total 10 5 4" xfId="6142" xr:uid="{9A850A52-DA99-4FE3-8092-A066215EC473}"/>
    <cellStyle name="Total 10 5 5" xfId="5959" xr:uid="{1EBEE854-4E76-424D-AEBB-FD2989EBE39C}"/>
    <cellStyle name="Total 10 6" xfId="2429" xr:uid="{00000000-0005-0000-0000-0000840A0000}"/>
    <cellStyle name="Total 10 6 2" xfId="2793" xr:uid="{00000000-0005-0000-0000-0000850A0000}"/>
    <cellStyle name="Total 10 6 2 2" xfId="3067" xr:uid="{00000000-0005-0000-0000-00001F0C0000}"/>
    <cellStyle name="Total 10 6 3" xfId="3359" xr:uid="{00000000-0005-0000-0000-0000200C0000}"/>
    <cellStyle name="Total 10 6 4" xfId="5802" xr:uid="{2C978FF2-A6C4-44B4-909E-BB3A0EABDE5E}"/>
    <cellStyle name="Total 10 6 5" xfId="6217" xr:uid="{B60CD6D0-B2B4-41BA-8BC0-EDA974407A03}"/>
    <cellStyle name="Total 11 2" xfId="2430" xr:uid="{00000000-0005-0000-0000-0000860A0000}"/>
    <cellStyle name="Total 11 2 2" xfId="2794" xr:uid="{00000000-0005-0000-0000-0000870A0000}"/>
    <cellStyle name="Total 11 2 2 2" xfId="3066" xr:uid="{00000000-0005-0000-0000-0000230C0000}"/>
    <cellStyle name="Total 11 2 3" xfId="3358" xr:uid="{00000000-0005-0000-0000-0000240C0000}"/>
    <cellStyle name="Total 11 2 4" xfId="5828" xr:uid="{F2B3369B-3376-4782-BABD-892E28A41A0E}"/>
    <cellStyle name="Total 11 2 5" xfId="6189" xr:uid="{18E9C012-D950-4E09-8716-EC276C5BBA17}"/>
    <cellStyle name="Total 11 3" xfId="2431" xr:uid="{00000000-0005-0000-0000-0000880A0000}"/>
    <cellStyle name="Total 11 3 2" xfId="2795" xr:uid="{00000000-0005-0000-0000-0000890A0000}"/>
    <cellStyle name="Total 11 3 2 2" xfId="3065" xr:uid="{00000000-0005-0000-0000-0000270C0000}"/>
    <cellStyle name="Total 11 3 3" xfId="3357" xr:uid="{00000000-0005-0000-0000-0000280C0000}"/>
    <cellStyle name="Total 11 3 4" xfId="6144" xr:uid="{5EB6B42C-5C19-4AAA-85DD-007E62D7B0B6}"/>
    <cellStyle name="Total 11 3 5" xfId="6324" xr:uid="{6B76B706-62D2-4F3B-A09D-DE1067C9DDC7}"/>
    <cellStyle name="Total 11 4" xfId="2432" xr:uid="{00000000-0005-0000-0000-00008A0A0000}"/>
    <cellStyle name="Total 11 4 2" xfId="2796" xr:uid="{00000000-0005-0000-0000-00008B0A0000}"/>
    <cellStyle name="Total 11 4 2 2" xfId="3064" xr:uid="{00000000-0005-0000-0000-00002B0C0000}"/>
    <cellStyle name="Total 11 4 3" xfId="3356" xr:uid="{00000000-0005-0000-0000-00002C0C0000}"/>
    <cellStyle name="Total 11 4 4" xfId="6143" xr:uid="{AF8500C8-828B-43FC-8F23-1ED617B5CDB5}"/>
    <cellStyle name="Total 11 4 5" xfId="5820" xr:uid="{81A1B5EC-D26C-434B-AA83-D87CCB5A4131}"/>
    <cellStyle name="Total 11 5" xfId="2433" xr:uid="{00000000-0005-0000-0000-00008C0A0000}"/>
    <cellStyle name="Total 11 5 2" xfId="2797" xr:uid="{00000000-0005-0000-0000-00008D0A0000}"/>
    <cellStyle name="Total 11 5 2 2" xfId="3063" xr:uid="{00000000-0005-0000-0000-00002F0C0000}"/>
    <cellStyle name="Total 11 5 3" xfId="3355" xr:uid="{00000000-0005-0000-0000-0000300C0000}"/>
    <cellStyle name="Total 11 5 4" xfId="6145" xr:uid="{CD8AC9C3-7F5C-4469-9CB1-4C536F4AB326}"/>
    <cellStyle name="Total 11 5 5" xfId="5957" xr:uid="{8970EA86-62D5-4955-9596-0A4F223D5590}"/>
    <cellStyle name="Total 11 6" xfId="2434" xr:uid="{00000000-0005-0000-0000-00008E0A0000}"/>
    <cellStyle name="Total 11 6 2" xfId="2798" xr:uid="{00000000-0005-0000-0000-00008F0A0000}"/>
    <cellStyle name="Total 11 6 2 2" xfId="3062" xr:uid="{00000000-0005-0000-0000-0000330C0000}"/>
    <cellStyle name="Total 11 6 3" xfId="3354" xr:uid="{00000000-0005-0000-0000-0000340C0000}"/>
    <cellStyle name="Total 11 6 4" xfId="6140" xr:uid="{3B5F786D-A16C-447C-9075-0D864A7A247A}"/>
    <cellStyle name="Total 11 6 5" xfId="6323" xr:uid="{16611B29-7D58-46BF-BEE0-4CE07E5D44CA}"/>
    <cellStyle name="Total 2" xfId="243" xr:uid="{00000000-0005-0000-0000-0000900A0000}"/>
    <cellStyle name="Total 2 10" xfId="5783" xr:uid="{7E7CBC21-06DC-4860-9845-5599E6138E40}"/>
    <cellStyle name="Total 2 2" xfId="2435" xr:uid="{00000000-0005-0000-0000-0000910A0000}"/>
    <cellStyle name="Total 2 2 2" xfId="2799" xr:uid="{00000000-0005-0000-0000-0000920A0000}"/>
    <cellStyle name="Total 2 2 2 2" xfId="3061" xr:uid="{00000000-0005-0000-0000-0000380C0000}"/>
    <cellStyle name="Total 2 2 3" xfId="3353" xr:uid="{00000000-0005-0000-0000-0000390C0000}"/>
    <cellStyle name="Total 2 2 4" xfId="5748" xr:uid="{D691AFD3-335F-4BE2-A016-F862D88AE033}"/>
    <cellStyle name="Total 2 2 5" xfId="6089" xr:uid="{1DC0DE39-42FA-4B72-B47D-5D0DE815A080}"/>
    <cellStyle name="Total 2 3" xfId="2436" xr:uid="{00000000-0005-0000-0000-0000930A0000}"/>
    <cellStyle name="Total 2 3 2" xfId="2800" xr:uid="{00000000-0005-0000-0000-0000940A0000}"/>
    <cellStyle name="Total 2 3 2 2" xfId="3023" xr:uid="{00000000-0005-0000-0000-00003C0C0000}"/>
    <cellStyle name="Total 2 3 3" xfId="3352" xr:uid="{00000000-0005-0000-0000-00003D0C0000}"/>
    <cellStyle name="Total 2 3 4" xfId="5789" xr:uid="{CDE157FA-DE57-4844-8B01-5B95FBA23983}"/>
    <cellStyle name="Total 2 3 5" xfId="5955" xr:uid="{D79A76CC-DF29-426C-9A71-6CC8F35AC3F7}"/>
    <cellStyle name="Total 2 3 6" xfId="5688" xr:uid="{FEAA8559-B3BC-4EFC-BC41-5370CC298FD0}"/>
    <cellStyle name="Total 2 3 7" xfId="5091" xr:uid="{59170ADC-9B40-4733-AC92-5C1E94811B6A}"/>
    <cellStyle name="Total 2 4" xfId="2437" xr:uid="{00000000-0005-0000-0000-0000950A0000}"/>
    <cellStyle name="Total 2 4 2" xfId="2801" xr:uid="{00000000-0005-0000-0000-0000960A0000}"/>
    <cellStyle name="Total 2 4 2 2" xfId="3060" xr:uid="{00000000-0005-0000-0000-0000400C0000}"/>
    <cellStyle name="Total 2 4 3" xfId="3351" xr:uid="{00000000-0005-0000-0000-0000410C0000}"/>
    <cellStyle name="Total 2 4 4" xfId="5803" xr:uid="{43348259-52E1-4F25-A0C7-F8B1AB72BF55}"/>
    <cellStyle name="Total 2 4 5" xfId="5956" xr:uid="{8C3EFA7A-CEFA-4300-A1A9-1D6EC64B42F7}"/>
    <cellStyle name="Total 2 4 6" xfId="5689" xr:uid="{5EA33407-6ABD-4A1F-AA82-1416097F753F}"/>
    <cellStyle name="Total 2 4 7" xfId="5383" xr:uid="{BECDAD67-E259-4C39-94B3-1B31BFDC3A64}"/>
    <cellStyle name="Total 2 5" xfId="2438" xr:uid="{00000000-0005-0000-0000-0000970A0000}"/>
    <cellStyle name="Total 2 5 2" xfId="2802" xr:uid="{00000000-0005-0000-0000-0000980A0000}"/>
    <cellStyle name="Total 2 5 2 2" xfId="3059" xr:uid="{00000000-0005-0000-0000-0000440C0000}"/>
    <cellStyle name="Total 2 5 3" xfId="3350" xr:uid="{00000000-0005-0000-0000-0000450C0000}"/>
    <cellStyle name="Total 2 5 4" xfId="6194" xr:uid="{3A8E6B80-9B76-490F-89BB-00A963F293E1}"/>
    <cellStyle name="Total 2 5 5" xfId="5954" xr:uid="{E5C47E52-EFA3-4D3E-8605-8BE689BD0117}"/>
    <cellStyle name="Total 2 5 6" xfId="5690" xr:uid="{77855470-D8CA-415E-9A1C-BE1D39E2470F}"/>
    <cellStyle name="Total 2 5 7" xfId="5595" xr:uid="{4EB96F4D-58C3-4DB9-92EA-58FF66DBAE3A}"/>
    <cellStyle name="Total 2 6" xfId="2439" xr:uid="{00000000-0005-0000-0000-0000990A0000}"/>
    <cellStyle name="Total 2 6 2" xfId="2803" xr:uid="{00000000-0005-0000-0000-00009A0A0000}"/>
    <cellStyle name="Total 2 6 2 2" xfId="3058" xr:uid="{00000000-0005-0000-0000-0000480C0000}"/>
    <cellStyle name="Total 2 6 3" xfId="3349" xr:uid="{00000000-0005-0000-0000-0000490C0000}"/>
    <cellStyle name="Total 2 6 4" xfId="5829" xr:uid="{BD02D53B-6622-4E27-955A-F97B7A73787F}"/>
    <cellStyle name="Total 2 6 5" xfId="6216" xr:uid="{1079B113-0DF5-4239-8A15-360B66BE30A2}"/>
    <cellStyle name="Total 2 6 6" xfId="5691" xr:uid="{20760B77-B67D-4758-9D47-348B820E224A}"/>
    <cellStyle name="Total 2 6 7" xfId="5268" xr:uid="{E8C40766-3330-4263-9B05-E39D0224611F}"/>
    <cellStyle name="Total 2 7" xfId="2770" xr:uid="{00000000-0005-0000-0000-00009B0A0000}"/>
    <cellStyle name="Total 2 7 2" xfId="3083" xr:uid="{00000000-0005-0000-0000-00004B0C0000}"/>
    <cellStyle name="Total 2 8" xfId="3039" xr:uid="{00000000-0005-0000-0000-00004C0C0000}"/>
    <cellStyle name="Total 2 8 2" xfId="5705" xr:uid="{7FB59A84-91BD-447E-9CC1-D074D7575228}"/>
    <cellStyle name="Total 2 8 3" xfId="7090" xr:uid="{63608E69-E9C7-409B-8581-D41E545B14BC}"/>
    <cellStyle name="Total 2 8 4" xfId="5597" xr:uid="{12E588A9-C9B4-4A25-BB2E-BCFBEE1347D7}"/>
    <cellStyle name="Total 2 9" xfId="6203" xr:uid="{A768A183-17D7-475F-801F-39492991A211}"/>
    <cellStyle name="Total 3" xfId="244" xr:uid="{00000000-0005-0000-0000-00009C0A0000}"/>
    <cellStyle name="Total 3 10" xfId="3038" xr:uid="{00000000-0005-0000-0000-00004E0C0000}"/>
    <cellStyle name="Total 3 11" xfId="6253" xr:uid="{93EBC91F-64AA-490B-9A6D-F5AA5A7F4D34}"/>
    <cellStyle name="Total 3 12" xfId="6077" xr:uid="{AE6E01CD-EA64-4302-8D46-A38D0775CB5B}"/>
    <cellStyle name="Total 3 13" xfId="5666" xr:uid="{B0D03D98-9FBE-495A-9F3B-A644638C1982}"/>
    <cellStyle name="Total 3 2" xfId="2441" xr:uid="{00000000-0005-0000-0000-00009D0A0000}"/>
    <cellStyle name="Total 3 2 2" xfId="2805" xr:uid="{00000000-0005-0000-0000-00009E0A0000}"/>
    <cellStyle name="Total 3 2 2 2" xfId="3056" xr:uid="{00000000-0005-0000-0000-0000510C0000}"/>
    <cellStyle name="Total 3 2 3" xfId="3347" xr:uid="{00000000-0005-0000-0000-0000520C0000}"/>
    <cellStyle name="Total 3 2 4" xfId="5813" xr:uid="{C9979ED6-EBB4-4984-8D3A-94FCA987BE40}"/>
    <cellStyle name="Total 3 2 5" xfId="5958" xr:uid="{6C1B8517-38F9-4272-8373-861DCEA0E04C}"/>
    <cellStyle name="Total 3 3" xfId="2442" xr:uid="{00000000-0005-0000-0000-00009F0A0000}"/>
    <cellStyle name="Total 3 3 2" xfId="2806" xr:uid="{00000000-0005-0000-0000-0000A00A0000}"/>
    <cellStyle name="Total 3 3 2 2" xfId="3055" xr:uid="{00000000-0005-0000-0000-0000550C0000}"/>
    <cellStyle name="Total 3 3 3" xfId="3346" xr:uid="{00000000-0005-0000-0000-0000560C0000}"/>
    <cellStyle name="Total 3 3 4" xfId="6198" xr:uid="{47F21ECC-BE91-462D-A0BA-DB33265439C8}"/>
    <cellStyle name="Total 3 3 5" xfId="6322" xr:uid="{5ADE281A-635A-4DE1-93AC-DBE5336EA95C}"/>
    <cellStyle name="Total 3 4" xfId="2443" xr:uid="{00000000-0005-0000-0000-0000A10A0000}"/>
    <cellStyle name="Total 3 4 2" xfId="2807" xr:uid="{00000000-0005-0000-0000-0000A20A0000}"/>
    <cellStyle name="Total 3 4 2 2" xfId="3054" xr:uid="{00000000-0005-0000-0000-0000590C0000}"/>
    <cellStyle name="Total 3 4 3" xfId="3345" xr:uid="{00000000-0005-0000-0000-00005A0C0000}"/>
    <cellStyle name="Total 3 4 4" xfId="5833" xr:uid="{6B9838EF-0C02-4CD0-A621-5FEE877AF515}"/>
    <cellStyle name="Total 3 4 5" xfId="6313" xr:uid="{909052BE-8FCF-4C6E-99F4-9050FEBB5B29}"/>
    <cellStyle name="Total 3 5" xfId="2444" xr:uid="{00000000-0005-0000-0000-0000A30A0000}"/>
    <cellStyle name="Total 3 5 2" xfId="2808" xr:uid="{00000000-0005-0000-0000-0000A40A0000}"/>
    <cellStyle name="Total 3 5 2 2" xfId="3053" xr:uid="{00000000-0005-0000-0000-00005D0C0000}"/>
    <cellStyle name="Total 3 5 3" xfId="3344" xr:uid="{00000000-0005-0000-0000-00005E0C0000}"/>
    <cellStyle name="Total 3 5 4" xfId="6191" xr:uid="{14CFA0B3-1265-4144-A806-BC4E777E1DBD}"/>
    <cellStyle name="Total 3 5 5" xfId="6090" xr:uid="{89E46666-9F04-4B42-A530-A432C32EC4E1}"/>
    <cellStyle name="Total 3 6" xfId="2445" xr:uid="{00000000-0005-0000-0000-0000A50A0000}"/>
    <cellStyle name="Total 3 6 2" xfId="2809" xr:uid="{00000000-0005-0000-0000-0000A60A0000}"/>
    <cellStyle name="Total 3 6 2 2" xfId="3052" xr:uid="{00000000-0005-0000-0000-0000610C0000}"/>
    <cellStyle name="Total 3 6 3" xfId="3343" xr:uid="{00000000-0005-0000-0000-0000620C0000}"/>
    <cellStyle name="Total 3 6 4" xfId="6146" xr:uid="{4FCA7308-E27A-492C-9E5D-5C2EB932B6C7}"/>
    <cellStyle name="Total 3 6 5" xfId="5906" xr:uid="{166C2598-A5C9-40C5-841F-0206A80E6E46}"/>
    <cellStyle name="Total 3 7" xfId="2446" xr:uid="{00000000-0005-0000-0000-0000A70A0000}"/>
    <cellStyle name="Total 3 7 2" xfId="2810" xr:uid="{00000000-0005-0000-0000-0000A80A0000}"/>
    <cellStyle name="Total 3 7 2 2" xfId="3051" xr:uid="{00000000-0005-0000-0000-0000650C0000}"/>
    <cellStyle name="Total 3 7 3" xfId="3342" xr:uid="{00000000-0005-0000-0000-0000660C0000}"/>
    <cellStyle name="Total 3 7 4" xfId="6147" xr:uid="{7BF8FD7E-A8CF-4F85-B030-58C6745E1F1A}"/>
    <cellStyle name="Total 3 7 5" xfId="6310" xr:uid="{16ADAB5A-F551-46AE-A248-7471A09C2CCE}"/>
    <cellStyle name="Total 3 7 6" xfId="5692" xr:uid="{85EB5338-059A-41C5-A884-7A034452448D}"/>
    <cellStyle name="Total 3 7 7" xfId="5594" xr:uid="{19340864-E403-48BE-AAF0-C176FF4F8376}"/>
    <cellStyle name="Total 3 8" xfId="2440" xr:uid="{00000000-0005-0000-0000-0000A90A0000}"/>
    <cellStyle name="Total 3 8 2" xfId="2804" xr:uid="{00000000-0005-0000-0000-0000AA0A0000}"/>
    <cellStyle name="Total 3 8 2 2" xfId="3057" xr:uid="{00000000-0005-0000-0000-0000690C0000}"/>
    <cellStyle name="Total 3 8 3" xfId="3348" xr:uid="{00000000-0005-0000-0000-00006A0C0000}"/>
    <cellStyle name="Total 3 8 4" xfId="6190" xr:uid="{3EFBFA40-502F-41CC-AE14-050CE98B84A4}"/>
    <cellStyle name="Total 3 8 5" xfId="5953" xr:uid="{F774A664-7791-4492-ADCB-0D15E6AF5076}"/>
    <cellStyle name="Total 3 9" xfId="2769" xr:uid="{00000000-0005-0000-0000-0000AB0A0000}"/>
    <cellStyle name="Total 3 9 2" xfId="3084" xr:uid="{00000000-0005-0000-0000-00006C0C0000}"/>
    <cellStyle name="Total 4" xfId="245" xr:uid="{00000000-0005-0000-0000-0000AC0A0000}"/>
    <cellStyle name="Total 4 10" xfId="3037" xr:uid="{00000000-0005-0000-0000-00006E0C0000}"/>
    <cellStyle name="Total 4 11" xfId="5864" xr:uid="{87FCE42F-4847-4C98-A871-3C9C2236EBDB}"/>
    <cellStyle name="Total 4 12" xfId="5874" xr:uid="{4E307F23-99C3-4FBA-BCD9-C0FA438ACAB6}"/>
    <cellStyle name="Total 4 2" xfId="2448" xr:uid="{00000000-0005-0000-0000-0000AD0A0000}"/>
    <cellStyle name="Total 4 2 2" xfId="2812" xr:uid="{00000000-0005-0000-0000-0000AE0A0000}"/>
    <cellStyle name="Total 4 2 2 2" xfId="3050" xr:uid="{00000000-0005-0000-0000-0000710C0000}"/>
    <cellStyle name="Total 4 2 3" xfId="3340" xr:uid="{00000000-0005-0000-0000-0000720C0000}"/>
    <cellStyle name="Total 4 2 4" xfId="6239" xr:uid="{E02625B4-93EF-4F8D-9C6E-98200922308A}"/>
    <cellStyle name="Total 4 2 5" xfId="6202" xr:uid="{5ED85D0B-9B39-435C-8D26-5FF276CE2FBE}"/>
    <cellStyle name="Total 4 2 6" xfId="5693" xr:uid="{3C33AF0E-46CB-4562-95ED-3CADE959F5B5}"/>
    <cellStyle name="Total 4 2 7" xfId="5593" xr:uid="{826B50B3-FB5C-48BF-A203-467D59B7629A}"/>
    <cellStyle name="Total 4 3" xfId="2449" xr:uid="{00000000-0005-0000-0000-0000AF0A0000}"/>
    <cellStyle name="Total 4 3 2" xfId="2813" xr:uid="{00000000-0005-0000-0000-0000B00A0000}"/>
    <cellStyle name="Total 4 3 2 2" xfId="3049" xr:uid="{00000000-0005-0000-0000-0000750C0000}"/>
    <cellStyle name="Total 4 3 3" xfId="3339" xr:uid="{00000000-0005-0000-0000-0000760C0000}"/>
    <cellStyle name="Total 4 3 4" xfId="6249" xr:uid="{384C4464-2CA3-47FA-A1BC-0117EE1FCB38}"/>
    <cellStyle name="Total 4 3 5" xfId="5905" xr:uid="{D818307E-CD2E-4256-8C4C-D88BD766DC74}"/>
    <cellStyle name="Total 4 4" xfId="2450" xr:uid="{00000000-0005-0000-0000-0000B10A0000}"/>
    <cellStyle name="Total 4 4 2" xfId="2814" xr:uid="{00000000-0005-0000-0000-0000B20A0000}"/>
    <cellStyle name="Total 4 4 2 2" xfId="3048" xr:uid="{00000000-0005-0000-0000-0000790C0000}"/>
    <cellStyle name="Total 4 4 3" xfId="3338" xr:uid="{00000000-0005-0000-0000-00007A0C0000}"/>
    <cellStyle name="Total 4 4 4" xfId="5811" xr:uid="{1752E553-5B39-4357-9F45-A577E7D16138}"/>
    <cellStyle name="Total 4 4 5" xfId="6093" xr:uid="{8333042A-188A-4BA2-987A-57C5DF9F23F3}"/>
    <cellStyle name="Total 4 5" xfId="2451" xr:uid="{00000000-0005-0000-0000-0000B30A0000}"/>
    <cellStyle name="Total 4 5 2" xfId="2815" xr:uid="{00000000-0005-0000-0000-0000B40A0000}"/>
    <cellStyle name="Total 4 5 2 2" xfId="3047" xr:uid="{00000000-0005-0000-0000-00007D0C0000}"/>
    <cellStyle name="Total 4 5 3" xfId="3337" xr:uid="{00000000-0005-0000-0000-00007E0C0000}"/>
    <cellStyle name="Total 4 5 4" xfId="5830" xr:uid="{51D8582B-1C99-4B57-AE29-CB7FC3349D8C}"/>
    <cellStyle name="Total 4 5 5" xfId="5951" xr:uid="{41163728-BC75-4C19-86B6-28CA167082A1}"/>
    <cellStyle name="Total 4 6" xfId="2452" xr:uid="{00000000-0005-0000-0000-0000B50A0000}"/>
    <cellStyle name="Total 4 6 2" xfId="2816" xr:uid="{00000000-0005-0000-0000-0000B60A0000}"/>
    <cellStyle name="Total 4 6 2 2" xfId="3046" xr:uid="{00000000-0005-0000-0000-0000810C0000}"/>
    <cellStyle name="Total 4 6 3" xfId="3336" xr:uid="{00000000-0005-0000-0000-0000820C0000}"/>
    <cellStyle name="Total 4 6 4" xfId="6148" xr:uid="{7E0B459B-FAC7-4E41-8246-39ED0B7370F4}"/>
    <cellStyle name="Total 4 6 5" xfId="6304" xr:uid="{D0B89EC0-2C22-4E4D-AB0E-EF464CF5DF41}"/>
    <cellStyle name="Total 4 7" xfId="2453" xr:uid="{00000000-0005-0000-0000-0000B70A0000}"/>
    <cellStyle name="Total 4 7 2" xfId="2817" xr:uid="{00000000-0005-0000-0000-0000B80A0000}"/>
    <cellStyle name="Total 4 7 2 2" xfId="3045" xr:uid="{00000000-0005-0000-0000-0000850C0000}"/>
    <cellStyle name="Total 4 7 3" xfId="3335" xr:uid="{00000000-0005-0000-0000-0000860C0000}"/>
    <cellStyle name="Total 4 7 4" xfId="6193" xr:uid="{E31D52A4-20CC-43B3-8B37-0F6D39F67FF8}"/>
    <cellStyle name="Total 4 7 5" xfId="6326" xr:uid="{24AF595B-6954-4034-AFB6-AEE937F3A166}"/>
    <cellStyle name="Total 4 8" xfId="2447" xr:uid="{00000000-0005-0000-0000-0000B90A0000}"/>
    <cellStyle name="Total 4 8 2" xfId="2811" xr:uid="{00000000-0005-0000-0000-0000BA0A0000}"/>
    <cellStyle name="Total 4 8 2 2" xfId="3021" xr:uid="{00000000-0005-0000-0000-0000890C0000}"/>
    <cellStyle name="Total 4 8 3" xfId="3341" xr:uid="{00000000-0005-0000-0000-00008A0C0000}"/>
    <cellStyle name="Total 4 8 4" xfId="6192" xr:uid="{69BD3AD3-2292-455C-96A1-F42F593AF8A6}"/>
    <cellStyle name="Total 4 8 5" xfId="5740" xr:uid="{6E43EDA3-81DC-4DF9-9CFB-09426C59F60D}"/>
    <cellStyle name="Total 4 9" xfId="2768" xr:uid="{00000000-0005-0000-0000-0000BB0A0000}"/>
    <cellStyle name="Total 4 9 2" xfId="3085" xr:uid="{00000000-0005-0000-0000-00008C0C0000}"/>
    <cellStyle name="Total 5" xfId="246" xr:uid="{00000000-0005-0000-0000-0000BC0A0000}"/>
    <cellStyle name="Total 5 10" xfId="6076" xr:uid="{F3B47802-C730-42A7-B84F-369E42B04812}"/>
    <cellStyle name="Total 5 2" xfId="2454" xr:uid="{00000000-0005-0000-0000-0000BD0A0000}"/>
    <cellStyle name="Total 5 2 2" xfId="2818" xr:uid="{00000000-0005-0000-0000-0000BE0A0000}"/>
    <cellStyle name="Total 5 2 2 2" xfId="3044" xr:uid="{00000000-0005-0000-0000-0000900C0000}"/>
    <cellStyle name="Total 5 2 3" xfId="3334" xr:uid="{00000000-0005-0000-0000-0000910C0000}"/>
    <cellStyle name="Total 5 2 4" xfId="6297" xr:uid="{DECCBBEC-A70E-4AA5-9C65-46924CCAD7FB}"/>
    <cellStyle name="Total 5 2 5" xfId="6311" xr:uid="{E6A136DF-CB92-4BF2-B99E-AD91CA9AE036}"/>
    <cellStyle name="Total 5 3" xfId="2455" xr:uid="{00000000-0005-0000-0000-0000BF0A0000}"/>
    <cellStyle name="Total 5 3 2" xfId="2819" xr:uid="{00000000-0005-0000-0000-0000C00A0000}"/>
    <cellStyle name="Total 5 3 2 2" xfId="3043" xr:uid="{00000000-0005-0000-0000-0000940C0000}"/>
    <cellStyle name="Total 5 3 3" xfId="3333" xr:uid="{00000000-0005-0000-0000-0000950C0000}"/>
    <cellStyle name="Total 5 3 4" xfId="5831" xr:uid="{202C0BD5-794B-49DC-BB46-D60C08D63D1B}"/>
    <cellStyle name="Total 5 3 5" xfId="6312" xr:uid="{13A113BA-3A70-47B7-A197-FF1F295273A2}"/>
    <cellStyle name="Total 5 4" xfId="2456" xr:uid="{00000000-0005-0000-0000-0000C10A0000}"/>
    <cellStyle name="Total 5 4 2" xfId="2820" xr:uid="{00000000-0005-0000-0000-0000C20A0000}"/>
    <cellStyle name="Total 5 4 2 2" xfId="3042" xr:uid="{00000000-0005-0000-0000-0000980C0000}"/>
    <cellStyle name="Total 5 4 3" xfId="3332" xr:uid="{00000000-0005-0000-0000-0000990C0000}"/>
    <cellStyle name="Total 5 4 4" xfId="6149" xr:uid="{D28DD275-397E-48A4-AA30-183546698AE2}"/>
    <cellStyle name="Total 5 4 5" xfId="6158" xr:uid="{096934A3-E2DA-4FB8-82A4-1607FD51DC69}"/>
    <cellStyle name="Total 5 5" xfId="2457" xr:uid="{00000000-0005-0000-0000-0000C30A0000}"/>
    <cellStyle name="Total 5 5 2" xfId="2821" xr:uid="{00000000-0005-0000-0000-0000C40A0000}"/>
    <cellStyle name="Total 5 5 2 2" xfId="3041" xr:uid="{00000000-0005-0000-0000-00009C0C0000}"/>
    <cellStyle name="Total 5 5 3" xfId="3331" xr:uid="{00000000-0005-0000-0000-00009D0C0000}"/>
    <cellStyle name="Total 5 5 4" xfId="5760" xr:uid="{69F034D4-DD62-45F1-804D-0C3A0F9F0B19}"/>
    <cellStyle name="Total 5 5 5" xfId="6270" xr:uid="{3BA14514-A2ED-4A13-AE04-76D03B6C4F7C}"/>
    <cellStyle name="Total 5 6" xfId="2458" xr:uid="{00000000-0005-0000-0000-0000C50A0000}"/>
    <cellStyle name="Total 5 6 2" xfId="2822" xr:uid="{00000000-0005-0000-0000-0000C60A0000}"/>
    <cellStyle name="Total 5 6 2 2" xfId="3018" xr:uid="{00000000-0005-0000-0000-0000A00C0000}"/>
    <cellStyle name="Total 5 6 3" xfId="3330" xr:uid="{00000000-0005-0000-0000-0000A10C0000}"/>
    <cellStyle name="Total 5 6 4" xfId="6150" xr:uid="{A6AC87A5-E231-4813-80E2-C4FC1128402C}"/>
    <cellStyle name="Total 5 6 5" xfId="6305" xr:uid="{5766ADD9-7CB2-4A5B-9C66-C0BEE398ACCF}"/>
    <cellStyle name="Total 5 7" xfId="2767" xr:uid="{00000000-0005-0000-0000-0000C70A0000}"/>
    <cellStyle name="Total 5 7 2" xfId="3086" xr:uid="{00000000-0005-0000-0000-0000A30C0000}"/>
    <cellStyle name="Total 5 8" xfId="3036" xr:uid="{00000000-0005-0000-0000-0000A40C0000}"/>
    <cellStyle name="Total 5 9" xfId="5865" xr:uid="{54D717D5-6A95-43C5-82DB-4490CCC0A71A}"/>
    <cellStyle name="Total 6" xfId="247" xr:uid="{00000000-0005-0000-0000-0000C80A0000}"/>
    <cellStyle name="Total 6 10" xfId="6165" xr:uid="{CD09D247-5A93-4785-BDEE-B84D312BF1FD}"/>
    <cellStyle name="Total 6 2" xfId="2459" xr:uid="{00000000-0005-0000-0000-0000C90A0000}"/>
    <cellStyle name="Total 6 2 2" xfId="2823" xr:uid="{00000000-0005-0000-0000-0000CA0A0000}"/>
    <cellStyle name="Total 6 2 2 2" xfId="3020" xr:uid="{00000000-0005-0000-0000-0000A80C0000}"/>
    <cellStyle name="Total 6 2 3" xfId="3329" xr:uid="{00000000-0005-0000-0000-0000A90C0000}"/>
    <cellStyle name="Total 6 2 4" xfId="5790" xr:uid="{B623968C-7A26-4646-B0C3-76651DA667ED}"/>
    <cellStyle name="Total 6 2 5" xfId="6327" xr:uid="{F15A1615-88B1-497D-81E1-19F75A83D5AF}"/>
    <cellStyle name="Total 6 3" xfId="2460" xr:uid="{00000000-0005-0000-0000-0000CB0A0000}"/>
    <cellStyle name="Total 6 3 2" xfId="2824" xr:uid="{00000000-0005-0000-0000-0000CC0A0000}"/>
    <cellStyle name="Total 6 3 2 2" xfId="3019" xr:uid="{00000000-0005-0000-0000-0000AC0C0000}"/>
    <cellStyle name="Total 6 3 3" xfId="3328" xr:uid="{00000000-0005-0000-0000-0000AD0C0000}"/>
    <cellStyle name="Total 6 3 4" xfId="6151" xr:uid="{3408FD0D-0C87-4B95-ADC3-08B94D51635E}"/>
    <cellStyle name="Total 6 3 5" xfId="5737" xr:uid="{19E5DE5D-3F49-4953-AE13-0BD2CC0492FC}"/>
    <cellStyle name="Total 6 4" xfId="2461" xr:uid="{00000000-0005-0000-0000-0000CD0A0000}"/>
    <cellStyle name="Total 6 4 2" xfId="2825" xr:uid="{00000000-0005-0000-0000-0000CE0A0000}"/>
    <cellStyle name="Total 6 4 2 2" xfId="3455" xr:uid="{00000000-0005-0000-0000-0000B00C0000}"/>
    <cellStyle name="Total 6 4 3" xfId="3327" xr:uid="{00000000-0005-0000-0000-0000B10C0000}"/>
    <cellStyle name="Total 6 4 4" xfId="6152" xr:uid="{A03626F7-5E5D-47A6-9D76-BBB1DC1C6BD0}"/>
    <cellStyle name="Total 6 4 5" xfId="5950" xr:uid="{F49ACF17-71E8-413C-8A9F-ABCE75EF3C4F}"/>
    <cellStyle name="Total 6 5" xfId="2462" xr:uid="{00000000-0005-0000-0000-0000CF0A0000}"/>
    <cellStyle name="Total 6 5 2" xfId="2826" xr:uid="{00000000-0005-0000-0000-0000D00A0000}"/>
    <cellStyle name="Total 6 5 2 2" xfId="3456" xr:uid="{00000000-0005-0000-0000-0000B40C0000}"/>
    <cellStyle name="Total 6 5 3" xfId="3326" xr:uid="{00000000-0005-0000-0000-0000B50C0000}"/>
    <cellStyle name="Total 6 5 4" xfId="5804" xr:uid="{F7A9FA7D-5507-44ED-86B4-122F520FF970}"/>
    <cellStyle name="Total 6 5 5" xfId="6325" xr:uid="{C8F9ACB0-0538-4A74-891B-84DB732E6F55}"/>
    <cellStyle name="Total 6 6" xfId="2463" xr:uid="{00000000-0005-0000-0000-0000D10A0000}"/>
    <cellStyle name="Total 6 6 2" xfId="2827" xr:uid="{00000000-0005-0000-0000-0000D20A0000}"/>
    <cellStyle name="Total 6 6 2 2" xfId="3457" xr:uid="{00000000-0005-0000-0000-0000B80C0000}"/>
    <cellStyle name="Total 6 6 3" xfId="3325" xr:uid="{00000000-0005-0000-0000-0000B90C0000}"/>
    <cellStyle name="Total 6 6 4" xfId="5805" xr:uid="{E39ADC79-1DD7-4400-8184-B7D9967C0BEC}"/>
    <cellStyle name="Total 6 6 5" xfId="5949" xr:uid="{17E3238F-B0D3-401F-8122-287A094DC138}"/>
    <cellStyle name="Total 6 7" xfId="2766" xr:uid="{00000000-0005-0000-0000-0000D30A0000}"/>
    <cellStyle name="Total 6 7 2" xfId="3087" xr:uid="{00000000-0005-0000-0000-0000BB0C0000}"/>
    <cellStyle name="Total 6 8" xfId="3035" xr:uid="{00000000-0005-0000-0000-0000BC0C0000}"/>
    <cellStyle name="Total 6 9" xfId="5866" xr:uid="{6C2B9EA8-5E47-46D4-8261-B68052C7FC84}"/>
    <cellStyle name="Total 7" xfId="248" xr:uid="{00000000-0005-0000-0000-0000D40A0000}"/>
    <cellStyle name="Total 7 10" xfId="6075" xr:uid="{2CCD69E3-AC05-437C-9007-B19F89F3A13A}"/>
    <cellStyle name="Total 7 2" xfId="2464" xr:uid="{00000000-0005-0000-0000-0000D50A0000}"/>
    <cellStyle name="Total 7 2 2" xfId="2828" xr:uid="{00000000-0005-0000-0000-0000D60A0000}"/>
    <cellStyle name="Total 7 2 2 2" xfId="3458" xr:uid="{00000000-0005-0000-0000-0000C00C0000}"/>
    <cellStyle name="Total 7 2 3" xfId="3324" xr:uid="{00000000-0005-0000-0000-0000C10C0000}"/>
    <cellStyle name="Total 7 2 4" xfId="5806" xr:uid="{62E2BD6A-0615-4040-8F7C-EEC1D1CDABD9}"/>
    <cellStyle name="Total 7 2 5" xfId="5948" xr:uid="{EC28DC96-1882-4DC0-9F05-CD06C8BABBF9}"/>
    <cellStyle name="Total 7 3" xfId="2465" xr:uid="{00000000-0005-0000-0000-0000D70A0000}"/>
    <cellStyle name="Total 7 3 2" xfId="2829" xr:uid="{00000000-0005-0000-0000-0000D80A0000}"/>
    <cellStyle name="Total 7 3 2 2" xfId="3459" xr:uid="{00000000-0005-0000-0000-0000C40C0000}"/>
    <cellStyle name="Total 7 3 3" xfId="3323" xr:uid="{00000000-0005-0000-0000-0000C50C0000}"/>
    <cellStyle name="Total 7 3 4" xfId="6248" xr:uid="{CBE865B0-9690-4EE8-ACED-A9BDE16E4D4B}"/>
    <cellStyle name="Total 7 3 5" xfId="5947" xr:uid="{EB4DE559-B43F-4463-B76F-866F7D8B3326}"/>
    <cellStyle name="Total 7 4" xfId="2466" xr:uid="{00000000-0005-0000-0000-0000D90A0000}"/>
    <cellStyle name="Total 7 4 2" xfId="2830" xr:uid="{00000000-0005-0000-0000-0000DA0A0000}"/>
    <cellStyle name="Total 7 4 2 2" xfId="3460" xr:uid="{00000000-0005-0000-0000-0000C80C0000}"/>
    <cellStyle name="Total 7 4 3" xfId="3322" xr:uid="{00000000-0005-0000-0000-0000C90C0000}"/>
    <cellStyle name="Total 7 4 4" xfId="5807" xr:uid="{4C1999AA-6FE3-4798-BA11-16B188A2B467}"/>
    <cellStyle name="Total 7 4 5" xfId="5952" xr:uid="{A9958EEA-30E5-47B3-A58D-A976BFA8B036}"/>
    <cellStyle name="Total 7 5" xfId="2467" xr:uid="{00000000-0005-0000-0000-0000DB0A0000}"/>
    <cellStyle name="Total 7 5 2" xfId="2831" xr:uid="{00000000-0005-0000-0000-0000DC0A0000}"/>
    <cellStyle name="Total 7 5 2 2" xfId="3461" xr:uid="{00000000-0005-0000-0000-0000CC0C0000}"/>
    <cellStyle name="Total 7 5 3" xfId="3321" xr:uid="{00000000-0005-0000-0000-0000CD0C0000}"/>
    <cellStyle name="Total 7 5 4" xfId="5767" xr:uid="{9E579C3B-8C15-482E-8C87-1AD57630B22E}"/>
    <cellStyle name="Total 7 5 5" xfId="6321" xr:uid="{43C8E8CA-E3AA-438A-880B-B60FAACEE8E8}"/>
    <cellStyle name="Total 7 6" xfId="2468" xr:uid="{00000000-0005-0000-0000-0000DD0A0000}"/>
    <cellStyle name="Total 7 6 2" xfId="2832" xr:uid="{00000000-0005-0000-0000-0000DE0A0000}"/>
    <cellStyle name="Total 7 6 2 2" xfId="3462" xr:uid="{00000000-0005-0000-0000-0000D00C0000}"/>
    <cellStyle name="Total 7 6 3" xfId="3032" xr:uid="{00000000-0005-0000-0000-0000D10C0000}"/>
    <cellStyle name="Total 7 6 4" xfId="5808" xr:uid="{D31C2025-E04E-4200-AD1A-F8ACF48A8E57}"/>
    <cellStyle name="Total 7 6 5" xfId="6320" xr:uid="{9E4C4B7B-B99E-4D7D-A2EA-CA477C1C8210}"/>
    <cellStyle name="Total 7 7" xfId="2765" xr:uid="{00000000-0005-0000-0000-0000DF0A0000}"/>
    <cellStyle name="Total 7 7 2" xfId="3088" xr:uid="{00000000-0005-0000-0000-0000D30C0000}"/>
    <cellStyle name="Total 7 8" xfId="3434" xr:uid="{00000000-0005-0000-0000-0000D40C0000}"/>
    <cellStyle name="Total 7 9" xfId="6166" xr:uid="{76FA6079-2ECD-4E15-8479-191F3CD3D400}"/>
    <cellStyle name="Total 8 2" xfId="2469" xr:uid="{00000000-0005-0000-0000-0000E00A0000}"/>
    <cellStyle name="Total 8 2 2" xfId="2833" xr:uid="{00000000-0005-0000-0000-0000E10A0000}"/>
    <cellStyle name="Total 8 2 2 2" xfId="3463" xr:uid="{00000000-0005-0000-0000-0000D70C0000}"/>
    <cellStyle name="Total 8 2 3" xfId="3030" xr:uid="{00000000-0005-0000-0000-0000D80C0000}"/>
    <cellStyle name="Total 8 2 4" xfId="5809" xr:uid="{BF79265A-E915-4D9D-B7C0-F766E53B37AA}"/>
    <cellStyle name="Total 8 2 5" xfId="6319" xr:uid="{7ACEB3DA-A1E6-44C8-ABE3-DBBC8B927C77}"/>
    <cellStyle name="Total 8 3" xfId="2470" xr:uid="{00000000-0005-0000-0000-0000E20A0000}"/>
    <cellStyle name="Total 8 3 2" xfId="2834" xr:uid="{00000000-0005-0000-0000-0000E30A0000}"/>
    <cellStyle name="Total 8 3 2 2" xfId="3464" xr:uid="{00000000-0005-0000-0000-0000DB0C0000}"/>
    <cellStyle name="Total 8 3 3" xfId="3320" xr:uid="{00000000-0005-0000-0000-0000DC0C0000}"/>
    <cellStyle name="Total 8 3 4" xfId="5810" xr:uid="{E105B863-DFB2-4DD3-B135-EA578866AB20}"/>
    <cellStyle name="Total 8 3 5" xfId="6318" xr:uid="{71976FC7-A312-472C-9A31-7F8A3FF2AEB0}"/>
    <cellStyle name="Total 8 4" xfId="2471" xr:uid="{00000000-0005-0000-0000-0000E40A0000}"/>
    <cellStyle name="Total 8 4 2" xfId="2835" xr:uid="{00000000-0005-0000-0000-0000E50A0000}"/>
    <cellStyle name="Total 8 4 2 2" xfId="3465" xr:uid="{00000000-0005-0000-0000-0000DF0C0000}"/>
    <cellStyle name="Total 8 4 3" xfId="3319" xr:uid="{00000000-0005-0000-0000-0000E00C0000}"/>
    <cellStyle name="Total 8 4 4" xfId="6153" xr:uid="{373605C6-C621-44AB-B7D1-93479E6AFE86}"/>
    <cellStyle name="Total 8 4 5" xfId="6317" xr:uid="{1D715606-DCD7-4D51-A873-7754CCDF9F2C}"/>
    <cellStyle name="Total 8 5" xfId="2472" xr:uid="{00000000-0005-0000-0000-0000E60A0000}"/>
    <cellStyle name="Total 8 5 2" xfId="2836" xr:uid="{00000000-0005-0000-0000-0000E70A0000}"/>
    <cellStyle name="Total 8 5 2 2" xfId="3466" xr:uid="{00000000-0005-0000-0000-0000E30C0000}"/>
    <cellStyle name="Total 8 5 3" xfId="3318" xr:uid="{00000000-0005-0000-0000-0000E40C0000}"/>
    <cellStyle name="Total 8 5 4" xfId="6154" xr:uid="{2862FB29-FF2B-404E-B80B-24E14263A015}"/>
    <cellStyle name="Total 8 5 5" xfId="6316" xr:uid="{F7CDDFBD-96D2-417C-B6A5-4935E165ED3B}"/>
    <cellStyle name="Total 8 6" xfId="2473" xr:uid="{00000000-0005-0000-0000-0000E80A0000}"/>
    <cellStyle name="Total 8 6 2" xfId="2837" xr:uid="{00000000-0005-0000-0000-0000E90A0000}"/>
    <cellStyle name="Total 8 6 2 2" xfId="3467" xr:uid="{00000000-0005-0000-0000-0000E70C0000}"/>
    <cellStyle name="Total 8 6 3" xfId="3317" xr:uid="{00000000-0005-0000-0000-0000E80C0000}"/>
    <cellStyle name="Total 8 6 4" xfId="6155" xr:uid="{9FA1ACA4-73D4-47DA-A518-98B43E047F10}"/>
    <cellStyle name="Total 8 6 5" xfId="6162" xr:uid="{7EFE925E-8AE8-4AAE-8E55-607973FAB482}"/>
    <cellStyle name="Total 9 2" xfId="2474" xr:uid="{00000000-0005-0000-0000-0000EA0A0000}"/>
    <cellStyle name="Total 9 2 2" xfId="2838" xr:uid="{00000000-0005-0000-0000-0000EB0A0000}"/>
    <cellStyle name="Total 9 2 2 2" xfId="3468" xr:uid="{00000000-0005-0000-0000-0000EB0C0000}"/>
    <cellStyle name="Total 9 2 3" xfId="3316" xr:uid="{00000000-0005-0000-0000-0000EC0C0000}"/>
    <cellStyle name="Total 9 2 4" xfId="5750" xr:uid="{DD2BA6C8-1905-4DD1-8845-7B0A2F35D938}"/>
    <cellStyle name="Total 9 2 5" xfId="6315" xr:uid="{31BC56B1-BB15-4C53-8576-301721804DEA}"/>
    <cellStyle name="Total 9 3" xfId="2475" xr:uid="{00000000-0005-0000-0000-0000EC0A0000}"/>
    <cellStyle name="Total 9 3 2" xfId="2839" xr:uid="{00000000-0005-0000-0000-0000ED0A0000}"/>
    <cellStyle name="Total 9 3 2 2" xfId="3469" xr:uid="{00000000-0005-0000-0000-0000EF0C0000}"/>
    <cellStyle name="Total 9 3 3" xfId="3315" xr:uid="{00000000-0005-0000-0000-0000F00C0000}"/>
    <cellStyle name="Total 9 3 4" xfId="5749" xr:uid="{8473805D-3AD9-432B-AED9-804B66A2064C}"/>
    <cellStyle name="Total 9 3 5" xfId="6314" xr:uid="{4BB89402-F5DC-4799-93A1-2BCA248651FE}"/>
    <cellStyle name="Total 9 4" xfId="2476" xr:uid="{00000000-0005-0000-0000-0000EE0A0000}"/>
    <cellStyle name="Total 9 4 2" xfId="2840" xr:uid="{00000000-0005-0000-0000-0000EF0A0000}"/>
    <cellStyle name="Total 9 4 2 2" xfId="3470" xr:uid="{00000000-0005-0000-0000-0000F30C0000}"/>
    <cellStyle name="Total 9 4 3" xfId="3314" xr:uid="{00000000-0005-0000-0000-0000F40C0000}"/>
    <cellStyle name="Total 9 4 4" xfId="5791" xr:uid="{A493EE89-A407-4667-ACC7-42FA3EF99C9E}"/>
    <cellStyle name="Total 9 4 5" xfId="6094" xr:uid="{867ACD4C-FB8D-4D83-B8F2-4AA326514D7E}"/>
    <cellStyle name="Total 9 5" xfId="2477" xr:uid="{00000000-0005-0000-0000-0000F00A0000}"/>
    <cellStyle name="Total 9 5 2" xfId="2841" xr:uid="{00000000-0005-0000-0000-0000F10A0000}"/>
    <cellStyle name="Total 9 5 2 2" xfId="3471" xr:uid="{00000000-0005-0000-0000-0000F70C0000}"/>
    <cellStyle name="Total 9 5 3" xfId="3313" xr:uid="{00000000-0005-0000-0000-0000F80C0000}"/>
    <cellStyle name="Total 9 5 4" xfId="6156" xr:uid="{688FE5E4-C673-4DF7-981A-0195B33E9122}"/>
    <cellStyle name="Total 9 5 5" xfId="6184" xr:uid="{66390A13-1A84-4CEB-91E6-9E3F9A5E94D3}"/>
    <cellStyle name="Total 9 6" xfId="2478" xr:uid="{00000000-0005-0000-0000-0000F20A0000}"/>
    <cellStyle name="Total 9 6 2" xfId="2842" xr:uid="{00000000-0005-0000-0000-0000F30A0000}"/>
    <cellStyle name="Total 9 6 2 2" xfId="3472" xr:uid="{00000000-0005-0000-0000-0000FB0C0000}"/>
    <cellStyle name="Total 9 6 3" xfId="3312" xr:uid="{00000000-0005-0000-0000-0000FC0C0000}"/>
    <cellStyle name="Total 9 6 4" xfId="6157" xr:uid="{114F991E-65F2-4299-A5AD-2093296B72CF}"/>
    <cellStyle name="Total 9 6 5" xfId="5946" xr:uid="{4C52E459-75D2-4583-B7BC-4AE7C0640A88}"/>
    <cellStyle name="Warning Text 10 2" xfId="2479" xr:uid="{00000000-0005-0000-0000-0000F40A0000}"/>
    <cellStyle name="Warning Text 10 3" xfId="2480" xr:uid="{00000000-0005-0000-0000-0000F50A0000}"/>
    <cellStyle name="Warning Text 10 4" xfId="2481" xr:uid="{00000000-0005-0000-0000-0000F60A0000}"/>
    <cellStyle name="Warning Text 10 5" xfId="2482" xr:uid="{00000000-0005-0000-0000-0000F70A0000}"/>
    <cellStyle name="Warning Text 10 6" xfId="2483" xr:uid="{00000000-0005-0000-0000-0000F80A0000}"/>
    <cellStyle name="Warning Text 11 2" xfId="2484" xr:uid="{00000000-0005-0000-0000-0000F90A0000}"/>
    <cellStyle name="Warning Text 11 3" xfId="2485" xr:uid="{00000000-0005-0000-0000-0000FA0A0000}"/>
    <cellStyle name="Warning Text 11 4" xfId="2486" xr:uid="{00000000-0005-0000-0000-0000FB0A0000}"/>
    <cellStyle name="Warning Text 11 5" xfId="2487" xr:uid="{00000000-0005-0000-0000-0000FC0A0000}"/>
    <cellStyle name="Warning Text 11 6" xfId="2488" xr:uid="{00000000-0005-0000-0000-0000FD0A0000}"/>
    <cellStyle name="Warning Text 2" xfId="249" xr:uid="{00000000-0005-0000-0000-0000FE0A0000}"/>
    <cellStyle name="Warning Text 2 2" xfId="2489" xr:uid="{00000000-0005-0000-0000-0000FF0A0000}"/>
    <cellStyle name="Warning Text 2 3" xfId="2490" xr:uid="{00000000-0005-0000-0000-0000000B0000}"/>
    <cellStyle name="Warning Text 2 4" xfId="2491" xr:uid="{00000000-0005-0000-0000-0000010B0000}"/>
    <cellStyle name="Warning Text 2 5" xfId="2492" xr:uid="{00000000-0005-0000-0000-0000020B0000}"/>
    <cellStyle name="Warning Text 2 6" xfId="2493" xr:uid="{00000000-0005-0000-0000-0000030B0000}"/>
    <cellStyle name="Warning Text 2 7" xfId="5592" xr:uid="{4A69C1DC-0725-4778-9F76-FBFFD31719D0}"/>
    <cellStyle name="Warning Text 3" xfId="250" xr:uid="{00000000-0005-0000-0000-0000040B0000}"/>
    <cellStyle name="Warning Text 3 2" xfId="2494" xr:uid="{00000000-0005-0000-0000-0000050B0000}"/>
    <cellStyle name="Warning Text 3 3" xfId="2495" xr:uid="{00000000-0005-0000-0000-0000060B0000}"/>
    <cellStyle name="Warning Text 3 4" xfId="2496" xr:uid="{00000000-0005-0000-0000-0000070B0000}"/>
    <cellStyle name="Warning Text 3 5" xfId="2497" xr:uid="{00000000-0005-0000-0000-0000080B0000}"/>
    <cellStyle name="Warning Text 3 6" xfId="2498" xr:uid="{00000000-0005-0000-0000-0000090B0000}"/>
    <cellStyle name="Warning Text 3 7" xfId="5267" xr:uid="{67308EED-370D-47B8-B00F-ED0744719C11}"/>
    <cellStyle name="Warning Text 4" xfId="251" xr:uid="{00000000-0005-0000-0000-00000A0B0000}"/>
    <cellStyle name="Warning Text 4 2" xfId="2499" xr:uid="{00000000-0005-0000-0000-00000B0B0000}"/>
    <cellStyle name="Warning Text 4 3" xfId="2500" xr:uid="{00000000-0005-0000-0000-00000C0B0000}"/>
    <cellStyle name="Warning Text 4 4" xfId="2501" xr:uid="{00000000-0005-0000-0000-00000D0B0000}"/>
    <cellStyle name="Warning Text 4 5" xfId="2502" xr:uid="{00000000-0005-0000-0000-00000E0B0000}"/>
    <cellStyle name="Warning Text 4 6" xfId="2503" xr:uid="{00000000-0005-0000-0000-00000F0B0000}"/>
    <cellStyle name="Warning Text 5" xfId="252" xr:uid="{00000000-0005-0000-0000-0000100B0000}"/>
    <cellStyle name="Warning Text 5 2" xfId="2504" xr:uid="{00000000-0005-0000-0000-0000110B0000}"/>
    <cellStyle name="Warning Text 5 3" xfId="2505" xr:uid="{00000000-0005-0000-0000-0000120B0000}"/>
    <cellStyle name="Warning Text 5 4" xfId="2506" xr:uid="{00000000-0005-0000-0000-0000130B0000}"/>
    <cellStyle name="Warning Text 5 5" xfId="2507" xr:uid="{00000000-0005-0000-0000-0000140B0000}"/>
    <cellStyle name="Warning Text 5 6" xfId="2508" xr:uid="{00000000-0005-0000-0000-0000150B0000}"/>
    <cellStyle name="Warning Text 6" xfId="253" xr:uid="{00000000-0005-0000-0000-0000160B0000}"/>
    <cellStyle name="Warning Text 6 2" xfId="2509" xr:uid="{00000000-0005-0000-0000-0000170B0000}"/>
    <cellStyle name="Warning Text 6 3" xfId="2510" xr:uid="{00000000-0005-0000-0000-0000180B0000}"/>
    <cellStyle name="Warning Text 6 4" xfId="2511" xr:uid="{00000000-0005-0000-0000-0000190B0000}"/>
    <cellStyle name="Warning Text 6 5" xfId="2512" xr:uid="{00000000-0005-0000-0000-00001A0B0000}"/>
    <cellStyle name="Warning Text 6 6" xfId="2513" xr:uid="{00000000-0005-0000-0000-00001B0B0000}"/>
    <cellStyle name="Warning Text 7" xfId="254" xr:uid="{00000000-0005-0000-0000-00001C0B0000}"/>
    <cellStyle name="Warning Text 7 2" xfId="2514" xr:uid="{00000000-0005-0000-0000-00001D0B0000}"/>
    <cellStyle name="Warning Text 7 3" xfId="2515" xr:uid="{00000000-0005-0000-0000-00001E0B0000}"/>
    <cellStyle name="Warning Text 7 4" xfId="2516" xr:uid="{00000000-0005-0000-0000-00001F0B0000}"/>
    <cellStyle name="Warning Text 7 5" xfId="2517" xr:uid="{00000000-0005-0000-0000-0000200B0000}"/>
    <cellStyle name="Warning Text 7 6" xfId="2518" xr:uid="{00000000-0005-0000-0000-0000210B0000}"/>
    <cellStyle name="Warning Text 8 2" xfId="2519" xr:uid="{00000000-0005-0000-0000-0000220B0000}"/>
    <cellStyle name="Warning Text 8 3" xfId="2520" xr:uid="{00000000-0005-0000-0000-0000230B0000}"/>
    <cellStyle name="Warning Text 8 4" xfId="2521" xr:uid="{00000000-0005-0000-0000-0000240B0000}"/>
    <cellStyle name="Warning Text 8 5" xfId="2522" xr:uid="{00000000-0005-0000-0000-0000250B0000}"/>
    <cellStyle name="Warning Text 8 6" xfId="2523" xr:uid="{00000000-0005-0000-0000-0000260B0000}"/>
    <cellStyle name="Warning Text 9 2" xfId="2524" xr:uid="{00000000-0005-0000-0000-0000270B0000}"/>
    <cellStyle name="Warning Text 9 3" xfId="2525" xr:uid="{00000000-0005-0000-0000-0000280B0000}"/>
    <cellStyle name="Warning Text 9 4" xfId="2526" xr:uid="{00000000-0005-0000-0000-0000290B0000}"/>
    <cellStyle name="Warning Text 9 5" xfId="2527" xr:uid="{00000000-0005-0000-0000-00002A0B0000}"/>
    <cellStyle name="Warning Text 9 6" xfId="2528" xr:uid="{00000000-0005-0000-0000-00002B0B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3</xdr:row>
          <xdr:rowOff>123825</xdr:rowOff>
        </xdr:from>
        <xdr:to>
          <xdr:col>1</xdr:col>
          <xdr:colOff>1123950</xdr:colOff>
          <xdr:row>8</xdr:row>
          <xdr:rowOff>114300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3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142875</xdr:colOff>
      <xdr:row>0</xdr:row>
      <xdr:rowOff>104776</xdr:rowOff>
    </xdr:from>
    <xdr:to>
      <xdr:col>2</xdr:col>
      <xdr:colOff>304800</xdr:colOff>
      <xdr:row>4</xdr:row>
      <xdr:rowOff>57151</xdr:rowOff>
    </xdr:to>
    <xdr:pic>
      <xdr:nvPicPr>
        <xdr:cNvPr id="3" name="Picture 2" descr="district logo 4">
          <a:extLst>
            <a:ext uri="{FF2B5EF4-FFF2-40B4-BE49-F238E27FC236}">
              <a16:creationId xmlns:a16="http://schemas.microsoft.com/office/drawing/2014/main" id="{49C0FCAF-64BC-4BBA-985E-9A356AF0AA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425" y="104776"/>
          <a:ext cx="7715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019DTA/AFR19_Shared%20Services/06-016-0990-02_SS19%20Cicero%20SD%20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ared Outsourced Services 31"/>
    </sheetNames>
    <sheetDataSet>
      <sheetData sheetId="0">
        <row r="34">
          <cell r="K34">
            <v>55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20.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5.bin"/><Relationship Id="rId4" Type="http://schemas.openxmlformats.org/officeDocument/2006/relationships/hyperlink" Target="https://www.isbe.net/Pages/School-Nutrition-Programs-Food-Distribution.aspx"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1951</v>
      </c>
      <c r="B1" s="45"/>
      <c r="C1" s="45"/>
      <c r="D1" s="46"/>
      <c r="I1" s="2036" t="s">
        <v>405</v>
      </c>
      <c r="J1" s="2037"/>
      <c r="K1" s="2037"/>
      <c r="L1" s="2037"/>
      <c r="M1" s="2037"/>
      <c r="N1" s="2037"/>
      <c r="O1" s="2037"/>
      <c r="P1" s="2037"/>
      <c r="Q1" s="2037"/>
      <c r="R1" s="2037"/>
      <c r="S1" s="2037"/>
    </row>
    <row r="2" spans="1:28" ht="12" customHeight="1" x14ac:dyDescent="0.2">
      <c r="A2" s="47" t="s">
        <v>1952</v>
      </c>
      <c r="D2" s="48"/>
      <c r="I2" s="2038" t="s">
        <v>979</v>
      </c>
      <c r="J2" s="2037"/>
      <c r="K2" s="2037"/>
      <c r="L2" s="2037"/>
      <c r="M2" s="2037"/>
      <c r="N2" s="2037"/>
      <c r="O2" s="2037"/>
      <c r="P2" s="2037"/>
      <c r="Q2" s="2037"/>
      <c r="R2" s="2037"/>
      <c r="S2" s="2037"/>
    </row>
    <row r="3" spans="1:28" ht="12" customHeight="1" x14ac:dyDescent="0.2">
      <c r="A3" s="155" t="s">
        <v>1905</v>
      </c>
      <c r="B3" s="156"/>
      <c r="C3" s="156"/>
      <c r="D3" s="157"/>
      <c r="I3" s="2038" t="s">
        <v>52</v>
      </c>
      <c r="J3" s="2037"/>
      <c r="K3" s="2037"/>
      <c r="L3" s="2037"/>
      <c r="M3" s="2037"/>
      <c r="N3" s="2037"/>
      <c r="O3" s="2037"/>
      <c r="P3" s="2037"/>
      <c r="Q3" s="2037"/>
      <c r="R3" s="2037"/>
      <c r="S3" s="2037"/>
    </row>
    <row r="4" spans="1:28" ht="12" customHeight="1" x14ac:dyDescent="0.2">
      <c r="A4" s="37"/>
      <c r="I4" s="2038" t="s">
        <v>524</v>
      </c>
      <c r="J4" s="2037"/>
      <c r="K4" s="2037"/>
      <c r="L4" s="2037"/>
      <c r="M4" s="2037"/>
      <c r="N4" s="2037"/>
      <c r="O4" s="2037"/>
      <c r="P4" s="2037"/>
      <c r="Q4" s="2037"/>
      <c r="R4" s="2037"/>
      <c r="S4" s="2037"/>
    </row>
    <row r="5" spans="1:28" ht="14.1" customHeight="1" x14ac:dyDescent="0.2">
      <c r="B5" s="104" t="s">
        <v>2084</v>
      </c>
      <c r="C5" s="26" t="s">
        <v>910</v>
      </c>
      <c r="D5" s="84"/>
      <c r="E5" s="84"/>
      <c r="H5" s="38"/>
      <c r="I5" s="2046" t="s">
        <v>680</v>
      </c>
      <c r="J5" s="2045"/>
      <c r="K5" s="2045"/>
      <c r="L5" s="2045"/>
      <c r="M5" s="2045"/>
      <c r="N5" s="2045"/>
      <c r="O5" s="2045"/>
      <c r="P5" s="2045"/>
      <c r="Q5" s="2045"/>
      <c r="R5" s="2045"/>
      <c r="S5" s="2045"/>
    </row>
    <row r="6" spans="1:28" ht="14.1" customHeight="1" x14ac:dyDescent="0.2">
      <c r="B6" s="104"/>
      <c r="C6" s="26" t="s">
        <v>911</v>
      </c>
      <c r="D6" s="84"/>
      <c r="E6" s="84"/>
      <c r="I6" s="2044" t="s">
        <v>883</v>
      </c>
      <c r="J6" s="2045"/>
      <c r="K6" s="2045"/>
      <c r="L6" s="2045"/>
      <c r="M6" s="2045"/>
      <c r="N6" s="2045"/>
      <c r="O6" s="2045"/>
      <c r="P6" s="2045"/>
      <c r="Q6" s="2045"/>
      <c r="R6" s="2045"/>
      <c r="S6" s="2045"/>
    </row>
    <row r="7" spans="1:28" ht="12.2" customHeight="1" x14ac:dyDescent="0.2">
      <c r="I7" s="2039">
        <v>43646</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674</v>
      </c>
      <c r="J9" s="2042"/>
      <c r="K9" s="2042"/>
      <c r="L9" s="2042"/>
      <c r="M9" s="2042"/>
      <c r="N9" s="2042"/>
      <c r="O9" s="2042"/>
      <c r="P9" s="2042"/>
      <c r="Q9" s="2042"/>
      <c r="R9" s="2042"/>
      <c r="S9" s="2043"/>
      <c r="T9" s="2057" t="s">
        <v>533</v>
      </c>
      <c r="U9" s="2058"/>
      <c r="V9" s="2058"/>
      <c r="W9" s="2058"/>
      <c r="X9" s="2058"/>
      <c r="Y9" s="2058"/>
      <c r="Z9" s="2058"/>
      <c r="AA9" s="2059"/>
    </row>
    <row r="10" spans="1:28" ht="13.5" customHeight="1" x14ac:dyDescent="0.2">
      <c r="A10" s="2064" t="s">
        <v>675</v>
      </c>
      <c r="B10" s="2065"/>
      <c r="C10" s="2065"/>
      <c r="D10" s="2065"/>
      <c r="E10" s="2065"/>
      <c r="F10" s="2065"/>
      <c r="G10" s="2065"/>
      <c r="H10" s="2066"/>
      <c r="I10" s="29"/>
      <c r="J10" s="30"/>
      <c r="K10" s="28"/>
      <c r="R10" s="30"/>
      <c r="S10" s="30"/>
      <c r="T10" s="2060"/>
      <c r="U10" s="2045"/>
      <c r="V10" s="2045"/>
      <c r="W10" s="2045"/>
      <c r="X10" s="2045"/>
      <c r="Y10" s="2045"/>
      <c r="Z10" s="2045"/>
      <c r="AA10" s="2051"/>
    </row>
    <row r="11" spans="1:28" ht="14.25" customHeight="1" x14ac:dyDescent="0.2">
      <c r="A11" s="2067" t="s">
        <v>955</v>
      </c>
      <c r="B11" s="2068"/>
      <c r="C11" s="2068"/>
      <c r="D11" s="2068"/>
      <c r="E11" s="2068"/>
      <c r="F11" s="2068"/>
      <c r="G11" s="2068"/>
      <c r="H11" s="2069"/>
      <c r="I11" s="27"/>
      <c r="J11" s="74"/>
      <c r="K11" s="27"/>
      <c r="O11" s="148" t="s">
        <v>2084</v>
      </c>
      <c r="P11" s="100" t="s">
        <v>201</v>
      </c>
      <c r="Q11" s="30"/>
      <c r="R11" s="28"/>
      <c r="S11" s="27"/>
      <c r="T11" s="2061"/>
      <c r="U11" s="2062"/>
      <c r="V11" s="2062"/>
      <c r="W11" s="2062"/>
      <c r="X11" s="2062"/>
      <c r="Y11" s="2062"/>
      <c r="Z11" s="2062"/>
      <c r="AA11" s="206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71">
        <v>6016099002</v>
      </c>
      <c r="B13" s="2072"/>
      <c r="C13" s="2072"/>
      <c r="D13" s="2072"/>
      <c r="E13" s="2072"/>
      <c r="F13" s="2072"/>
      <c r="G13" s="2072"/>
      <c r="H13" s="2073"/>
      <c r="I13" s="31"/>
      <c r="J13" s="30"/>
      <c r="K13" s="28"/>
      <c r="L13" s="30"/>
      <c r="M13" s="30"/>
      <c r="N13" s="30"/>
      <c r="O13" s="30"/>
      <c r="P13" s="30"/>
      <c r="Q13" s="30"/>
      <c r="R13" s="30"/>
      <c r="S13" s="30"/>
      <c r="T13" s="2076" t="s">
        <v>2023</v>
      </c>
      <c r="U13" s="2077"/>
      <c r="V13" s="2077"/>
      <c r="W13" s="2077"/>
      <c r="X13" s="2077"/>
      <c r="Y13" s="2078"/>
      <c r="Z13" s="2078"/>
      <c r="AA13" s="207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70" t="s">
        <v>2083</v>
      </c>
      <c r="B15" s="2074"/>
      <c r="C15" s="2074"/>
      <c r="D15" s="2074"/>
      <c r="E15" s="2074"/>
      <c r="F15" s="2074"/>
      <c r="G15" s="2074"/>
      <c r="H15" s="2075"/>
      <c r="T15" s="2080" t="s">
        <v>2087</v>
      </c>
      <c r="U15" s="2024"/>
      <c r="V15" s="2024"/>
      <c r="W15" s="2024"/>
      <c r="X15" s="2024"/>
      <c r="Y15" s="2081"/>
      <c r="Z15" s="2081"/>
      <c r="AA15" s="208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30" t="s">
        <v>2248</v>
      </c>
      <c r="B17" s="2031"/>
      <c r="C17" s="2031"/>
      <c r="D17" s="2031"/>
      <c r="E17" s="2031"/>
      <c r="F17" s="2031"/>
      <c r="G17" s="2031"/>
      <c r="H17" s="2056"/>
      <c r="T17" s="2087" t="s">
        <v>2024</v>
      </c>
      <c r="U17" s="2088"/>
      <c r="V17" s="2088"/>
      <c r="W17" s="2088"/>
      <c r="X17" s="2088"/>
      <c r="Y17" s="2088"/>
      <c r="Z17" s="2088"/>
      <c r="AA17" s="2089"/>
    </row>
    <row r="18" spans="1:27" ht="13.5" customHeight="1" x14ac:dyDescent="0.2">
      <c r="A18" s="85" t="s">
        <v>530</v>
      </c>
      <c r="B18" s="76"/>
      <c r="C18" s="72"/>
      <c r="D18" s="76"/>
      <c r="E18" s="76"/>
      <c r="F18" s="76"/>
      <c r="G18" s="76"/>
      <c r="H18" s="56"/>
      <c r="I18" s="2055" t="s">
        <v>676</v>
      </c>
      <c r="J18" s="2006"/>
      <c r="K18" s="2006"/>
      <c r="L18" s="2006"/>
      <c r="M18" s="2006"/>
      <c r="N18" s="2006"/>
      <c r="O18" s="2006"/>
      <c r="P18" s="2006"/>
      <c r="Q18" s="2006"/>
      <c r="R18" s="2006"/>
      <c r="S18" s="2007"/>
      <c r="T18" s="85" t="s">
        <v>711</v>
      </c>
      <c r="U18" s="51"/>
      <c r="V18" s="72"/>
      <c r="W18" s="50"/>
      <c r="X18" s="85" t="s">
        <v>266</v>
      </c>
      <c r="Y18" s="81"/>
      <c r="Z18" s="159" t="s">
        <v>677</v>
      </c>
      <c r="AA18" s="46"/>
    </row>
    <row r="19" spans="1:27" ht="13.5" customHeight="1" x14ac:dyDescent="0.2">
      <c r="A19" s="2070" t="s">
        <v>2085</v>
      </c>
      <c r="B19" s="2016"/>
      <c r="C19" s="2016"/>
      <c r="D19" s="2016"/>
      <c r="E19" s="2016"/>
      <c r="F19" s="2016"/>
      <c r="G19" s="2016"/>
      <c r="H19" s="1996"/>
      <c r="I19" s="30"/>
      <c r="J19" s="99"/>
      <c r="K19" s="40"/>
      <c r="L19" s="38"/>
      <c r="M19" s="112" t="s">
        <v>315</v>
      </c>
      <c r="P19" s="27"/>
      <c r="Q19" s="27"/>
      <c r="R19" s="27"/>
      <c r="S19" s="31"/>
      <c r="T19" s="2070" t="s">
        <v>2025</v>
      </c>
      <c r="U19" s="1995"/>
      <c r="V19" s="1995"/>
      <c r="W19" s="1996"/>
      <c r="X19" s="2085" t="s">
        <v>2026</v>
      </c>
      <c r="Y19" s="2086"/>
      <c r="Z19" s="2083">
        <v>60050</v>
      </c>
      <c r="AA19" s="208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4" t="s">
        <v>2086</v>
      </c>
      <c r="B21" s="1995"/>
      <c r="C21" s="1995"/>
      <c r="D21" s="1995"/>
      <c r="E21" s="1995"/>
      <c r="F21" s="1995"/>
      <c r="G21" s="1995"/>
      <c r="H21" s="1996"/>
      <c r="I21" s="2050" t="s">
        <v>678</v>
      </c>
      <c r="J21" s="2045"/>
      <c r="K21" s="2045"/>
      <c r="L21" s="2045"/>
      <c r="M21" s="2045"/>
      <c r="N21" s="2045"/>
      <c r="O21" s="2045"/>
      <c r="P21" s="2045"/>
      <c r="Q21" s="2045"/>
      <c r="R21" s="2045"/>
      <c r="S21" s="2051"/>
      <c r="T21" s="2094" t="s">
        <v>2027</v>
      </c>
      <c r="U21" s="2095"/>
      <c r="V21" s="2095"/>
      <c r="W21" s="2095"/>
      <c r="X21" s="2100" t="s">
        <v>2028</v>
      </c>
      <c r="Y21" s="2101"/>
      <c r="Z21" s="2101"/>
      <c r="AA21" s="2102"/>
    </row>
    <row r="22" spans="1:27" ht="13.5" customHeight="1" x14ac:dyDescent="0.2">
      <c r="A22" s="87" t="s">
        <v>531</v>
      </c>
      <c r="B22" s="59"/>
      <c r="C22" s="59"/>
      <c r="D22" s="59"/>
      <c r="E22" s="59"/>
      <c r="F22" s="59"/>
      <c r="G22" s="59"/>
      <c r="H22" s="60"/>
      <c r="I22" s="2052" t="s">
        <v>1415</v>
      </c>
      <c r="J22" s="2053"/>
      <c r="K22" s="2053"/>
      <c r="L22" s="2053"/>
      <c r="M22" s="2053"/>
      <c r="N22" s="2053"/>
      <c r="O22" s="2053"/>
      <c r="P22" s="2053"/>
      <c r="Q22" s="2053"/>
      <c r="R22" s="2053"/>
      <c r="S22" s="2054"/>
      <c r="T22" s="85" t="s">
        <v>1502</v>
      </c>
      <c r="U22" s="51"/>
      <c r="V22" s="72"/>
      <c r="W22" s="51"/>
      <c r="X22" s="160" t="s">
        <v>1318</v>
      </c>
      <c r="Z22" s="45"/>
      <c r="AA22" s="46"/>
    </row>
    <row r="23" spans="1:27" ht="13.5" customHeight="1" x14ac:dyDescent="0.2">
      <c r="A23" s="2047"/>
      <c r="B23" s="2048"/>
      <c r="C23" s="2048"/>
      <c r="D23" s="2048"/>
      <c r="E23" s="2048"/>
      <c r="F23" s="2048"/>
      <c r="G23" s="2048"/>
      <c r="H23" s="2049"/>
      <c r="T23" s="2030" t="s">
        <v>2029</v>
      </c>
      <c r="U23" s="2093"/>
      <c r="V23" s="2093"/>
      <c r="W23" s="2093"/>
      <c r="X23" s="2097">
        <v>44530</v>
      </c>
      <c r="Y23" s="2098"/>
      <c r="Z23" s="2098"/>
      <c r="AA23" s="2099"/>
    </row>
    <row r="24" spans="1:27" ht="14.1" customHeight="1" x14ac:dyDescent="0.2">
      <c r="A24" s="88" t="s">
        <v>677</v>
      </c>
      <c r="B24" s="49"/>
      <c r="C24" s="49"/>
      <c r="D24" s="49"/>
      <c r="E24" s="49"/>
      <c r="F24" s="49"/>
      <c r="G24" s="49"/>
      <c r="H24" s="61"/>
      <c r="J24" s="2017">
        <f>IF(B5="x",IF(AUDITCHECK!D29="AFR form Incomplete.","",IF(AUDITCHECK!D29="Deficit reduction plan is required.","School District must complete a deficit reduction plan in the 2019-2020 Budget",)),"")</f>
        <v>0</v>
      </c>
      <c r="K24" s="2017"/>
      <c r="L24" s="2017"/>
      <c r="M24" s="2017"/>
      <c r="N24" s="2017"/>
      <c r="O24" s="2017"/>
      <c r="P24" s="2017"/>
      <c r="Q24" s="2017"/>
      <c r="R24" s="2017"/>
      <c r="S24" s="2018"/>
      <c r="T24" s="105" t="s">
        <v>531</v>
      </c>
      <c r="U24" s="106"/>
      <c r="V24" s="106"/>
      <c r="W24" s="106"/>
      <c r="X24" s="107"/>
      <c r="Y24" s="107"/>
      <c r="Z24" s="107"/>
      <c r="AA24" s="108"/>
    </row>
    <row r="25" spans="1:27" ht="14.1" customHeight="1" x14ac:dyDescent="0.2">
      <c r="A25" s="1994">
        <v>60804</v>
      </c>
      <c r="B25" s="1995"/>
      <c r="C25" s="1995"/>
      <c r="D25" s="1995"/>
      <c r="E25" s="1995"/>
      <c r="F25" s="1995"/>
      <c r="G25" s="1995"/>
      <c r="H25" s="1996"/>
      <c r="I25" s="113"/>
      <c r="J25" s="2019"/>
      <c r="K25" s="2019"/>
      <c r="L25" s="2019"/>
      <c r="M25" s="2019"/>
      <c r="N25" s="2019"/>
      <c r="O25" s="2019"/>
      <c r="P25" s="2019"/>
      <c r="Q25" s="2019"/>
      <c r="R25" s="2019"/>
      <c r="S25" s="2020"/>
      <c r="T25" s="2090" t="s">
        <v>2030</v>
      </c>
      <c r="U25" s="2091"/>
      <c r="V25" s="2091"/>
      <c r="W25" s="2091"/>
      <c r="X25" s="2091"/>
      <c r="Y25" s="2091"/>
      <c r="Z25" s="2091"/>
      <c r="AA25" s="209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05" t="s">
        <v>1497</v>
      </c>
      <c r="J27" s="2006"/>
      <c r="K27" s="2006"/>
      <c r="L27" s="2006"/>
      <c r="M27" s="2006"/>
      <c r="N27" s="2006"/>
      <c r="O27" s="2006"/>
      <c r="P27" s="2006"/>
      <c r="Q27" s="2006"/>
      <c r="R27" s="2006"/>
      <c r="S27" s="200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2084</v>
      </c>
      <c r="K29" s="28" t="s">
        <v>576</v>
      </c>
      <c r="L29" s="102"/>
      <c r="M29" s="40" t="s">
        <v>99</v>
      </c>
      <c r="N29" s="32" t="s">
        <v>1509</v>
      </c>
      <c r="O29" s="32"/>
      <c r="P29" s="32"/>
      <c r="Q29" s="32"/>
      <c r="R29" s="32"/>
      <c r="S29" s="123"/>
      <c r="T29" s="6"/>
      <c r="U29" s="6"/>
      <c r="V29" s="6"/>
      <c r="W29" s="6"/>
      <c r="X29" s="6"/>
      <c r="Y29" s="6"/>
      <c r="Z29" s="6"/>
      <c r="AA29" s="132"/>
    </row>
    <row r="30" spans="1:27" ht="13.5" customHeight="1" x14ac:dyDescent="0.2">
      <c r="A30" s="153"/>
      <c r="B30" s="136" t="s">
        <v>2084</v>
      </c>
      <c r="C30" s="124" t="s">
        <v>1164</v>
      </c>
      <c r="D30" s="28"/>
      <c r="E30" s="28"/>
      <c r="F30" s="140"/>
      <c r="G30" s="114"/>
      <c r="H30" s="114"/>
      <c r="I30" s="54"/>
      <c r="J30" s="148" t="s">
        <v>2084</v>
      </c>
      <c r="K30" s="28" t="s">
        <v>576</v>
      </c>
      <c r="L30" s="102"/>
      <c r="M30" s="40" t="s">
        <v>99</v>
      </c>
      <c r="N30" s="32" t="s">
        <v>1498</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2084</v>
      </c>
      <c r="K31" s="40" t="s">
        <v>885</v>
      </c>
      <c r="L31" s="148"/>
      <c r="M31" s="40" t="s">
        <v>99</v>
      </c>
      <c r="N31" s="32" t="s">
        <v>1569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16"/>
      <c r="Q35" s="1995"/>
      <c r="R35" s="199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30"/>
      <c r="B38" s="2031"/>
      <c r="C38" s="2031"/>
      <c r="D38" s="2031"/>
      <c r="E38" s="2031"/>
      <c r="F38" s="1995"/>
      <c r="G38" s="1995"/>
      <c r="H38" s="1996"/>
      <c r="I38" s="2023"/>
      <c r="J38" s="2024"/>
      <c r="K38" s="2024"/>
      <c r="L38" s="2024"/>
      <c r="M38" s="2024"/>
      <c r="N38" s="2024"/>
      <c r="O38" s="2024"/>
      <c r="P38" s="2025"/>
      <c r="Q38" s="2025"/>
      <c r="R38" s="2025"/>
      <c r="S38" s="2026"/>
      <c r="T38" s="2080"/>
      <c r="U38" s="2024"/>
      <c r="V38" s="2024"/>
      <c r="W38" s="2024"/>
      <c r="X38" s="2025"/>
      <c r="Y38" s="2025"/>
      <c r="Z38" s="2025"/>
      <c r="AA38" s="2026"/>
    </row>
    <row r="39" spans="1:27" ht="12" customHeight="1" x14ac:dyDescent="0.2">
      <c r="A39" s="2000" t="s">
        <v>531</v>
      </c>
      <c r="B39" s="2001"/>
      <c r="C39" s="72"/>
      <c r="D39" s="69"/>
      <c r="E39" s="69"/>
      <c r="F39" s="79"/>
      <c r="G39" s="69"/>
      <c r="H39" s="56"/>
      <c r="I39" s="2000" t="s">
        <v>531</v>
      </c>
      <c r="J39" s="2001"/>
      <c r="K39" s="2001"/>
      <c r="L39" s="2001"/>
      <c r="M39" s="2001"/>
      <c r="N39" s="67"/>
      <c r="O39" s="72"/>
      <c r="P39" s="72"/>
      <c r="Q39" s="78"/>
      <c r="R39" s="72"/>
      <c r="S39" s="56"/>
      <c r="T39" s="72" t="s">
        <v>531</v>
      </c>
      <c r="U39" s="51"/>
      <c r="V39" s="72"/>
      <c r="W39" s="50"/>
      <c r="X39" s="78"/>
      <c r="Y39" s="45"/>
      <c r="Z39" s="45"/>
      <c r="AA39" s="46"/>
    </row>
    <row r="40" spans="1:27" ht="13.5" customHeight="1" x14ac:dyDescent="0.2">
      <c r="A40" s="2008"/>
      <c r="B40" s="2009"/>
      <c r="C40" s="2010"/>
      <c r="D40" s="2010"/>
      <c r="E40" s="2010"/>
      <c r="F40" s="2011"/>
      <c r="G40" s="2011"/>
      <c r="H40" s="2012"/>
      <c r="I40" s="2033"/>
      <c r="J40" s="2034"/>
      <c r="K40" s="2034"/>
      <c r="L40" s="2034"/>
      <c r="M40" s="2034"/>
      <c r="N40" s="2034"/>
      <c r="O40" s="2034"/>
      <c r="P40" s="2034"/>
      <c r="Q40" s="2034"/>
      <c r="R40" s="2034"/>
      <c r="S40" s="2035"/>
      <c r="T40" s="2033"/>
      <c r="U40" s="2096"/>
      <c r="V40" s="2034"/>
      <c r="W40" s="2034"/>
      <c r="X40" s="2034"/>
      <c r="Y40" s="2034"/>
      <c r="Z40" s="2034"/>
      <c r="AA40" s="203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2"/>
      <c r="B42" s="2014"/>
      <c r="C42" s="2015"/>
      <c r="D42" s="2013"/>
      <c r="E42" s="2014"/>
      <c r="F42" s="2014"/>
      <c r="G42" s="2014"/>
      <c r="H42" s="2015"/>
      <c r="I42" s="1997"/>
      <c r="J42" s="1998"/>
      <c r="K42" s="1998"/>
      <c r="L42" s="1998"/>
      <c r="M42" s="1998"/>
      <c r="N42" s="1998"/>
      <c r="O42" s="1999"/>
      <c r="P42" s="2032"/>
      <c r="Q42" s="1998"/>
      <c r="R42" s="1998"/>
      <c r="S42" s="1999"/>
      <c r="T42" s="1997"/>
      <c r="U42" s="1998"/>
      <c r="V42" s="1998"/>
      <c r="W42" s="1999"/>
      <c r="X42" s="2032"/>
      <c r="Y42" s="1998"/>
      <c r="Z42" s="1998"/>
      <c r="AA42" s="199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27"/>
      <c r="B44" s="2028"/>
      <c r="C44" s="2028"/>
      <c r="D44" s="2028"/>
      <c r="E44" s="2028"/>
      <c r="F44" s="2028"/>
      <c r="G44" s="2028"/>
      <c r="H44" s="2029"/>
      <c r="I44" s="2002"/>
      <c r="J44" s="2003"/>
      <c r="K44" s="2003"/>
      <c r="L44" s="2003"/>
      <c r="M44" s="2003"/>
      <c r="N44" s="2003"/>
      <c r="O44" s="2003"/>
      <c r="P44" s="2003"/>
      <c r="Q44" s="2003"/>
      <c r="R44" s="2003"/>
      <c r="S44" s="2004"/>
      <c r="T44" s="2002"/>
      <c r="U44" s="2021"/>
      <c r="V44" s="2021"/>
      <c r="W44" s="2021"/>
      <c r="X44" s="2021"/>
      <c r="Y44" s="2021"/>
      <c r="Z44" s="2003"/>
      <c r="AA44" s="2004"/>
    </row>
    <row r="45" spans="1:27" ht="13.5" customHeight="1" x14ac:dyDescent="0.2">
      <c r="A45" s="41" t="s">
        <v>186</v>
      </c>
      <c r="Q45" s="41" t="s">
        <v>1405</v>
      </c>
      <c r="R45" s="41"/>
      <c r="S45" s="41"/>
      <c r="T45" s="147"/>
      <c r="U45" s="41"/>
      <c r="V45" s="41"/>
      <c r="W45" s="41"/>
      <c r="X45" s="41"/>
      <c r="Y45" s="41"/>
      <c r="Z45" s="41"/>
      <c r="AA45" s="41"/>
    </row>
    <row r="46" spans="1:27" ht="10.5" customHeight="1" x14ac:dyDescent="0.2">
      <c r="A46" s="42" t="s">
        <v>1904</v>
      </c>
      <c r="D46" s="41"/>
      <c r="E46" s="41"/>
      <c r="F46" s="41"/>
      <c r="G46" s="41"/>
      <c r="Q46" s="29" t="s">
        <v>1406</v>
      </c>
      <c r="R46" s="41"/>
      <c r="S46" s="41"/>
      <c r="T46" s="41"/>
      <c r="U46" s="41"/>
      <c r="V46" s="41"/>
      <c r="W46" s="41"/>
      <c r="X46" s="41"/>
      <c r="Y46" s="41"/>
      <c r="Z46" s="41"/>
      <c r="AA46" s="41"/>
    </row>
    <row r="47" spans="1:27" x14ac:dyDescent="0.2">
      <c r="A47" s="137"/>
      <c r="Q47" s="41" t="s">
        <v>1886</v>
      </c>
      <c r="R47" s="41"/>
      <c r="S47" s="41"/>
      <c r="T47" s="41"/>
      <c r="U47" s="41"/>
      <c r="V47" s="41"/>
      <c r="W47" s="41"/>
      <c r="X47" s="41"/>
      <c r="Y47" s="41"/>
      <c r="Z47" s="41"/>
      <c r="AA47" s="41"/>
    </row>
    <row r="48" spans="1:27" x14ac:dyDescent="0.2">
      <c r="Q48" s="41" t="s">
        <v>1887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20"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C12" sqref="C12"/>
    </sheetView>
  </sheetViews>
  <sheetFormatPr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23" t="s">
        <v>104</v>
      </c>
    </row>
    <row r="2" spans="1:6" ht="39.75" customHeight="1" x14ac:dyDescent="0.2">
      <c r="A2" s="2236" t="s">
        <v>1764</v>
      </c>
      <c r="B2" s="1501" t="s">
        <v>1911</v>
      </c>
      <c r="C2" s="687" t="s">
        <v>1912</v>
      </c>
      <c r="D2" s="687" t="s">
        <v>1913</v>
      </c>
      <c r="E2" s="687" t="s">
        <v>1914</v>
      </c>
      <c r="F2" s="687" t="s">
        <v>1915</v>
      </c>
    </row>
    <row r="3" spans="1:6" ht="12" customHeight="1" x14ac:dyDescent="0.2">
      <c r="A3" s="2237"/>
      <c r="B3" s="1498"/>
      <c r="C3" s="1499"/>
      <c r="D3" s="1500" t="s">
        <v>256</v>
      </c>
      <c r="E3" s="1499"/>
      <c r="F3" s="1500" t="s">
        <v>257</v>
      </c>
    </row>
    <row r="4" spans="1:6" ht="13.7" customHeight="1" x14ac:dyDescent="0.2">
      <c r="A4" s="688" t="s">
        <v>1155</v>
      </c>
      <c r="B4" s="1722">
        <f>'Revenues 9-14'!C5</f>
        <v>11241120</v>
      </c>
      <c r="C4" s="1497">
        <v>5739981</v>
      </c>
      <c r="D4" s="1725">
        <f>B4-C4</f>
        <v>5501139</v>
      </c>
      <c r="E4" s="1497">
        <v>12400716</v>
      </c>
      <c r="F4" s="1725">
        <f>E4-C4</f>
        <v>6660735</v>
      </c>
    </row>
    <row r="5" spans="1:6" ht="13.7" customHeight="1" x14ac:dyDescent="0.2">
      <c r="A5" s="688" t="s">
        <v>870</v>
      </c>
      <c r="B5" s="1723">
        <f>'Revenues 9-14'!D5</f>
        <v>2876300</v>
      </c>
      <c r="C5" s="565">
        <v>1468457</v>
      </c>
      <c r="D5" s="1726">
        <f t="shared" ref="D5:D18" si="0">B5-C5</f>
        <v>1407843</v>
      </c>
      <c r="E5" s="565">
        <v>3172470</v>
      </c>
      <c r="F5" s="1726">
        <f>E5-C5</f>
        <v>1704013</v>
      </c>
    </row>
    <row r="6" spans="1:6" ht="13.7" customHeight="1" x14ac:dyDescent="0.2">
      <c r="A6" s="688" t="s">
        <v>411</v>
      </c>
      <c r="B6" s="1723">
        <f>'Revenues 9-14'!E5</f>
        <v>5803508</v>
      </c>
      <c r="C6" s="565">
        <v>2929037</v>
      </c>
      <c r="D6" s="1726">
        <f t="shared" si="0"/>
        <v>2874471</v>
      </c>
      <c r="E6" s="565">
        <v>6327924</v>
      </c>
      <c r="F6" s="1726">
        <f t="shared" ref="F6:F18" si="1">E6-C6</f>
        <v>3398887</v>
      </c>
    </row>
    <row r="7" spans="1:6" ht="13.7" customHeight="1" x14ac:dyDescent="0.2">
      <c r="A7" s="688" t="s">
        <v>155</v>
      </c>
      <c r="B7" s="1723">
        <f>'Revenues 9-14'!F5</f>
        <v>873529</v>
      </c>
      <c r="C7" s="565">
        <v>446504</v>
      </c>
      <c r="D7" s="1726">
        <f t="shared" si="0"/>
        <v>427025</v>
      </c>
      <c r="E7" s="565">
        <v>964633</v>
      </c>
      <c r="F7" s="1726">
        <f t="shared" si="1"/>
        <v>518129</v>
      </c>
    </row>
    <row r="8" spans="1:6" ht="13.7" customHeight="1" x14ac:dyDescent="0.2">
      <c r="A8" s="688" t="s">
        <v>1179</v>
      </c>
      <c r="B8" s="1723">
        <f>'Revenues 9-14'!G5</f>
        <v>1441617</v>
      </c>
      <c r="C8" s="565">
        <v>735852</v>
      </c>
      <c r="D8" s="1726">
        <f t="shared" si="0"/>
        <v>705765</v>
      </c>
      <c r="E8" s="565">
        <v>1589743</v>
      </c>
      <c r="F8" s="1726">
        <f t="shared" si="1"/>
        <v>853891</v>
      </c>
    </row>
    <row r="9" spans="1:6" ht="13.7" customHeight="1" x14ac:dyDescent="0.2">
      <c r="A9" s="688" t="s">
        <v>408</v>
      </c>
      <c r="B9" s="1723">
        <f>'Revenues 9-14'!H5</f>
        <v>0</v>
      </c>
      <c r="C9" s="565">
        <v>0</v>
      </c>
      <c r="D9" s="1726">
        <f t="shared" si="0"/>
        <v>0</v>
      </c>
      <c r="E9" s="565">
        <v>0</v>
      </c>
      <c r="F9" s="1726">
        <f t="shared" si="1"/>
        <v>0</v>
      </c>
    </row>
    <row r="10" spans="1:6" ht="13.7" customHeight="1" x14ac:dyDescent="0.2">
      <c r="A10" s="688" t="s">
        <v>407</v>
      </c>
      <c r="B10" s="1723">
        <f>'Revenues 9-14'!I5</f>
        <v>463</v>
      </c>
      <c r="C10" s="565">
        <v>237</v>
      </c>
      <c r="D10" s="1726">
        <f t="shared" si="0"/>
        <v>226</v>
      </c>
      <c r="E10" s="565">
        <v>511</v>
      </c>
      <c r="F10" s="1726">
        <f t="shared" si="1"/>
        <v>274</v>
      </c>
    </row>
    <row r="11" spans="1:6" x14ac:dyDescent="0.2">
      <c r="A11" s="688" t="s">
        <v>409</v>
      </c>
      <c r="B11" s="1723">
        <f>'Revenues 9-14'!J5</f>
        <v>1523335</v>
      </c>
      <c r="C11" s="565">
        <v>777534</v>
      </c>
      <c r="D11" s="1726">
        <f t="shared" si="0"/>
        <v>745801</v>
      </c>
      <c r="E11" s="565">
        <v>1679792</v>
      </c>
      <c r="F11" s="1726">
        <f t="shared" si="1"/>
        <v>902258</v>
      </c>
    </row>
    <row r="12" spans="1:6" ht="13.7" customHeight="1" x14ac:dyDescent="0.2">
      <c r="A12" s="688" t="s">
        <v>157</v>
      </c>
      <c r="B12" s="1723">
        <f>'Revenues 9-14'!K5</f>
        <v>48327</v>
      </c>
      <c r="C12" s="565">
        <v>24889</v>
      </c>
      <c r="D12" s="1726">
        <f t="shared" si="0"/>
        <v>23438</v>
      </c>
      <c r="E12" s="565">
        <v>53771</v>
      </c>
      <c r="F12" s="1726">
        <f t="shared" si="1"/>
        <v>28882</v>
      </c>
    </row>
    <row r="13" spans="1:6" ht="13.7" customHeight="1" x14ac:dyDescent="0.2">
      <c r="A13" s="688" t="s">
        <v>936</v>
      </c>
      <c r="B13" s="1723">
        <f>SUM('Revenues 9-14'!C6:D6)</f>
        <v>22948</v>
      </c>
      <c r="C13" s="565">
        <v>11582</v>
      </c>
      <c r="D13" s="1726">
        <f t="shared" si="0"/>
        <v>11366</v>
      </c>
      <c r="E13" s="565">
        <v>25022</v>
      </c>
      <c r="F13" s="1726">
        <f t="shared" si="1"/>
        <v>13440</v>
      </c>
    </row>
    <row r="14" spans="1:6" ht="13.7" customHeight="1" x14ac:dyDescent="0.2">
      <c r="A14" s="688" t="s">
        <v>410</v>
      </c>
      <c r="B14" s="1723">
        <f>SUM('Revenues 9-14'!C7:D7,'Revenues 9-14'!F7:H7)</f>
        <v>23661</v>
      </c>
      <c r="C14" s="565">
        <v>12042</v>
      </c>
      <c r="D14" s="1726">
        <f t="shared" si="0"/>
        <v>11619</v>
      </c>
      <c r="E14" s="565">
        <v>26015</v>
      </c>
      <c r="F14" s="1726">
        <f t="shared" si="1"/>
        <v>13973</v>
      </c>
    </row>
    <row r="15" spans="1:6" ht="13.7" customHeight="1" x14ac:dyDescent="0.2">
      <c r="A15" s="688" t="s">
        <v>1158</v>
      </c>
      <c r="B15" s="1723">
        <f>SUM('Revenues 9-14'!D9:E9,'Revenues 9-14'!H9)</f>
        <v>0</v>
      </c>
      <c r="C15" s="565">
        <v>0</v>
      </c>
      <c r="D15" s="1726">
        <f t="shared" si="0"/>
        <v>0</v>
      </c>
      <c r="E15" s="565">
        <v>0</v>
      </c>
      <c r="F15" s="1726">
        <f t="shared" si="1"/>
        <v>0</v>
      </c>
    </row>
    <row r="16" spans="1:6" ht="13.7" customHeight="1" x14ac:dyDescent="0.2">
      <c r="A16" s="688" t="s">
        <v>1159</v>
      </c>
      <c r="B16" s="1723">
        <f>'Revenues 9-14'!G8</f>
        <v>1394614</v>
      </c>
      <c r="C16" s="565">
        <v>711774</v>
      </c>
      <c r="D16" s="1726">
        <f t="shared" si="0"/>
        <v>682840</v>
      </c>
      <c r="E16" s="565">
        <v>1537725</v>
      </c>
      <c r="F16" s="1726">
        <f t="shared" si="1"/>
        <v>825951</v>
      </c>
    </row>
    <row r="17" spans="1:6" ht="13.7" customHeight="1" x14ac:dyDescent="0.2">
      <c r="A17" s="688" t="s">
        <v>1160</v>
      </c>
      <c r="B17" s="1723">
        <f>'Revenues 9-14'!C10</f>
        <v>0</v>
      </c>
      <c r="C17" s="565">
        <v>0</v>
      </c>
      <c r="D17" s="1726">
        <f t="shared" si="0"/>
        <v>0</v>
      </c>
      <c r="E17" s="565">
        <v>0</v>
      </c>
      <c r="F17" s="1726">
        <f t="shared" si="1"/>
        <v>0</v>
      </c>
    </row>
    <row r="18" spans="1:6" ht="13.7" customHeight="1" x14ac:dyDescent="0.2">
      <c r="A18" s="688" t="s">
        <v>762</v>
      </c>
      <c r="B18" s="1723">
        <f>SUM('Revenues 9-14'!C11:K11)</f>
        <v>0</v>
      </c>
      <c r="C18" s="565">
        <v>0</v>
      </c>
      <c r="D18" s="1726">
        <f t="shared" si="0"/>
        <v>0</v>
      </c>
      <c r="E18" s="565">
        <v>0</v>
      </c>
      <c r="F18" s="1726">
        <f t="shared" si="1"/>
        <v>0</v>
      </c>
    </row>
    <row r="19" spans="1:6" ht="13.7" customHeight="1" thickBot="1" x14ac:dyDescent="0.25">
      <c r="A19" s="1727" t="s">
        <v>1161</v>
      </c>
      <c r="B19" s="1724">
        <f>SUM(B4:B18)</f>
        <v>25249422</v>
      </c>
      <c r="C19" s="1724">
        <f>SUM(C4:C18)</f>
        <v>12857889</v>
      </c>
      <c r="D19" s="1724">
        <f>SUM(D4:D18)</f>
        <v>12391533</v>
      </c>
      <c r="E19" s="1724">
        <f>SUM(E4:E18)</f>
        <v>27778322</v>
      </c>
      <c r="F19" s="1724">
        <f>SUM(F4:F18)</f>
        <v>14920433</v>
      </c>
    </row>
    <row r="20" spans="1:6" ht="13.5" thickTop="1" x14ac:dyDescent="0.2">
      <c r="B20" s="686"/>
      <c r="F20" s="689"/>
    </row>
    <row r="21" spans="1:6" x14ac:dyDescent="0.2">
      <c r="A21" s="690" t="s">
        <v>1770</v>
      </c>
      <c r="B21" s="691"/>
      <c r="F21" s="689"/>
    </row>
    <row r="22" spans="1:6" x14ac:dyDescent="0.2">
      <c r="A22" s="692" t="s">
        <v>628</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20"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9" colorId="8" zoomScale="110" zoomScaleNormal="110" workbookViewId="0">
      <selection activeCell="J33" sqref="J33"/>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8" t="s">
        <v>629</v>
      </c>
      <c r="B1" s="2256"/>
      <c r="C1" s="694"/>
    </row>
    <row r="2" spans="1:7" ht="33.75" x14ac:dyDescent="0.2">
      <c r="A2" s="2263" t="s">
        <v>1764</v>
      </c>
      <c r="B2" s="2264"/>
      <c r="C2" s="1824" t="s">
        <v>1916</v>
      </c>
      <c r="D2" s="696" t="s">
        <v>1917</v>
      </c>
      <c r="E2" s="696" t="s">
        <v>1918</v>
      </c>
      <c r="F2" s="1824" t="s">
        <v>1919</v>
      </c>
    </row>
    <row r="3" spans="1:7" ht="15.75" customHeight="1" x14ac:dyDescent="0.2">
      <c r="A3" s="2265" t="s">
        <v>1114</v>
      </c>
      <c r="B3" s="2266"/>
      <c r="C3" s="2259"/>
      <c r="D3" s="2260"/>
      <c r="E3" s="2260"/>
      <c r="F3" s="2261"/>
    </row>
    <row r="4" spans="1:7" ht="12.75" customHeight="1" thickBot="1" x14ac:dyDescent="0.25">
      <c r="A4" s="2253" t="s">
        <v>630</v>
      </c>
      <c r="B4" s="2254"/>
      <c r="C4" s="562"/>
      <c r="D4" s="562"/>
      <c r="E4" s="562"/>
      <c r="F4" s="1728">
        <f>SUM(C4+D4)-E4</f>
        <v>0</v>
      </c>
    </row>
    <row r="5" spans="1:7" ht="15.75" customHeight="1" thickTop="1" x14ac:dyDescent="0.2">
      <c r="A5" s="2257" t="s">
        <v>1110</v>
      </c>
      <c r="B5" s="2252"/>
      <c r="C5" s="2246"/>
      <c r="D5" s="2247"/>
      <c r="E5" s="2247"/>
      <c r="F5" s="2248"/>
    </row>
    <row r="6" spans="1:7" ht="12.75" customHeight="1" thickBot="1" x14ac:dyDescent="0.25">
      <c r="A6" s="697" t="s">
        <v>64</v>
      </c>
      <c r="B6" s="698"/>
      <c r="C6" s="699"/>
      <c r="D6" s="565"/>
      <c r="E6" s="699"/>
      <c r="F6" s="1728">
        <f t="shared" ref="F6:F14" si="0">SUM(C6+D6)-E6</f>
        <v>0</v>
      </c>
    </row>
    <row r="7" spans="1:7" ht="12.75" customHeight="1" thickTop="1" thickBot="1" x14ac:dyDescent="0.25">
      <c r="A7" s="697" t="s">
        <v>6</v>
      </c>
      <c r="B7" s="698"/>
      <c r="C7" s="699"/>
      <c r="D7" s="565"/>
      <c r="E7" s="699"/>
      <c r="F7" s="1728">
        <f t="shared" si="0"/>
        <v>0</v>
      </c>
    </row>
    <row r="8" spans="1:7" ht="12.75" customHeight="1" thickTop="1" thickBot="1" x14ac:dyDescent="0.25">
      <c r="A8" s="697" t="s">
        <v>508</v>
      </c>
      <c r="B8" s="698"/>
      <c r="C8" s="699"/>
      <c r="D8" s="565"/>
      <c r="E8" s="699"/>
      <c r="F8" s="1728">
        <f t="shared" si="0"/>
        <v>0</v>
      </c>
    </row>
    <row r="9" spans="1:7" ht="12.75" customHeight="1" thickTop="1" thickBot="1" x14ac:dyDescent="0.25">
      <c r="A9" s="697" t="s">
        <v>509</v>
      </c>
      <c r="B9" s="698"/>
      <c r="C9" s="699"/>
      <c r="D9" s="565"/>
      <c r="E9" s="699"/>
      <c r="F9" s="1728">
        <f t="shared" si="0"/>
        <v>0</v>
      </c>
    </row>
    <row r="10" spans="1:7" ht="12.75" customHeight="1" thickTop="1" thickBot="1" x14ac:dyDescent="0.25">
      <c r="A10" s="697" t="s">
        <v>510</v>
      </c>
      <c r="B10" s="698"/>
      <c r="C10" s="699"/>
      <c r="D10" s="565"/>
      <c r="E10" s="699"/>
      <c r="F10" s="1728">
        <f t="shared" si="0"/>
        <v>0</v>
      </c>
    </row>
    <row r="11" spans="1:7" ht="12.75" customHeight="1" thickTop="1" thickBot="1" x14ac:dyDescent="0.25">
      <c r="A11" s="697" t="s">
        <v>341</v>
      </c>
      <c r="B11" s="698"/>
      <c r="C11" s="699"/>
      <c r="D11" s="565"/>
      <c r="E11" s="699"/>
      <c r="F11" s="1728">
        <f t="shared" si="0"/>
        <v>0</v>
      </c>
    </row>
    <row r="12" spans="1:7" ht="12.75" customHeight="1" thickTop="1" thickBot="1" x14ac:dyDescent="0.25">
      <c r="A12" s="697" t="s">
        <v>1157</v>
      </c>
      <c r="B12" s="698"/>
      <c r="C12" s="699"/>
      <c r="D12" s="565"/>
      <c r="E12" s="699"/>
      <c r="F12" s="1728">
        <f t="shared" si="0"/>
        <v>0</v>
      </c>
    </row>
    <row r="13" spans="1:7" ht="12.75" customHeight="1" thickTop="1" thickBot="1" x14ac:dyDescent="0.25">
      <c r="A13" s="697" t="s">
        <v>388</v>
      </c>
      <c r="B13" s="698"/>
      <c r="C13" s="699"/>
      <c r="D13" s="565"/>
      <c r="E13" s="699"/>
      <c r="F13" s="1728">
        <f t="shared" si="0"/>
        <v>0</v>
      </c>
    </row>
    <row r="14" spans="1:7" ht="12.75" customHeight="1" thickTop="1" thickBot="1" x14ac:dyDescent="0.25">
      <c r="A14" s="697" t="s">
        <v>448</v>
      </c>
      <c r="B14" s="698"/>
      <c r="C14" s="699"/>
      <c r="D14" s="565"/>
      <c r="E14" s="699"/>
      <c r="F14" s="1728">
        <f t="shared" si="0"/>
        <v>0</v>
      </c>
    </row>
    <row r="15" spans="1:7" ht="14.25" thickTop="1" thickBot="1" x14ac:dyDescent="0.25">
      <c r="A15" s="2249" t="s">
        <v>631</v>
      </c>
      <c r="B15" s="2250"/>
      <c r="C15" s="1728">
        <f>SUM(C6:C14)</f>
        <v>0</v>
      </c>
      <c r="D15" s="1728">
        <f>SUM(D6:D14)</f>
        <v>0</v>
      </c>
      <c r="E15" s="1728">
        <f>SUM(E6:E14)</f>
        <v>0</v>
      </c>
      <c r="F15" s="1728">
        <f>SUM(F6:F14)</f>
        <v>0</v>
      </c>
      <c r="G15" s="540"/>
    </row>
    <row r="16" spans="1:7" s="202" customFormat="1" ht="15.75" customHeight="1" thickTop="1" x14ac:dyDescent="0.2">
      <c r="A16" s="2262" t="s">
        <v>1111</v>
      </c>
      <c r="B16" s="2252"/>
      <c r="C16" s="2246"/>
      <c r="D16" s="2247"/>
      <c r="E16" s="2247"/>
      <c r="F16" s="2248"/>
    </row>
    <row r="17" spans="1:11" ht="12.75" customHeight="1" thickBot="1" x14ac:dyDescent="0.25">
      <c r="A17" s="2244" t="s">
        <v>64</v>
      </c>
      <c r="B17" s="2245"/>
      <c r="C17" s="699"/>
      <c r="D17" s="565"/>
      <c r="E17" s="699"/>
      <c r="F17" s="1728">
        <f>SUM(C17+D17)-E17</f>
        <v>0</v>
      </c>
    </row>
    <row r="18" spans="1:11" ht="12.75" customHeight="1" thickTop="1" thickBot="1" x14ac:dyDescent="0.25">
      <c r="A18" s="2244" t="s">
        <v>6</v>
      </c>
      <c r="B18" s="2245"/>
      <c r="C18" s="699"/>
      <c r="D18" s="565"/>
      <c r="E18" s="699"/>
      <c r="F18" s="1728">
        <f>SUM(C18+D18)-E18</f>
        <v>0</v>
      </c>
    </row>
    <row r="19" spans="1:11" ht="12.75" customHeight="1" thickTop="1" thickBot="1" x14ac:dyDescent="0.25">
      <c r="A19" s="2244" t="s">
        <v>388</v>
      </c>
      <c r="B19" s="2245"/>
      <c r="C19" s="699"/>
      <c r="D19" s="565"/>
      <c r="E19" s="699"/>
      <c r="F19" s="1728">
        <f>SUM(C19+D19)-E19</f>
        <v>0</v>
      </c>
    </row>
    <row r="20" spans="1:11" ht="12.75" customHeight="1" thickTop="1" thickBot="1" x14ac:dyDescent="0.25">
      <c r="A20" s="2244" t="s">
        <v>448</v>
      </c>
      <c r="B20" s="2245"/>
      <c r="C20" s="699"/>
      <c r="D20" s="565"/>
      <c r="E20" s="699"/>
      <c r="F20" s="1728">
        <f>SUM(C20+D20)-E20</f>
        <v>0</v>
      </c>
    </row>
    <row r="21" spans="1:11" ht="14.25" thickTop="1" thickBot="1" x14ac:dyDescent="0.25">
      <c r="A21" s="2249" t="s">
        <v>632</v>
      </c>
      <c r="B21" s="2250"/>
      <c r="C21" s="1728">
        <f>SUM(C17:C20)</f>
        <v>0</v>
      </c>
      <c r="D21" s="1728">
        <f>SUM(D17:D20)</f>
        <v>0</v>
      </c>
      <c r="E21" s="1728">
        <f>SUM(E17:E20)</f>
        <v>0</v>
      </c>
      <c r="F21" s="1728">
        <f>SUM(F17:F20)</f>
        <v>0</v>
      </c>
      <c r="G21" s="540"/>
    </row>
    <row r="22" spans="1:11" ht="15.75" customHeight="1" thickTop="1" x14ac:dyDescent="0.2">
      <c r="A22" s="2251" t="s">
        <v>1112</v>
      </c>
      <c r="B22" s="2252"/>
      <c r="C22" s="2246"/>
      <c r="D22" s="2247"/>
      <c r="E22" s="2247"/>
      <c r="F22" s="2248"/>
    </row>
    <row r="23" spans="1:11" ht="13.5" thickBot="1" x14ac:dyDescent="0.25">
      <c r="A23" s="2253" t="s">
        <v>633</v>
      </c>
      <c r="B23" s="2254"/>
      <c r="C23" s="562"/>
      <c r="D23" s="562"/>
      <c r="E23" s="562"/>
      <c r="F23" s="1728">
        <f>SUM(C23+D23)-E23</f>
        <v>0</v>
      </c>
      <c r="G23" s="540"/>
    </row>
    <row r="24" spans="1:11" ht="15.75" customHeight="1" thickTop="1" x14ac:dyDescent="0.2">
      <c r="A24" s="2251" t="s">
        <v>1113</v>
      </c>
      <c r="B24" s="2252"/>
      <c r="C24" s="2246"/>
      <c r="D24" s="2247"/>
      <c r="E24" s="2247"/>
      <c r="F24" s="2248"/>
    </row>
    <row r="25" spans="1:11" ht="13.5" thickBot="1" x14ac:dyDescent="0.25">
      <c r="A25" s="2253" t="s">
        <v>634</v>
      </c>
      <c r="B25" s="2254"/>
      <c r="C25" s="562"/>
      <c r="D25" s="562"/>
      <c r="E25" s="562"/>
      <c r="F25" s="1728">
        <f>SUM(C25+D25)-E25</f>
        <v>0</v>
      </c>
      <c r="G25" s="540"/>
    </row>
    <row r="26" spans="1:11" ht="15.75" customHeight="1" thickTop="1" x14ac:dyDescent="0.2">
      <c r="A26" s="2257" t="s">
        <v>657</v>
      </c>
      <c r="B26" s="2252"/>
      <c r="C26" s="700"/>
      <c r="D26" s="700"/>
      <c r="E26" s="700"/>
      <c r="F26" s="701"/>
    </row>
    <row r="27" spans="1:11" ht="13.5" thickBot="1" x14ac:dyDescent="0.25">
      <c r="A27" s="2249" t="s">
        <v>1070</v>
      </c>
      <c r="B27" s="2250"/>
      <c r="C27" s="565"/>
      <c r="D27" s="565"/>
      <c r="E27" s="565"/>
      <c r="F27" s="1728">
        <f>SUM(C27+D27)-E27</f>
        <v>0</v>
      </c>
      <c r="G27" s="540"/>
    </row>
    <row r="28" spans="1:11" ht="7.5" customHeight="1" thickTop="1" x14ac:dyDescent="0.2">
      <c r="A28" s="570"/>
    </row>
    <row r="29" spans="1:11" ht="23.25" customHeight="1" x14ac:dyDescent="0.2">
      <c r="A29" s="2255" t="s">
        <v>582</v>
      </c>
      <c r="B29" s="2256"/>
      <c r="C29" s="702"/>
      <c r="D29" s="702"/>
      <c r="E29" s="702"/>
      <c r="F29" s="702"/>
      <c r="G29" s="702"/>
      <c r="H29" s="702"/>
      <c r="I29" s="702"/>
      <c r="J29" s="702"/>
    </row>
    <row r="30" spans="1:11" ht="33.75" x14ac:dyDescent="0.2">
      <c r="A30" s="1502" t="s">
        <v>1071</v>
      </c>
      <c r="B30" s="703" t="s">
        <v>1124</v>
      </c>
      <c r="C30" s="1825" t="s">
        <v>583</v>
      </c>
      <c r="D30" s="1825" t="s">
        <v>1642</v>
      </c>
      <c r="E30" s="1825" t="s">
        <v>1920</v>
      </c>
      <c r="F30" s="1825" t="s">
        <v>1921</v>
      </c>
      <c r="G30" s="1825" t="s">
        <v>1872</v>
      </c>
      <c r="H30" s="1825" t="s">
        <v>1922</v>
      </c>
      <c r="I30" s="1825" t="s">
        <v>1923</v>
      </c>
      <c r="J30" s="1826" t="s">
        <v>2</v>
      </c>
      <c r="K30" s="704"/>
    </row>
    <row r="31" spans="1:11" ht="12" customHeight="1" x14ac:dyDescent="0.2">
      <c r="A31" s="1971" t="s">
        <v>2123</v>
      </c>
      <c r="B31" s="1972">
        <v>39973</v>
      </c>
      <c r="C31" s="1973">
        <v>4930000</v>
      </c>
      <c r="D31" s="1974">
        <v>6</v>
      </c>
      <c r="E31" s="1973">
        <v>2540000</v>
      </c>
      <c r="F31" s="1973"/>
      <c r="G31" s="1973"/>
      <c r="H31" s="1973">
        <v>2540000</v>
      </c>
      <c r="I31" s="1729">
        <f>((E31+F31)-H31)+G31</f>
        <v>0</v>
      </c>
      <c r="J31" s="707"/>
      <c r="K31" s="709"/>
    </row>
    <row r="32" spans="1:11" ht="12" customHeight="1" x14ac:dyDescent="0.2">
      <c r="A32" s="1971" t="s">
        <v>2124</v>
      </c>
      <c r="B32" s="1972">
        <v>40085</v>
      </c>
      <c r="C32" s="1973">
        <v>22450000</v>
      </c>
      <c r="D32" s="1974">
        <v>6</v>
      </c>
      <c r="E32" s="1973">
        <v>22205000</v>
      </c>
      <c r="F32" s="1973"/>
      <c r="G32" s="1973"/>
      <c r="H32" s="1973">
        <v>175000</v>
      </c>
      <c r="I32" s="1729">
        <f>((E32+F32)-H32)+G32</f>
        <v>22030000</v>
      </c>
      <c r="J32" s="707">
        <v>18035132</v>
      </c>
      <c r="K32" s="709"/>
    </row>
    <row r="33" spans="1:11" ht="12" customHeight="1" x14ac:dyDescent="0.2">
      <c r="A33" s="1971" t="s">
        <v>2125</v>
      </c>
      <c r="B33" s="1972">
        <v>42733</v>
      </c>
      <c r="C33" s="1973">
        <v>28445000</v>
      </c>
      <c r="D33" s="1974">
        <v>3</v>
      </c>
      <c r="E33" s="1973">
        <v>26560000</v>
      </c>
      <c r="F33" s="1973"/>
      <c r="G33" s="1973"/>
      <c r="H33" s="1973">
        <v>2220000</v>
      </c>
      <c r="I33" s="1729">
        <f t="shared" ref="I33:I48" si="1">((E33+F33)-H33)+G33</f>
        <v>24340000</v>
      </c>
      <c r="J33" s="707">
        <v>24340000</v>
      </c>
      <c r="K33" s="709"/>
    </row>
    <row r="34" spans="1:11" ht="12" customHeight="1" x14ac:dyDescent="0.2">
      <c r="A34" s="1976" t="s">
        <v>2126</v>
      </c>
      <c r="B34" s="1977">
        <v>43101</v>
      </c>
      <c r="C34" s="1975">
        <v>1097836</v>
      </c>
      <c r="D34" s="1978">
        <v>7</v>
      </c>
      <c r="E34" s="1975">
        <v>1019122</v>
      </c>
      <c r="F34" s="1975"/>
      <c r="G34" s="1975"/>
      <c r="H34" s="1975">
        <v>261505</v>
      </c>
      <c r="I34" s="1729">
        <f>((E34+F34)-H34)+G34</f>
        <v>757617</v>
      </c>
      <c r="J34" s="707">
        <v>757617</v>
      </c>
      <c r="K34" s="710"/>
    </row>
    <row r="35" spans="1:11" ht="12" customHeight="1" x14ac:dyDescent="0.2">
      <c r="A35" s="705"/>
      <c r="B35" s="706"/>
      <c r="C35" s="711"/>
      <c r="D35" s="708"/>
      <c r="E35" s="711"/>
      <c r="F35" s="711"/>
      <c r="G35" s="711"/>
      <c r="H35" s="711"/>
      <c r="I35" s="1729">
        <f t="shared" si="1"/>
        <v>0</v>
      </c>
      <c r="J35" s="711"/>
      <c r="K35" s="710"/>
    </row>
    <row r="36" spans="1:11" ht="12" customHeight="1" x14ac:dyDescent="0.2">
      <c r="A36" s="1976"/>
      <c r="B36" s="1977"/>
      <c r="C36" s="1975"/>
      <c r="D36" s="1978"/>
      <c r="E36" s="1975"/>
      <c r="F36" s="1975"/>
      <c r="G36" s="1975"/>
      <c r="H36" s="1975"/>
      <c r="I36" s="1729">
        <f>((E36+F36)-H36)+G36</f>
        <v>0</v>
      </c>
      <c r="J36" s="707"/>
      <c r="K36" s="712"/>
    </row>
    <row r="37" spans="1:11" ht="12" customHeight="1" x14ac:dyDescent="0.2">
      <c r="A37" s="705"/>
      <c r="B37" s="706"/>
      <c r="C37" s="466"/>
      <c r="D37" s="713"/>
      <c r="E37" s="466"/>
      <c r="F37" s="466"/>
      <c r="G37" s="466"/>
      <c r="H37" s="466"/>
      <c r="I37" s="1729">
        <f t="shared" si="1"/>
        <v>0</v>
      </c>
      <c r="J37" s="466"/>
      <c r="K37" s="710"/>
    </row>
    <row r="38" spans="1:11" ht="12" customHeight="1" x14ac:dyDescent="0.2">
      <c r="A38" s="705"/>
      <c r="B38" s="706"/>
      <c r="C38" s="707"/>
      <c r="D38" s="714"/>
      <c r="E38" s="715"/>
      <c r="F38" s="715"/>
      <c r="G38" s="715"/>
      <c r="H38" s="715"/>
      <c r="I38" s="1729">
        <f t="shared" si="1"/>
        <v>0</v>
      </c>
      <c r="J38" s="716" t="s">
        <v>264</v>
      </c>
      <c r="K38" s="717"/>
    </row>
    <row r="39" spans="1:11" ht="12" customHeight="1" x14ac:dyDescent="0.2">
      <c r="A39" s="705"/>
      <c r="B39" s="706"/>
      <c r="C39" s="707"/>
      <c r="D39" s="714"/>
      <c r="E39" s="715"/>
      <c r="F39" s="715"/>
      <c r="G39" s="715"/>
      <c r="H39" s="715"/>
      <c r="I39" s="1729">
        <f t="shared" si="1"/>
        <v>0</v>
      </c>
      <c r="J39" s="716"/>
      <c r="K39" s="717"/>
    </row>
    <row r="40" spans="1:11" ht="12" customHeight="1" x14ac:dyDescent="0.2">
      <c r="A40" s="705"/>
      <c r="B40" s="706"/>
      <c r="C40" s="707"/>
      <c r="D40" s="714"/>
      <c r="E40" s="715"/>
      <c r="F40" s="715"/>
      <c r="G40" s="715"/>
      <c r="H40" s="715"/>
      <c r="I40" s="1729">
        <f t="shared" si="1"/>
        <v>0</v>
      </c>
      <c r="J40" s="716"/>
      <c r="K40" s="717"/>
    </row>
    <row r="41" spans="1:11" ht="12" customHeight="1" x14ac:dyDescent="0.2">
      <c r="A41" s="705"/>
      <c r="B41" s="706"/>
      <c r="C41" s="707"/>
      <c r="D41" s="714"/>
      <c r="E41" s="715"/>
      <c r="F41" s="715"/>
      <c r="G41" s="715"/>
      <c r="H41" s="715"/>
      <c r="I41" s="1729">
        <f t="shared" si="1"/>
        <v>0</v>
      </c>
      <c r="J41" s="716"/>
      <c r="K41" s="717"/>
    </row>
    <row r="42" spans="1:11" ht="12" customHeight="1" x14ac:dyDescent="0.2">
      <c r="A42" s="705"/>
      <c r="B42" s="706"/>
      <c r="C42" s="707"/>
      <c r="D42" s="714"/>
      <c r="E42" s="715"/>
      <c r="F42" s="715"/>
      <c r="G42" s="715"/>
      <c r="H42" s="715"/>
      <c r="I42" s="1729">
        <f t="shared" si="1"/>
        <v>0</v>
      </c>
      <c r="J42" s="716"/>
      <c r="K42" s="717"/>
    </row>
    <row r="43" spans="1:11" ht="12" customHeight="1" x14ac:dyDescent="0.2">
      <c r="A43" s="705"/>
      <c r="B43" s="706"/>
      <c r="C43" s="707"/>
      <c r="D43" s="714"/>
      <c r="E43" s="715"/>
      <c r="F43" s="715"/>
      <c r="G43" s="715"/>
      <c r="H43" s="715"/>
      <c r="I43" s="1729">
        <f t="shared" si="1"/>
        <v>0</v>
      </c>
      <c r="J43" s="716"/>
      <c r="K43" s="717"/>
    </row>
    <row r="44" spans="1:11" ht="12" customHeight="1" x14ac:dyDescent="0.2">
      <c r="A44" s="705"/>
      <c r="B44" s="706"/>
      <c r="C44" s="707"/>
      <c r="D44" s="708"/>
      <c r="E44" s="707"/>
      <c r="F44" s="707"/>
      <c r="G44" s="707"/>
      <c r="H44" s="707"/>
      <c r="I44" s="1729">
        <f t="shared" si="1"/>
        <v>0</v>
      </c>
      <c r="J44" s="707"/>
      <c r="K44" s="710"/>
    </row>
    <row r="45" spans="1:11" ht="12" customHeight="1" x14ac:dyDescent="0.2">
      <c r="A45" s="705"/>
      <c r="B45" s="706"/>
      <c r="C45" s="707"/>
      <c r="D45" s="708"/>
      <c r="E45" s="707"/>
      <c r="F45" s="707"/>
      <c r="G45" s="707"/>
      <c r="H45" s="707"/>
      <c r="I45" s="1729">
        <f t="shared" si="1"/>
        <v>0</v>
      </c>
      <c r="J45" s="707"/>
      <c r="K45" s="710"/>
    </row>
    <row r="46" spans="1:11" ht="12" customHeight="1" x14ac:dyDescent="0.2">
      <c r="A46" s="705"/>
      <c r="B46" s="706"/>
      <c r="C46" s="707"/>
      <c r="D46" s="708"/>
      <c r="E46" s="707"/>
      <c r="F46" s="707"/>
      <c r="G46" s="707"/>
      <c r="H46" s="707"/>
      <c r="I46" s="1729">
        <f t="shared" si="1"/>
        <v>0</v>
      </c>
      <c r="J46" s="707"/>
      <c r="K46" s="710"/>
    </row>
    <row r="47" spans="1:11" ht="12" customHeight="1" x14ac:dyDescent="0.2">
      <c r="A47" s="705"/>
      <c r="B47" s="706"/>
      <c r="C47" s="711"/>
      <c r="D47" s="708"/>
      <c r="E47" s="711"/>
      <c r="F47" s="711"/>
      <c r="G47" s="711"/>
      <c r="H47" s="711"/>
      <c r="I47" s="1729">
        <f t="shared" si="1"/>
        <v>0</v>
      </c>
      <c r="J47" s="711"/>
      <c r="K47" s="710"/>
    </row>
    <row r="48" spans="1:11" ht="12" customHeight="1" x14ac:dyDescent="0.2">
      <c r="A48" s="705"/>
      <c r="B48" s="706"/>
      <c r="C48" s="707"/>
      <c r="D48" s="708"/>
      <c r="E48" s="707"/>
      <c r="F48" s="707"/>
      <c r="G48" s="707"/>
      <c r="H48" s="707"/>
      <c r="I48" s="1729">
        <f t="shared" si="1"/>
        <v>0</v>
      </c>
      <c r="J48" s="707"/>
      <c r="K48" s="710"/>
    </row>
    <row r="49" spans="1:11" ht="12" customHeight="1" x14ac:dyDescent="0.2">
      <c r="A49" s="705"/>
      <c r="B49" s="706"/>
      <c r="C49" s="1729">
        <f>SUM(C31:C48)</f>
        <v>56922836</v>
      </c>
      <c r="D49" s="718"/>
      <c r="E49" s="1729">
        <f t="shared" ref="E49:J49" si="2">SUM(E31:E48)</f>
        <v>52324122</v>
      </c>
      <c r="F49" s="1729">
        <f t="shared" si="2"/>
        <v>0</v>
      </c>
      <c r="G49" s="1729">
        <f t="shared" si="2"/>
        <v>0</v>
      </c>
      <c r="H49" s="1729">
        <f t="shared" si="2"/>
        <v>5196505</v>
      </c>
      <c r="I49" s="1729">
        <f t="shared" si="2"/>
        <v>47127617</v>
      </c>
      <c r="J49" s="1729">
        <f t="shared" si="2"/>
        <v>43132749</v>
      </c>
      <c r="K49" s="710"/>
    </row>
    <row r="50" spans="1:11" ht="6" customHeight="1" x14ac:dyDescent="0.2">
      <c r="A50" s="719"/>
      <c r="B50" s="709"/>
      <c r="C50" s="709"/>
      <c r="D50" s="709"/>
      <c r="E50" s="709"/>
      <c r="F50" s="709"/>
      <c r="G50" s="709"/>
      <c r="H50" s="709"/>
      <c r="I50" s="709"/>
      <c r="J50" s="719"/>
    </row>
    <row r="51" spans="1:11" x14ac:dyDescent="0.2">
      <c r="A51" s="720" t="s">
        <v>1769</v>
      </c>
      <c r="B51" s="719"/>
      <c r="C51" s="710"/>
      <c r="D51" s="710"/>
      <c r="E51" s="710"/>
      <c r="F51" s="710"/>
      <c r="G51" s="710"/>
      <c r="H51" s="709"/>
      <c r="I51" s="709"/>
      <c r="J51" s="719"/>
    </row>
    <row r="52" spans="1:11" ht="11.25" customHeight="1" x14ac:dyDescent="0.2">
      <c r="A52" s="721" t="s">
        <v>912</v>
      </c>
      <c r="B52" s="2238" t="s">
        <v>584</v>
      </c>
      <c r="C52" s="2239"/>
      <c r="D52" s="2239"/>
      <c r="E52" s="722" t="s">
        <v>845</v>
      </c>
      <c r="F52" s="2240" t="s">
        <v>2122</v>
      </c>
      <c r="G52" s="2241"/>
      <c r="H52" s="709"/>
      <c r="I52" s="709"/>
      <c r="J52" s="719"/>
    </row>
    <row r="53" spans="1:11" ht="11.25" customHeight="1" x14ac:dyDescent="0.2">
      <c r="A53" s="723" t="s">
        <v>913</v>
      </c>
      <c r="B53" s="724" t="s">
        <v>951</v>
      </c>
      <c r="C53" s="719"/>
      <c r="D53" s="710"/>
      <c r="E53" s="722" t="s">
        <v>497</v>
      </c>
      <c r="F53" s="2242"/>
      <c r="G53" s="2243"/>
      <c r="H53" s="709"/>
      <c r="I53" s="709"/>
      <c r="J53" s="719"/>
    </row>
    <row r="54" spans="1:11" ht="11.25" customHeight="1" x14ac:dyDescent="0.2">
      <c r="A54" s="725" t="s">
        <v>914</v>
      </c>
      <c r="B54" s="720" t="s">
        <v>952</v>
      </c>
      <c r="C54" s="719"/>
      <c r="D54" s="710"/>
      <c r="E54" s="722" t="s">
        <v>498</v>
      </c>
      <c r="F54" s="2242"/>
      <c r="G54" s="2243"/>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20"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7" t="s">
        <v>856</v>
      </c>
      <c r="B1" s="2268"/>
      <c r="C1" s="2268"/>
      <c r="D1" s="2268"/>
      <c r="E1" s="2268"/>
      <c r="F1" s="2268"/>
      <c r="G1" s="2269"/>
      <c r="H1" s="1503"/>
      <c r="I1" s="733"/>
      <c r="J1" s="433"/>
    </row>
    <row r="2" spans="1:11" ht="26.25" x14ac:dyDescent="0.2">
      <c r="A2" s="2286" t="s">
        <v>1646</v>
      </c>
      <c r="B2" s="2287"/>
      <c r="C2" s="2287"/>
      <c r="D2" s="2287"/>
      <c r="E2" s="2288"/>
      <c r="F2" s="734" t="s">
        <v>904</v>
      </c>
      <c r="G2" s="735" t="s">
        <v>1643</v>
      </c>
      <c r="H2" s="735" t="s">
        <v>410</v>
      </c>
      <c r="I2" s="735" t="s">
        <v>1158</v>
      </c>
      <c r="J2" s="735" t="s">
        <v>1774</v>
      </c>
      <c r="K2" s="735" t="s">
        <v>138</v>
      </c>
    </row>
    <row r="3" spans="1:11" x14ac:dyDescent="0.2">
      <c r="A3" s="2289" t="s">
        <v>1924</v>
      </c>
      <c r="B3" s="2290"/>
      <c r="C3" s="2290"/>
      <c r="D3" s="2290"/>
      <c r="E3" s="2291"/>
      <c r="F3" s="736"/>
      <c r="G3" s="737"/>
      <c r="H3" s="737">
        <v>0</v>
      </c>
      <c r="I3" s="737"/>
      <c r="J3" s="738"/>
      <c r="K3" s="738"/>
    </row>
    <row r="4" spans="1:11" x14ac:dyDescent="0.2">
      <c r="A4" s="2292" t="s">
        <v>369</v>
      </c>
      <c r="B4" s="2293"/>
      <c r="C4" s="2293"/>
      <c r="D4" s="2293"/>
      <c r="E4" s="2239"/>
      <c r="F4" s="739"/>
      <c r="G4" s="740"/>
      <c r="H4" s="741"/>
      <c r="I4" s="740"/>
      <c r="J4" s="742"/>
      <c r="K4" s="742"/>
    </row>
    <row r="5" spans="1:11" x14ac:dyDescent="0.2">
      <c r="A5" s="2270" t="s">
        <v>1069</v>
      </c>
      <c r="B5" s="2271"/>
      <c r="C5" s="2271"/>
      <c r="D5" s="2271"/>
      <c r="E5" s="2272"/>
      <c r="F5" s="743" t="s">
        <v>848</v>
      </c>
      <c r="G5" s="744"/>
      <c r="H5" s="737">
        <v>23661</v>
      </c>
      <c r="I5" s="745"/>
      <c r="J5" s="746"/>
      <c r="K5" s="746"/>
    </row>
    <row r="6" spans="1:11" x14ac:dyDescent="0.2">
      <c r="A6" s="747" t="s">
        <v>720</v>
      </c>
      <c r="B6" s="748"/>
      <c r="C6" s="748"/>
      <c r="D6" s="748"/>
      <c r="E6" s="749"/>
      <c r="F6" s="750" t="s">
        <v>849</v>
      </c>
      <c r="G6" s="737"/>
      <c r="H6" s="737"/>
      <c r="I6" s="737"/>
      <c r="J6" s="738"/>
      <c r="K6" s="738"/>
    </row>
    <row r="7" spans="1:11" x14ac:dyDescent="0.2">
      <c r="A7" s="751" t="s">
        <v>246</v>
      </c>
      <c r="B7" s="752"/>
      <c r="C7" s="752"/>
      <c r="D7" s="752"/>
      <c r="E7" s="753"/>
      <c r="F7" s="743" t="s">
        <v>850</v>
      </c>
      <c r="G7" s="740"/>
      <c r="H7" s="740"/>
      <c r="I7" s="740"/>
      <c r="J7" s="754"/>
      <c r="K7" s="738"/>
    </row>
    <row r="8" spans="1:11" x14ac:dyDescent="0.2">
      <c r="A8" s="751" t="s">
        <v>345</v>
      </c>
      <c r="B8" s="752"/>
      <c r="C8" s="752"/>
      <c r="D8" s="752"/>
      <c r="E8" s="753"/>
      <c r="F8" s="743" t="s">
        <v>851</v>
      </c>
      <c r="G8" s="755"/>
      <c r="H8" s="755"/>
      <c r="I8" s="755"/>
      <c r="J8" s="738"/>
      <c r="K8" s="742"/>
    </row>
    <row r="9" spans="1:11" x14ac:dyDescent="0.2">
      <c r="A9" s="751" t="s">
        <v>138</v>
      </c>
      <c r="B9" s="752"/>
      <c r="C9" s="752"/>
      <c r="D9" s="752"/>
      <c r="E9" s="753"/>
      <c r="F9" s="750" t="s">
        <v>853</v>
      </c>
      <c r="G9" s="755"/>
      <c r="H9" s="744"/>
      <c r="I9" s="744"/>
      <c r="J9" s="754"/>
      <c r="K9" s="738"/>
    </row>
    <row r="10" spans="1:11" x14ac:dyDescent="0.2">
      <c r="A10" s="2270" t="s">
        <v>1775</v>
      </c>
      <c r="B10" s="2271"/>
      <c r="C10" s="2271"/>
      <c r="D10" s="2271"/>
      <c r="E10" s="2273"/>
      <c r="F10" s="756" t="s">
        <v>862</v>
      </c>
      <c r="G10" s="755"/>
      <c r="H10" s="757"/>
      <c r="I10" s="737"/>
      <c r="J10" s="738"/>
      <c r="K10" s="738"/>
    </row>
    <row r="11" spans="1:11" x14ac:dyDescent="0.2">
      <c r="A11" s="2270" t="s">
        <v>160</v>
      </c>
      <c r="B11" s="2271"/>
      <c r="C11" s="2271"/>
      <c r="D11" s="2271"/>
      <c r="E11" s="2272"/>
      <c r="F11" s="743" t="s">
        <v>852</v>
      </c>
      <c r="G11" s="744"/>
      <c r="H11" s="737"/>
      <c r="I11" s="737"/>
      <c r="J11" s="738"/>
      <c r="K11" s="746"/>
    </row>
    <row r="12" spans="1:11" ht="13.5" thickBot="1" x14ac:dyDescent="0.25">
      <c r="A12" s="2297" t="s">
        <v>905</v>
      </c>
      <c r="B12" s="2298"/>
      <c r="C12" s="2298"/>
      <c r="D12" s="2298"/>
      <c r="E12" s="2299"/>
      <c r="F12" s="1730"/>
      <c r="G12" s="1731">
        <f>SUM(G5:G11)</f>
        <v>0</v>
      </c>
      <c r="H12" s="1731">
        <f>SUM(H5:H11)</f>
        <v>23661</v>
      </c>
      <c r="I12" s="1731">
        <f>SUM(I5:I11)</f>
        <v>0</v>
      </c>
      <c r="J12" s="1731">
        <f>SUM(J5:J11)</f>
        <v>0</v>
      </c>
      <c r="K12" s="1731">
        <f>SUM(K5:K11)</f>
        <v>0</v>
      </c>
    </row>
    <row r="13" spans="1:11" ht="13.5" thickTop="1" x14ac:dyDescent="0.2">
      <c r="A13" s="2294" t="s">
        <v>370</v>
      </c>
      <c r="B13" s="2295"/>
      <c r="C13" s="2295"/>
      <c r="D13" s="2295"/>
      <c r="E13" s="2296"/>
      <c r="F13" s="758"/>
      <c r="G13" s="759"/>
      <c r="H13" s="760"/>
      <c r="I13" s="761"/>
      <c r="J13" s="761"/>
      <c r="K13" s="761"/>
    </row>
    <row r="14" spans="1:11" x14ac:dyDescent="0.2">
      <c r="A14" s="2277" t="s">
        <v>456</v>
      </c>
      <c r="B14" s="2277"/>
      <c r="C14" s="2277"/>
      <c r="D14" s="2277"/>
      <c r="E14" s="2278"/>
      <c r="F14" s="762" t="s">
        <v>854</v>
      </c>
      <c r="G14" s="755"/>
      <c r="H14" s="737">
        <v>23661</v>
      </c>
      <c r="I14" s="744"/>
      <c r="J14" s="746"/>
      <c r="K14" s="738"/>
    </row>
    <row r="15" spans="1:11" x14ac:dyDescent="0.2">
      <c r="A15" s="2271" t="s">
        <v>4</v>
      </c>
      <c r="B15" s="2271"/>
      <c r="C15" s="2271"/>
      <c r="D15" s="2271"/>
      <c r="E15" s="2272"/>
      <c r="F15" s="762" t="s">
        <v>855</v>
      </c>
      <c r="G15" s="744"/>
      <c r="H15" s="737"/>
      <c r="I15" s="737"/>
      <c r="J15" s="738"/>
      <c r="K15" s="738"/>
    </row>
    <row r="16" spans="1:11" x14ac:dyDescent="0.2">
      <c r="A16" s="2271" t="s">
        <v>298</v>
      </c>
      <c r="B16" s="2271"/>
      <c r="C16" s="2271"/>
      <c r="D16" s="2271"/>
      <c r="E16" s="2272"/>
      <c r="F16" s="762" t="s">
        <v>923</v>
      </c>
      <c r="G16" s="745"/>
      <c r="H16" s="740"/>
      <c r="I16" s="740"/>
      <c r="J16" s="742"/>
      <c r="K16" s="742"/>
    </row>
    <row r="17" spans="1:11" x14ac:dyDescent="0.2">
      <c r="A17" s="2302" t="s">
        <v>935</v>
      </c>
      <c r="B17" s="2302"/>
      <c r="C17" s="2302"/>
      <c r="D17" s="2302"/>
      <c r="E17" s="2303"/>
      <c r="F17" s="763"/>
      <c r="G17" s="764"/>
      <c r="H17" s="765"/>
      <c r="I17" s="765"/>
      <c r="J17" s="766"/>
      <c r="K17" s="767"/>
    </row>
    <row r="18" spans="1:11" x14ac:dyDescent="0.2">
      <c r="A18" s="2281" t="s">
        <v>368</v>
      </c>
      <c r="B18" s="2282"/>
      <c r="C18" s="2282"/>
      <c r="D18" s="2282"/>
      <c r="E18" s="2283"/>
      <c r="F18" s="762" t="s">
        <v>932</v>
      </c>
      <c r="G18" s="755"/>
      <c r="H18" s="755"/>
      <c r="I18" s="755"/>
      <c r="J18" s="738"/>
      <c r="K18" s="768"/>
    </row>
    <row r="19" spans="1:11" ht="21.75" customHeight="1" x14ac:dyDescent="0.2">
      <c r="A19" s="2279" t="s">
        <v>1771</v>
      </c>
      <c r="B19" s="2279"/>
      <c r="C19" s="2279"/>
      <c r="D19" s="2279"/>
      <c r="E19" s="2280"/>
      <c r="F19" s="762" t="s">
        <v>933</v>
      </c>
      <c r="G19" s="755"/>
      <c r="H19" s="755"/>
      <c r="I19" s="755"/>
      <c r="J19" s="738"/>
      <c r="K19" s="768"/>
    </row>
    <row r="20" spans="1:11" x14ac:dyDescent="0.2">
      <c r="A20" s="2281" t="s">
        <v>1776</v>
      </c>
      <c r="B20" s="2282"/>
      <c r="C20" s="2282"/>
      <c r="D20" s="2282"/>
      <c r="E20" s="2283"/>
      <c r="F20" s="762" t="s">
        <v>934</v>
      </c>
      <c r="G20" s="755"/>
      <c r="H20" s="755"/>
      <c r="I20" s="755"/>
      <c r="J20" s="738"/>
      <c r="K20" s="768"/>
    </row>
    <row r="21" spans="1:11" ht="13.5" thickBot="1" x14ac:dyDescent="0.25">
      <c r="A21" s="2300" t="s">
        <v>638</v>
      </c>
      <c r="B21" s="2300"/>
      <c r="C21" s="2300"/>
      <c r="D21" s="2300"/>
      <c r="E21" s="2300"/>
      <c r="F21" s="1732"/>
      <c r="G21" s="765"/>
      <c r="H21" s="769"/>
      <c r="I21" s="769"/>
      <c r="J21" s="1733">
        <f>SUM(J18:J20)</f>
        <v>0</v>
      </c>
      <c r="K21" s="766"/>
    </row>
    <row r="22" spans="1:11" ht="13.5" thickTop="1" x14ac:dyDescent="0.2">
      <c r="A22" s="2271" t="s">
        <v>1777</v>
      </c>
      <c r="B22" s="2271"/>
      <c r="C22" s="2271"/>
      <c r="D22" s="2271"/>
      <c r="E22" s="2272"/>
      <c r="F22" s="762" t="s">
        <v>862</v>
      </c>
      <c r="G22" s="755"/>
      <c r="H22" s="737"/>
      <c r="I22" s="737"/>
      <c r="J22" s="770"/>
      <c r="K22" s="738"/>
    </row>
    <row r="23" spans="1:11" ht="13.5" thickBot="1" x14ac:dyDescent="0.25">
      <c r="A23" s="2301" t="s">
        <v>906</v>
      </c>
      <c r="B23" s="2300"/>
      <c r="C23" s="2300"/>
      <c r="D23" s="2300"/>
      <c r="E23" s="2300"/>
      <c r="F23" s="1734"/>
      <c r="G23" s="1731">
        <f>SUM(G14:G16,G21,G22)</f>
        <v>0</v>
      </c>
      <c r="H23" s="1731">
        <f>SUM(H14:H16,H21,H22)</f>
        <v>23661</v>
      </c>
      <c r="I23" s="1731">
        <f>SUM(I14:I16,I21,I22)</f>
        <v>0</v>
      </c>
      <c r="J23" s="1731">
        <f>SUM(J14:J16,J21,J22)</f>
        <v>0</v>
      </c>
      <c r="K23" s="1731">
        <f>SUM(K14:K16,K21,K22)</f>
        <v>0</v>
      </c>
    </row>
    <row r="24" spans="1:11" ht="14.25" thickTop="1" thickBot="1" x14ac:dyDescent="0.25">
      <c r="A24" s="2301" t="s">
        <v>1925</v>
      </c>
      <c r="B24" s="2300"/>
      <c r="C24" s="2300"/>
      <c r="D24" s="2300"/>
      <c r="E24" s="2300"/>
      <c r="F24" s="1735"/>
      <c r="G24" s="1736">
        <f>SUM(G3,G12)-G23</f>
        <v>0</v>
      </c>
      <c r="H24" s="1736">
        <f>SUM(H3,H12)-H23</f>
        <v>0</v>
      </c>
      <c r="I24" s="1736">
        <f>SUM(I3,I12)-I23</f>
        <v>0</v>
      </c>
      <c r="J24" s="1736">
        <f>SUM(J3,J12)-J23</f>
        <v>0</v>
      </c>
      <c r="K24" s="1736">
        <f>SUM(K3,K12)-K23</f>
        <v>0</v>
      </c>
    </row>
    <row r="25" spans="1:11" ht="13.5" thickTop="1" x14ac:dyDescent="0.2">
      <c r="A25" s="771" t="s">
        <v>420</v>
      </c>
      <c r="B25" s="772"/>
      <c r="C25" s="772"/>
      <c r="D25" s="772"/>
      <c r="E25" s="773"/>
      <c r="F25" s="774">
        <v>714</v>
      </c>
      <c r="G25" s="775"/>
      <c r="H25" s="775"/>
      <c r="I25" s="775"/>
      <c r="J25" s="770"/>
      <c r="K25" s="770"/>
    </row>
    <row r="26" spans="1:11" ht="13.5" thickBot="1" x14ac:dyDescent="0.25">
      <c r="A26" s="771" t="s">
        <v>342</v>
      </c>
      <c r="B26" s="772"/>
      <c r="C26" s="772"/>
      <c r="D26" s="772"/>
      <c r="E26" s="773"/>
      <c r="F26" s="774">
        <v>730</v>
      </c>
      <c r="G26" s="1731">
        <f>G24-G25</f>
        <v>0</v>
      </c>
      <c r="H26" s="1731">
        <f>H24-H25</f>
        <v>0</v>
      </c>
      <c r="I26" s="1731">
        <f>I24-I25</f>
        <v>0</v>
      </c>
      <c r="J26" s="1731">
        <f>J24-J25</f>
        <v>0</v>
      </c>
      <c r="K26" s="1731">
        <f>K24-K25</f>
        <v>0</v>
      </c>
    </row>
    <row r="27" spans="1:11" ht="5.25" customHeight="1" thickTop="1" x14ac:dyDescent="0.2">
      <c r="I27" s="202"/>
      <c r="J27" s="202"/>
    </row>
    <row r="28" spans="1:11" ht="29.25" customHeight="1" x14ac:dyDescent="0.2">
      <c r="A28" s="1820" t="s">
        <v>1871</v>
      </c>
      <c r="B28" s="1821"/>
      <c r="C28" s="1821"/>
      <c r="D28" s="1821"/>
      <c r="E28" s="1822"/>
      <c r="F28" s="776"/>
      <c r="G28" s="777"/>
    </row>
    <row r="29" spans="1:11" x14ac:dyDescent="0.2">
      <c r="B29" s="494"/>
      <c r="C29" s="494"/>
      <c r="D29" s="494"/>
      <c r="F29" s="202"/>
      <c r="G29" s="778"/>
    </row>
    <row r="30" spans="1:11" x14ac:dyDescent="0.2">
      <c r="A30" s="779" t="s">
        <v>572</v>
      </c>
      <c r="B30" s="780"/>
      <c r="C30" s="779" t="s">
        <v>383</v>
      </c>
      <c r="D30" s="780"/>
      <c r="E30" s="781" t="s">
        <v>768</v>
      </c>
      <c r="F30" s="202"/>
      <c r="G30" s="778"/>
    </row>
    <row r="31" spans="1:11" x14ac:dyDescent="0.2">
      <c r="A31" s="782"/>
      <c r="D31" s="237"/>
      <c r="E31" s="783" t="s">
        <v>769</v>
      </c>
      <c r="F31" s="784" t="s">
        <v>539</v>
      </c>
      <c r="G31" s="737"/>
      <c r="H31" s="2274"/>
      <c r="I31" s="2275"/>
      <c r="J31" s="2275"/>
      <c r="K31" s="2275"/>
    </row>
    <row r="32" spans="1:11" x14ac:dyDescent="0.2">
      <c r="A32" s="782"/>
      <c r="B32" s="237"/>
      <c r="C32" s="237"/>
      <c r="D32" s="237"/>
      <c r="E32" s="778"/>
      <c r="F32" s="784" t="s">
        <v>540</v>
      </c>
      <c r="G32" s="737"/>
      <c r="H32" s="2276"/>
      <c r="I32" s="2275"/>
      <c r="J32" s="2275"/>
      <c r="K32" s="2275"/>
    </row>
    <row r="33" spans="1:11" ht="1.5" customHeight="1" x14ac:dyDescent="0.2">
      <c r="A33" s="785" t="s">
        <v>1169</v>
      </c>
      <c r="B33" s="364"/>
      <c r="C33" s="364"/>
      <c r="D33" s="364"/>
      <c r="E33" s="364"/>
      <c r="F33" s="364"/>
      <c r="G33" s="786"/>
      <c r="H33" s="2276"/>
      <c r="I33" s="2275"/>
      <c r="J33" s="2275"/>
      <c r="K33" s="2275"/>
    </row>
    <row r="34" spans="1:11" x14ac:dyDescent="0.2">
      <c r="A34" s="787" t="s">
        <v>1778</v>
      </c>
      <c r="B34" s="364"/>
      <c r="C34" s="364"/>
      <c r="D34" s="364"/>
      <c r="E34" s="364"/>
      <c r="F34" s="364"/>
      <c r="G34" s="786"/>
    </row>
    <row r="35" spans="1:11" ht="15" x14ac:dyDescent="0.2">
      <c r="A35" s="798" t="s">
        <v>907</v>
      </c>
      <c r="B35" s="788"/>
      <c r="C35" s="788"/>
      <c r="D35" s="788"/>
      <c r="E35" s="788"/>
      <c r="F35" s="788"/>
      <c r="G35" s="789"/>
      <c r="H35" s="790"/>
    </row>
    <row r="36" spans="1:11" x14ac:dyDescent="0.2">
      <c r="A36" s="751" t="s">
        <v>1109</v>
      </c>
      <c r="B36" s="791"/>
      <c r="C36" s="791"/>
      <c r="D36" s="791"/>
      <c r="E36" s="791"/>
      <c r="F36" s="792"/>
      <c r="G36" s="738"/>
    </row>
    <row r="37" spans="1:11" x14ac:dyDescent="0.2">
      <c r="A37" s="793" t="s">
        <v>896</v>
      </c>
      <c r="B37" s="791"/>
      <c r="C37" s="791"/>
      <c r="D37" s="791"/>
      <c r="E37" s="791"/>
      <c r="F37" s="792"/>
      <c r="G37" s="738"/>
    </row>
    <row r="38" spans="1:11" x14ac:dyDescent="0.2">
      <c r="A38" s="793" t="s">
        <v>993</v>
      </c>
      <c r="B38" s="791"/>
      <c r="C38" s="791"/>
      <c r="D38" s="791"/>
      <c r="E38" s="791"/>
      <c r="F38" s="792"/>
      <c r="G38" s="738"/>
    </row>
    <row r="39" spans="1:11" x14ac:dyDescent="0.2">
      <c r="A39" s="793" t="s">
        <v>994</v>
      </c>
      <c r="B39" s="791"/>
      <c r="C39" s="791"/>
      <c r="D39" s="791"/>
      <c r="E39" s="791"/>
      <c r="F39" s="792"/>
      <c r="G39" s="738"/>
    </row>
    <row r="40" spans="1:11" x14ac:dyDescent="0.2">
      <c r="A40" s="793" t="s">
        <v>995</v>
      </c>
      <c r="B40" s="791"/>
      <c r="C40" s="791"/>
      <c r="D40" s="791"/>
      <c r="E40" s="791"/>
      <c r="F40" s="792"/>
      <c r="G40" s="738"/>
    </row>
    <row r="41" spans="1:11" x14ac:dyDescent="0.2">
      <c r="A41" s="2271" t="s">
        <v>541</v>
      </c>
      <c r="B41" s="2284"/>
      <c r="C41" s="2284"/>
      <c r="D41" s="2284"/>
      <c r="E41" s="2284"/>
      <c r="F41" s="2285"/>
      <c r="G41" s="738"/>
    </row>
    <row r="42" spans="1:11" x14ac:dyDescent="0.2">
      <c r="A42" s="793" t="s">
        <v>970</v>
      </c>
      <c r="B42" s="791"/>
      <c r="C42" s="791"/>
      <c r="D42" s="791"/>
      <c r="E42" s="791"/>
      <c r="F42" s="792"/>
      <c r="G42" s="738"/>
    </row>
    <row r="43" spans="1:11" x14ac:dyDescent="0.2">
      <c r="A43" s="793" t="s">
        <v>971</v>
      </c>
      <c r="B43" s="791"/>
      <c r="C43" s="791"/>
      <c r="D43" s="791"/>
      <c r="E43" s="791"/>
      <c r="F43" s="792"/>
      <c r="G43" s="738"/>
    </row>
    <row r="44" spans="1:11" x14ac:dyDescent="0.2">
      <c r="A44" s="793" t="s">
        <v>972</v>
      </c>
      <c r="B44" s="791"/>
      <c r="C44" s="791"/>
      <c r="D44" s="791"/>
      <c r="E44" s="791"/>
      <c r="F44" s="792"/>
      <c r="G44" s="738"/>
    </row>
    <row r="45" spans="1:11" ht="6.75" customHeight="1" x14ac:dyDescent="0.2"/>
    <row r="46" spans="1:11" ht="15" x14ac:dyDescent="0.2">
      <c r="A46" s="1504" t="s">
        <v>1772</v>
      </c>
      <c r="B46" s="408" t="s">
        <v>1644</v>
      </c>
    </row>
    <row r="47" spans="1:11" s="796" customFormat="1" ht="12.75" customHeight="1" x14ac:dyDescent="0.2">
      <c r="A47" s="794"/>
      <c r="B47" s="795" t="s">
        <v>1645</v>
      </c>
      <c r="E47" s="795"/>
      <c r="K47" s="797"/>
    </row>
    <row r="48" spans="1:11" ht="12.75" customHeight="1" x14ac:dyDescent="0.2">
      <c r="A48" s="1505" t="s">
        <v>1773</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0"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H1" sqref="H1:H1048576"/>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6" t="s">
        <v>1870</v>
      </c>
      <c r="B1" s="2307"/>
      <c r="C1" s="2308"/>
      <c r="D1" s="799"/>
      <c r="E1" s="800"/>
      <c r="F1" s="800"/>
      <c r="G1" s="801"/>
      <c r="H1" s="802"/>
      <c r="I1" s="803"/>
      <c r="J1" s="2304"/>
      <c r="K1" s="2305"/>
      <c r="L1" s="2305"/>
    </row>
    <row r="2" spans="1:14" ht="69.75" customHeight="1" x14ac:dyDescent="0.2">
      <c r="A2" s="804" t="s">
        <v>1647</v>
      </c>
      <c r="B2" s="805" t="s">
        <v>378</v>
      </c>
      <c r="C2" s="806" t="s">
        <v>1926</v>
      </c>
      <c r="D2" s="806" t="s">
        <v>1927</v>
      </c>
      <c r="E2" s="806" t="s">
        <v>1928</v>
      </c>
      <c r="F2" s="806" t="s">
        <v>1929</v>
      </c>
      <c r="G2" s="806" t="s">
        <v>605</v>
      </c>
      <c r="H2" s="806" t="s">
        <v>1930</v>
      </c>
      <c r="I2" s="806" t="s">
        <v>1931</v>
      </c>
      <c r="J2" s="806" t="s">
        <v>1932</v>
      </c>
      <c r="K2" s="806" t="s">
        <v>1933</v>
      </c>
      <c r="L2" s="806" t="s">
        <v>1934</v>
      </c>
      <c r="M2" s="807"/>
      <c r="N2" s="807"/>
    </row>
    <row r="3" spans="1:14" ht="13.5" thickBot="1" x14ac:dyDescent="0.25">
      <c r="A3" s="1602" t="s">
        <v>892</v>
      </c>
      <c r="B3" s="1603">
        <v>210</v>
      </c>
      <c r="C3" s="808"/>
      <c r="D3" s="808"/>
      <c r="E3" s="808"/>
      <c r="F3" s="1733">
        <f>(C3+D3)-E3</f>
        <v>0</v>
      </c>
      <c r="G3" s="809"/>
      <c r="H3" s="808"/>
      <c r="I3" s="808"/>
      <c r="J3" s="808"/>
      <c r="K3" s="1742">
        <f>(H3+I3)-J3</f>
        <v>0</v>
      </c>
      <c r="L3" s="1742">
        <f>F3-K3</f>
        <v>0</v>
      </c>
      <c r="M3" s="807"/>
      <c r="N3" s="807"/>
    </row>
    <row r="4" spans="1:14" ht="15" customHeight="1" thickTop="1" x14ac:dyDescent="0.2">
      <c r="A4" s="1604" t="s">
        <v>158</v>
      </c>
      <c r="B4" s="1603">
        <v>220</v>
      </c>
      <c r="C4" s="754"/>
      <c r="D4" s="754"/>
      <c r="E4" s="754"/>
      <c r="F4" s="746"/>
      <c r="G4" s="810"/>
      <c r="H4" s="811"/>
      <c r="I4" s="811"/>
      <c r="J4" s="811"/>
      <c r="K4" s="812"/>
      <c r="L4" s="746"/>
    </row>
    <row r="5" spans="1:14" ht="13.5" thickBot="1" x14ac:dyDescent="0.25">
      <c r="A5" s="751" t="s">
        <v>893</v>
      </c>
      <c r="B5" s="813">
        <v>221</v>
      </c>
      <c r="C5" s="814">
        <v>11381551</v>
      </c>
      <c r="D5" s="814">
        <v>561959</v>
      </c>
      <c r="E5" s="814"/>
      <c r="F5" s="1733">
        <f>(C5+D5)-E5</f>
        <v>11943510</v>
      </c>
      <c r="G5" s="810"/>
      <c r="H5" s="815"/>
      <c r="I5" s="815"/>
      <c r="J5" s="815"/>
      <c r="K5" s="766"/>
      <c r="L5" s="1742">
        <f>F5-K5</f>
        <v>11943510</v>
      </c>
    </row>
    <row r="6" spans="1:14" ht="14.25" thickTop="1" thickBot="1" x14ac:dyDescent="0.25">
      <c r="A6" s="751" t="s">
        <v>1117</v>
      </c>
      <c r="B6" s="813">
        <v>222</v>
      </c>
      <c r="C6" s="738"/>
      <c r="D6" s="738"/>
      <c r="E6" s="738"/>
      <c r="F6" s="1733">
        <f>(C6+D6)-E6</f>
        <v>0</v>
      </c>
      <c r="G6" s="810">
        <v>50</v>
      </c>
      <c r="H6" s="738"/>
      <c r="I6" s="738"/>
      <c r="J6" s="738"/>
      <c r="K6" s="1742">
        <f>(H6+I6)-J6</f>
        <v>0</v>
      </c>
      <c r="L6" s="1742">
        <f>F6-K6</f>
        <v>0</v>
      </c>
    </row>
    <row r="7" spans="1:14" ht="15" customHeight="1" thickTop="1" x14ac:dyDescent="0.2">
      <c r="A7" s="1604" t="s">
        <v>159</v>
      </c>
      <c r="B7" s="1603">
        <v>230</v>
      </c>
      <c r="C7" s="754"/>
      <c r="D7" s="754"/>
      <c r="E7" s="754"/>
      <c r="F7" s="746"/>
      <c r="G7" s="816"/>
      <c r="H7" s="754"/>
      <c r="I7" s="754"/>
      <c r="J7" s="754"/>
      <c r="K7" s="746"/>
      <c r="L7" s="746"/>
    </row>
    <row r="8" spans="1:14" ht="13.5" thickBot="1" x14ac:dyDescent="0.25">
      <c r="A8" s="751" t="s">
        <v>1118</v>
      </c>
      <c r="B8" s="813">
        <v>231</v>
      </c>
      <c r="C8" s="817">
        <v>236490995</v>
      </c>
      <c r="D8" s="817">
        <v>25062041</v>
      </c>
      <c r="E8" s="817"/>
      <c r="F8" s="1733">
        <f>(C8+D8)-E8</f>
        <v>261553036</v>
      </c>
      <c r="G8" s="816">
        <v>50</v>
      </c>
      <c r="H8" s="738">
        <v>71534128</v>
      </c>
      <c r="I8" s="738">
        <v>4600743</v>
      </c>
      <c r="J8" s="738"/>
      <c r="K8" s="1742">
        <f>(H8+I8)-J8</f>
        <v>76134871</v>
      </c>
      <c r="L8" s="1742">
        <f>F8-K8</f>
        <v>185418165</v>
      </c>
    </row>
    <row r="9" spans="1:14" ht="14.25" thickTop="1" thickBot="1" x14ac:dyDescent="0.25">
      <c r="A9" s="751" t="s">
        <v>1119</v>
      </c>
      <c r="B9" s="813">
        <v>232</v>
      </c>
      <c r="C9" s="738"/>
      <c r="D9" s="738"/>
      <c r="E9" s="738"/>
      <c r="F9" s="1733">
        <f>(C9+D9)-E9</f>
        <v>0</v>
      </c>
      <c r="G9" s="816">
        <v>20</v>
      </c>
      <c r="H9" s="738"/>
      <c r="I9" s="738"/>
      <c r="J9" s="738"/>
      <c r="K9" s="1742">
        <f>(H9+I9)-J9</f>
        <v>0</v>
      </c>
      <c r="L9" s="1742">
        <f>F9-K9</f>
        <v>0</v>
      </c>
    </row>
    <row r="10" spans="1:14" ht="24" thickTop="1" thickBot="1" x14ac:dyDescent="0.25">
      <c r="A10" s="818" t="s">
        <v>1120</v>
      </c>
      <c r="B10" s="813">
        <v>240</v>
      </c>
      <c r="C10" s="819">
        <v>4345099</v>
      </c>
      <c r="D10" s="819">
        <v>1704363</v>
      </c>
      <c r="E10" s="819"/>
      <c r="F10" s="1737">
        <f>(C10+D10)-E10</f>
        <v>6049462</v>
      </c>
      <c r="G10" s="816">
        <v>20</v>
      </c>
      <c r="H10" s="820">
        <v>2219261</v>
      </c>
      <c r="I10" s="820">
        <v>255971</v>
      </c>
      <c r="J10" s="820"/>
      <c r="K10" s="1742">
        <f>(H10+I10)-J10</f>
        <v>2475232</v>
      </c>
      <c r="L10" s="1742">
        <f>F10-K10</f>
        <v>3574230</v>
      </c>
    </row>
    <row r="11" spans="1:14" ht="13.5" thickTop="1" x14ac:dyDescent="0.2">
      <c r="A11" s="1605" t="s">
        <v>1136</v>
      </c>
      <c r="B11" s="1603">
        <v>250</v>
      </c>
      <c r="C11" s="754"/>
      <c r="D11" s="754"/>
      <c r="E11" s="754"/>
      <c r="F11" s="746"/>
      <c r="G11" s="816"/>
      <c r="H11" s="754"/>
      <c r="I11" s="754"/>
      <c r="J11" s="754"/>
      <c r="K11" s="746"/>
      <c r="L11" s="746"/>
    </row>
    <row r="12" spans="1:14" ht="13.5" thickBot="1" x14ac:dyDescent="0.25">
      <c r="A12" s="821" t="s">
        <v>1121</v>
      </c>
      <c r="B12" s="813">
        <v>251</v>
      </c>
      <c r="C12" s="817">
        <v>28620407</v>
      </c>
      <c r="D12" s="817">
        <v>772867</v>
      </c>
      <c r="E12" s="817"/>
      <c r="F12" s="1733">
        <f>(C12+D12)-E12</f>
        <v>29393274</v>
      </c>
      <c r="G12" s="816">
        <v>10</v>
      </c>
      <c r="H12" s="738">
        <v>22586977</v>
      </c>
      <c r="I12" s="738">
        <v>2636994</v>
      </c>
      <c r="J12" s="738"/>
      <c r="K12" s="1742">
        <f>(H12+I12)-J12</f>
        <v>25223971</v>
      </c>
      <c r="L12" s="1742">
        <f>F12-K12</f>
        <v>4169303</v>
      </c>
    </row>
    <row r="13" spans="1:14" ht="14.25" thickTop="1" thickBot="1" x14ac:dyDescent="0.25">
      <c r="A13" s="821" t="s">
        <v>1122</v>
      </c>
      <c r="B13" s="813">
        <v>252</v>
      </c>
      <c r="C13" s="817"/>
      <c r="D13" s="817"/>
      <c r="E13" s="817"/>
      <c r="F13" s="1733">
        <f>(C13+D13)-E13</f>
        <v>0</v>
      </c>
      <c r="G13" s="816">
        <v>5</v>
      </c>
      <c r="H13" s="738"/>
      <c r="I13" s="738"/>
      <c r="J13" s="738"/>
      <c r="K13" s="1742">
        <f>(H13+I13)-J13</f>
        <v>0</v>
      </c>
      <c r="L13" s="1742">
        <f>F13-K13</f>
        <v>0</v>
      </c>
    </row>
    <row r="14" spans="1:14" ht="14.25" thickTop="1" thickBot="1" x14ac:dyDescent="0.25">
      <c r="A14" s="821" t="s">
        <v>1123</v>
      </c>
      <c r="B14" s="813">
        <v>253</v>
      </c>
      <c r="C14" s="738"/>
      <c r="D14" s="738"/>
      <c r="E14" s="738"/>
      <c r="F14" s="1733">
        <f>(C14+D14)-E14</f>
        <v>0</v>
      </c>
      <c r="G14" s="816">
        <v>3</v>
      </c>
      <c r="H14" s="738"/>
      <c r="I14" s="738"/>
      <c r="J14" s="738"/>
      <c r="K14" s="1742">
        <f>(H14+I14)-J14</f>
        <v>0</v>
      </c>
      <c r="L14" s="1742">
        <f>F14-K14</f>
        <v>0</v>
      </c>
    </row>
    <row r="15" spans="1:14" ht="15" customHeight="1" thickTop="1" thickBot="1" x14ac:dyDescent="0.25">
      <c r="A15" s="1604" t="s">
        <v>528</v>
      </c>
      <c r="B15" s="1603">
        <v>260</v>
      </c>
      <c r="C15" s="817">
        <v>28115860</v>
      </c>
      <c r="D15" s="817">
        <v>23558963</v>
      </c>
      <c r="E15" s="817">
        <v>22948047</v>
      </c>
      <c r="F15" s="1733">
        <f>(C15+D15)-E15</f>
        <v>28726776</v>
      </c>
      <c r="G15" s="822" t="s">
        <v>862</v>
      </c>
      <c r="H15" s="754"/>
      <c r="I15" s="754"/>
      <c r="J15" s="754"/>
      <c r="K15" s="754"/>
      <c r="L15" s="1742">
        <f>F15-K15</f>
        <v>28726776</v>
      </c>
    </row>
    <row r="16" spans="1:14" ht="15" customHeight="1" thickTop="1" thickBot="1" x14ac:dyDescent="0.25">
      <c r="A16" s="1738" t="s">
        <v>643</v>
      </c>
      <c r="B16" s="1739">
        <v>200</v>
      </c>
      <c r="C16" s="1733">
        <f>SUM(C3,C5:C6,C8:C10,C12:C15)</f>
        <v>308953912</v>
      </c>
      <c r="D16" s="1733">
        <f>SUM(D3,D5:D6,D8:D10,D12:D15)</f>
        <v>51660193</v>
      </c>
      <c r="E16" s="1733">
        <f>SUM(E3,E5:E6,E8:E10,E12:E15)</f>
        <v>22948047</v>
      </c>
      <c r="F16" s="1733">
        <f>SUM(F3,F5:F6,F8:F10,F12:F15)</f>
        <v>337666058</v>
      </c>
      <c r="G16" s="816"/>
      <c r="H16" s="1733">
        <f>SUM(H3,H6,H8:H10,H12:H14,)</f>
        <v>96340366</v>
      </c>
      <c r="I16" s="1733">
        <f>SUM(I3,I6,I8:I10,I12:I14,)</f>
        <v>7493708</v>
      </c>
      <c r="J16" s="1733">
        <f>SUM(J3,J6,J8:J10,J12:J14,)</f>
        <v>0</v>
      </c>
      <c r="K16" s="1733">
        <f>(H16+I16)-J16</f>
        <v>103834074</v>
      </c>
      <c r="L16" s="1733">
        <f>F16-K16</f>
        <v>233831984</v>
      </c>
    </row>
    <row r="17" spans="1:12" ht="15" customHeight="1" thickTop="1" thickBot="1" x14ac:dyDescent="0.25">
      <c r="A17" s="1606" t="s">
        <v>291</v>
      </c>
      <c r="B17" s="1603">
        <v>700</v>
      </c>
      <c r="C17" s="742"/>
      <c r="D17" s="742"/>
      <c r="E17" s="742"/>
      <c r="F17" s="1733">
        <f>SUM('Expenditures 15-22'!I114,'Expenditures 15-22'!I151,'Expenditures 15-22'!I210,'Expenditures 15-22'!I312,'Expenditures 15-22'!I342,'Expenditures 15-22'!I367)</f>
        <v>1787247</v>
      </c>
      <c r="G17" s="810">
        <v>10</v>
      </c>
      <c r="H17" s="742"/>
      <c r="I17" s="1742">
        <f>F17/G17</f>
        <v>178724.7</v>
      </c>
      <c r="J17" s="742"/>
      <c r="K17" s="768"/>
      <c r="L17" s="768"/>
    </row>
    <row r="18" spans="1:12" ht="14.25" thickTop="1" thickBot="1" x14ac:dyDescent="0.25">
      <c r="A18" s="1740" t="s">
        <v>685</v>
      </c>
      <c r="B18" s="1741"/>
      <c r="C18" s="744"/>
      <c r="D18" s="744"/>
      <c r="E18" s="744"/>
      <c r="F18" s="823"/>
      <c r="G18" s="824"/>
      <c r="H18" s="746"/>
      <c r="I18" s="1733">
        <f>SUM(I16,I17)</f>
        <v>7672432.7000000002</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20"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 activePane="bottomLeft" state="frozen"/>
      <selection activeCell="AF22" sqref="AF22"/>
      <selection pane="bottomLeft" activeCell="F170" sqref="F170"/>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312" t="s">
        <v>1935</v>
      </c>
      <c r="B1" s="2313"/>
      <c r="C1" s="2313"/>
      <c r="D1" s="2313"/>
      <c r="E1" s="2313"/>
      <c r="F1" s="2314"/>
      <c r="G1" s="828"/>
    </row>
    <row r="2" spans="1:7" ht="15" customHeight="1" thickBot="1" x14ac:dyDescent="0.25">
      <c r="A2" s="2315" t="s">
        <v>477</v>
      </c>
      <c r="B2" s="2316"/>
      <c r="C2" s="2316"/>
      <c r="D2" s="2316"/>
      <c r="E2" s="2316"/>
      <c r="F2" s="2317"/>
      <c r="G2" s="830"/>
    </row>
    <row r="3" spans="1:7" ht="5.25" customHeight="1" thickTop="1" x14ac:dyDescent="0.2">
      <c r="A3" s="831"/>
      <c r="B3" s="832"/>
      <c r="C3" s="833"/>
      <c r="D3" s="832"/>
      <c r="E3" s="833"/>
      <c r="F3" s="832"/>
      <c r="G3" s="832"/>
    </row>
    <row r="4" spans="1:7" ht="12.2" customHeight="1" x14ac:dyDescent="0.2">
      <c r="A4" s="834" t="s">
        <v>1077</v>
      </c>
      <c r="B4" s="835" t="s">
        <v>115</v>
      </c>
      <c r="D4" s="837" t="s">
        <v>511</v>
      </c>
      <c r="F4" s="835" t="s">
        <v>865</v>
      </c>
    </row>
    <row r="5" spans="1:7" ht="7.5" customHeight="1" x14ac:dyDescent="0.2">
      <c r="A5" s="2318"/>
      <c r="B5" s="2319"/>
      <c r="C5" s="2319"/>
      <c r="D5" s="2319"/>
      <c r="E5" s="2319"/>
      <c r="F5" s="2319"/>
    </row>
    <row r="6" spans="1:7" ht="13.5" customHeight="1" thickBot="1" x14ac:dyDescent="0.25">
      <c r="A6" s="2309" t="s">
        <v>1104</v>
      </c>
      <c r="B6" s="2310"/>
      <c r="C6" s="2310"/>
      <c r="D6" s="2310"/>
      <c r="E6" s="2310"/>
      <c r="F6" s="2311"/>
      <c r="G6" s="838"/>
    </row>
    <row r="7" spans="1:7" s="838" customFormat="1" ht="12" thickTop="1" x14ac:dyDescent="0.2">
      <c r="A7" s="839" t="s">
        <v>502</v>
      </c>
      <c r="B7" s="840"/>
      <c r="C7" s="841"/>
      <c r="D7" s="840"/>
      <c r="E7" s="841"/>
      <c r="F7" s="840"/>
    </row>
    <row r="8" spans="1:7" x14ac:dyDescent="0.2">
      <c r="A8" s="842" t="s">
        <v>459</v>
      </c>
      <c r="B8" s="843" t="s">
        <v>1454</v>
      </c>
      <c r="C8" s="844"/>
      <c r="D8" s="842" t="s">
        <v>501</v>
      </c>
      <c r="E8" s="841" t="s">
        <v>958</v>
      </c>
      <c r="F8" s="1841">
        <f>'Expenditures 15-22'!K114</f>
        <v>123644281</v>
      </c>
      <c r="G8" s="838"/>
    </row>
    <row r="9" spans="1:7" x14ac:dyDescent="0.2">
      <c r="A9" s="842" t="s">
        <v>460</v>
      </c>
      <c r="B9" s="843" t="s">
        <v>1839</v>
      </c>
      <c r="C9" s="844"/>
      <c r="D9" s="842" t="s">
        <v>501</v>
      </c>
      <c r="E9" s="841"/>
      <c r="F9" s="1842">
        <f>'Expenditures 15-22'!K151</f>
        <v>10253431</v>
      </c>
      <c r="G9" s="845"/>
    </row>
    <row r="10" spans="1:7" x14ac:dyDescent="0.2">
      <c r="A10" s="842" t="s">
        <v>499</v>
      </c>
      <c r="B10" s="843" t="s">
        <v>1840</v>
      </c>
      <c r="C10" s="844"/>
      <c r="D10" s="842" t="s">
        <v>501</v>
      </c>
      <c r="E10" s="841"/>
      <c r="F10" s="1842">
        <f>'Expenditures 15-22'!K174</f>
        <v>7722014</v>
      </c>
      <c r="G10" s="845"/>
    </row>
    <row r="11" spans="1:7" x14ac:dyDescent="0.2">
      <c r="A11" s="842" t="s">
        <v>461</v>
      </c>
      <c r="B11" s="843" t="s">
        <v>1841</v>
      </c>
      <c r="C11" s="844"/>
      <c r="D11" s="842" t="s">
        <v>501</v>
      </c>
      <c r="E11" s="841"/>
      <c r="F11" s="1842">
        <f>'Expenditures 15-22'!K210</f>
        <v>4554629</v>
      </c>
      <c r="G11" s="845"/>
    </row>
    <row r="12" spans="1:7" x14ac:dyDescent="0.2">
      <c r="A12" s="842" t="s">
        <v>462</v>
      </c>
      <c r="B12" s="843" t="s">
        <v>1842</v>
      </c>
      <c r="C12" s="844"/>
      <c r="D12" s="842" t="s">
        <v>501</v>
      </c>
      <c r="E12" s="841"/>
      <c r="F12" s="1842">
        <f>'Expenditures 15-22'!K295</f>
        <v>4193074</v>
      </c>
      <c r="G12" s="845"/>
    </row>
    <row r="13" spans="1:7" x14ac:dyDescent="0.2">
      <c r="A13" s="842" t="s">
        <v>106</v>
      </c>
      <c r="B13" s="843" t="s">
        <v>1843</v>
      </c>
      <c r="C13" s="844"/>
      <c r="D13" s="842" t="s">
        <v>501</v>
      </c>
      <c r="E13" s="841"/>
      <c r="F13" s="1842">
        <f>'Expenditures 15-22'!K342</f>
        <v>1488509</v>
      </c>
      <c r="G13" s="846"/>
    </row>
    <row r="14" spans="1:7" ht="12" customHeight="1" thickBot="1" x14ac:dyDescent="0.25">
      <c r="A14" s="1743"/>
      <c r="B14" s="1744"/>
      <c r="C14" s="1745"/>
      <c r="D14" s="1746" t="s">
        <v>501</v>
      </c>
      <c r="E14" s="1747" t="s">
        <v>958</v>
      </c>
      <c r="F14" s="1748">
        <f>SUM(F8:F13)</f>
        <v>151855938</v>
      </c>
      <c r="G14" s="838"/>
    </row>
    <row r="15" spans="1:7" ht="3.75" customHeight="1" thickTop="1" x14ac:dyDescent="0.2">
      <c r="A15" s="838"/>
      <c r="B15" s="838"/>
      <c r="C15" s="844"/>
      <c r="D15" s="838"/>
      <c r="E15" s="841"/>
      <c r="F15" s="838"/>
      <c r="G15" s="838"/>
    </row>
    <row r="16" spans="1:7" ht="12" customHeight="1" x14ac:dyDescent="0.2">
      <c r="A16" s="847" t="s">
        <v>512</v>
      </c>
      <c r="B16" s="231"/>
      <c r="C16" s="231"/>
      <c r="D16" s="840"/>
      <c r="E16" s="841"/>
      <c r="F16" s="840"/>
      <c r="G16" s="838"/>
    </row>
    <row r="17" spans="1:7" ht="4.5" customHeight="1" x14ac:dyDescent="0.2">
      <c r="A17" s="847"/>
      <c r="B17" s="231"/>
      <c r="C17" s="231"/>
      <c r="D17" s="840"/>
      <c r="E17" s="841"/>
      <c r="F17" s="840"/>
      <c r="G17" s="838"/>
    </row>
    <row r="18" spans="1:7" x14ac:dyDescent="0.2">
      <c r="A18" s="842" t="s">
        <v>461</v>
      </c>
      <c r="B18" s="843" t="s">
        <v>1010</v>
      </c>
      <c r="C18" s="848">
        <f>'Revenues 9-14'!B43</f>
        <v>1412</v>
      </c>
      <c r="D18" s="849" t="str">
        <f>'Revenues 9-14'!A43</f>
        <v>Regular - Transp Fees from Other Districts (In State)</v>
      </c>
      <c r="E18" s="841" t="s">
        <v>958</v>
      </c>
      <c r="F18" s="1843">
        <f>'Revenues 9-14'!F43</f>
        <v>34584</v>
      </c>
      <c r="G18" s="838"/>
    </row>
    <row r="19" spans="1:7" x14ac:dyDescent="0.2">
      <c r="A19" s="842" t="s">
        <v>461</v>
      </c>
      <c r="B19" s="843" t="s">
        <v>1011</v>
      </c>
      <c r="C19" s="850">
        <f>'Revenues 9-14'!B47</f>
        <v>1421</v>
      </c>
      <c r="D19" s="851" t="str">
        <f>'Revenues 9-14'!A47</f>
        <v>Summer Sch - Transp. Fees from Pupils or Parents (In State)</v>
      </c>
      <c r="E19" s="852"/>
      <c r="F19" s="1844">
        <f>'Revenues 9-14'!F47</f>
        <v>0</v>
      </c>
      <c r="G19" s="838"/>
    </row>
    <row r="20" spans="1:7" x14ac:dyDescent="0.2">
      <c r="A20" s="842" t="s">
        <v>461</v>
      </c>
      <c r="B20" s="843" t="s">
        <v>1012</v>
      </c>
      <c r="C20" s="848">
        <f>'Revenues 9-14'!B48</f>
        <v>1422</v>
      </c>
      <c r="D20" s="849" t="str">
        <f>'Revenues 9-14'!A48</f>
        <v>Summer Sch - Transp. Fees from Other Districts (In State)</v>
      </c>
      <c r="E20" s="841"/>
      <c r="F20" s="1845">
        <f>'Revenues 9-14'!F48</f>
        <v>0</v>
      </c>
      <c r="G20" s="838"/>
    </row>
    <row r="21" spans="1:7" x14ac:dyDescent="0.2">
      <c r="A21" s="842" t="s">
        <v>461</v>
      </c>
      <c r="B21" s="843" t="s">
        <v>1013</v>
      </c>
      <c r="C21" s="850">
        <f>'Revenues 9-14'!B49</f>
        <v>1423</v>
      </c>
      <c r="D21" s="849" t="str">
        <f>'Revenues 9-14'!A49</f>
        <v>Summer Sch - Transp. Fees from Other Sources (In State)</v>
      </c>
      <c r="E21" s="841"/>
      <c r="F21" s="1846">
        <f>'Revenues 9-14'!F49</f>
        <v>0</v>
      </c>
      <c r="G21" s="838"/>
    </row>
    <row r="22" spans="1:7" x14ac:dyDescent="0.2">
      <c r="A22" s="842" t="s">
        <v>461</v>
      </c>
      <c r="B22" s="843" t="s">
        <v>1014</v>
      </c>
      <c r="C22" s="850">
        <f>'Revenues 9-14'!B50</f>
        <v>1424</v>
      </c>
      <c r="D22" s="849" t="str">
        <f>'Revenues 9-14'!A50</f>
        <v>Summer Sch - Transp. Fees from Other Sources (Out of State)</v>
      </c>
      <c r="E22" s="841"/>
      <c r="F22" s="1846">
        <f>'Revenues 9-14'!F50</f>
        <v>0</v>
      </c>
      <c r="G22" s="838"/>
    </row>
    <row r="23" spans="1:7" x14ac:dyDescent="0.2">
      <c r="A23" s="842" t="s">
        <v>461</v>
      </c>
      <c r="B23" s="843" t="s">
        <v>1015</v>
      </c>
      <c r="C23" s="848">
        <f>'Revenues 9-14'!B52</f>
        <v>1432</v>
      </c>
      <c r="D23" s="849" t="str">
        <f>'Revenues 9-14'!A52</f>
        <v>CTE - Transp Fees from Other Districts (In State)</v>
      </c>
      <c r="E23" s="841"/>
      <c r="F23" s="1846">
        <f>'Revenues 9-14'!F52</f>
        <v>0</v>
      </c>
      <c r="G23" s="838"/>
    </row>
    <row r="24" spans="1:7" x14ac:dyDescent="0.2">
      <c r="A24" s="842" t="s">
        <v>461</v>
      </c>
      <c r="B24" s="843" t="s">
        <v>1016</v>
      </c>
      <c r="C24" s="848">
        <f>'Revenues 9-14'!B56</f>
        <v>1442</v>
      </c>
      <c r="D24" s="849" t="str">
        <f>'Revenues 9-14'!A56</f>
        <v>Special Ed - Transp Fees from Other Districts (In State)</v>
      </c>
      <c r="E24" s="841"/>
      <c r="F24" s="1846">
        <f>'Revenues 9-14'!F56</f>
        <v>0</v>
      </c>
      <c r="G24" s="838"/>
    </row>
    <row r="25" spans="1:7" x14ac:dyDescent="0.2">
      <c r="A25" s="842" t="s">
        <v>461</v>
      </c>
      <c r="B25" s="843" t="s">
        <v>1017</v>
      </c>
      <c r="C25" s="848">
        <f>'Revenues 9-14'!B59</f>
        <v>1451</v>
      </c>
      <c r="D25" s="849" t="str">
        <f>'Revenues 9-14'!A59</f>
        <v>Adult - Transp Fees from Pupils or Parents (In State)</v>
      </c>
      <c r="E25" s="841"/>
      <c r="F25" s="1846">
        <f>'Revenues 9-14'!F59</f>
        <v>0</v>
      </c>
      <c r="G25" s="838"/>
    </row>
    <row r="26" spans="1:7" x14ac:dyDescent="0.2">
      <c r="A26" s="842" t="s">
        <v>461</v>
      </c>
      <c r="B26" s="843" t="s">
        <v>1018</v>
      </c>
      <c r="C26" s="848">
        <f>'Revenues 9-14'!B60</f>
        <v>1452</v>
      </c>
      <c r="D26" s="849" t="str">
        <f>'Revenues 9-14'!A60</f>
        <v>Adult - Transp Fees from Other Districts (In State)</v>
      </c>
      <c r="E26" s="841"/>
      <c r="F26" s="1846">
        <f>'Revenues 9-14'!F60</f>
        <v>0</v>
      </c>
      <c r="G26" s="838"/>
    </row>
    <row r="27" spans="1:7" x14ac:dyDescent="0.2">
      <c r="A27" s="842" t="s">
        <v>461</v>
      </c>
      <c r="B27" s="843" t="s">
        <v>1019</v>
      </c>
      <c r="C27" s="848">
        <f>'Revenues 9-14'!B61</f>
        <v>1453</v>
      </c>
      <c r="D27" s="849" t="str">
        <f>'Revenues 9-14'!A61</f>
        <v>Adult - Transp Fees from Other Sources (In State)</v>
      </c>
      <c r="E27" s="841"/>
      <c r="F27" s="1846">
        <f>'Revenues 9-14'!F61</f>
        <v>0</v>
      </c>
      <c r="G27" s="838"/>
    </row>
    <row r="28" spans="1:7" x14ac:dyDescent="0.2">
      <c r="A28" s="842" t="s">
        <v>461</v>
      </c>
      <c r="B28" s="843" t="s">
        <v>1020</v>
      </c>
      <c r="C28" s="848">
        <f>'Revenues 9-14'!B62</f>
        <v>1454</v>
      </c>
      <c r="D28" s="849" t="str">
        <f>'Revenues 9-14'!A62</f>
        <v>Adult - Transp Fees from Other Sources (Out of State)</v>
      </c>
      <c r="E28" s="841"/>
      <c r="F28" s="1846">
        <f>'Revenues 9-14'!F62</f>
        <v>0</v>
      </c>
      <c r="G28" s="838"/>
    </row>
    <row r="29" spans="1:7" x14ac:dyDescent="0.2">
      <c r="A29" s="842" t="s">
        <v>1097</v>
      </c>
      <c r="B29" s="843" t="s">
        <v>810</v>
      </c>
      <c r="C29" s="853">
        <f>'Revenues 9-14'!B149</f>
        <v>3410</v>
      </c>
      <c r="D29" s="854" t="str">
        <f>'Revenues 9-14'!A149</f>
        <v>Adult Ed (from ICCB)</v>
      </c>
      <c r="E29" s="841"/>
      <c r="F29" s="1846">
        <f>SUM('Revenues 9-14'!D149,'Revenues 9-14'!F149)</f>
        <v>0</v>
      </c>
      <c r="G29" s="838"/>
    </row>
    <row r="30" spans="1:7" x14ac:dyDescent="0.2">
      <c r="A30" s="842" t="s">
        <v>1097</v>
      </c>
      <c r="B30" s="843" t="s">
        <v>1958</v>
      </c>
      <c r="C30" s="853">
        <f>'Revenues 9-14'!B150</f>
        <v>3499</v>
      </c>
      <c r="D30" s="854" t="str">
        <f>'Revenues 9-14'!A150</f>
        <v>Adult Ed - Other (Describe &amp; Itemize)</v>
      </c>
      <c r="E30" s="841"/>
      <c r="F30" s="1847">
        <f>('Revenues 9-14'!D150+'Revenues 9-14'!F150)</f>
        <v>0</v>
      </c>
      <c r="G30" s="838"/>
    </row>
    <row r="31" spans="1:7" x14ac:dyDescent="0.2">
      <c r="A31" s="842" t="s">
        <v>1097</v>
      </c>
      <c r="B31" s="843" t="s">
        <v>1959</v>
      </c>
      <c r="C31" s="848">
        <f>'Revenues 9-14'!B211</f>
        <v>4600</v>
      </c>
      <c r="D31" s="856" t="str">
        <f>'Revenues 9-14'!A211</f>
        <v>Fed - Spec Education - Preschool Flow-Through</v>
      </c>
      <c r="E31" s="857"/>
      <c r="F31" s="1846">
        <f>SUM('Revenues 9-14'!D211,'Revenues 9-14'!F211)</f>
        <v>0</v>
      </c>
      <c r="G31" s="838"/>
    </row>
    <row r="32" spans="1:7" x14ac:dyDescent="0.2">
      <c r="A32" s="842" t="s">
        <v>1097</v>
      </c>
      <c r="B32" s="843" t="s">
        <v>1960</v>
      </c>
      <c r="C32" s="848">
        <f>'Revenues 9-14'!B212</f>
        <v>4605</v>
      </c>
      <c r="D32" s="858" t="str">
        <f>'Revenues 9-14'!A212</f>
        <v>Fed - Spec Education - Preschool Discretionary</v>
      </c>
      <c r="E32" s="857"/>
      <c r="F32" s="1846">
        <f>SUM('Revenues 9-14'!D212,'Revenues 9-14'!F212)</f>
        <v>0</v>
      </c>
      <c r="G32" s="838"/>
    </row>
    <row r="33" spans="1:7" x14ac:dyDescent="0.2">
      <c r="A33" s="842" t="s">
        <v>460</v>
      </c>
      <c r="B33" s="843" t="s">
        <v>1961</v>
      </c>
      <c r="C33" s="848">
        <f>'Revenues 9-14'!B222</f>
        <v>4810</v>
      </c>
      <c r="D33" s="856" t="str">
        <f>'Revenues 9-14'!A222</f>
        <v>Federal - Adult Education</v>
      </c>
      <c r="E33" s="841"/>
      <c r="F33" s="1846">
        <f>'Revenues 9-14'!D222</f>
        <v>0</v>
      </c>
      <c r="G33" s="838"/>
    </row>
    <row r="34" spans="1:7" x14ac:dyDescent="0.2">
      <c r="A34" s="842" t="s">
        <v>459</v>
      </c>
      <c r="B34" s="842" t="s">
        <v>1455</v>
      </c>
      <c r="C34" s="859" t="str">
        <f>'Expenditures 15-22'!B7</f>
        <v>1125</v>
      </c>
      <c r="D34" s="860" t="str">
        <f>'Expenditures 15-22'!A7</f>
        <v>Pre-K Programs</v>
      </c>
      <c r="E34" s="841"/>
      <c r="F34" s="1846">
        <f>'Expenditures 15-22'!K7-SUM('Expenditures 15-22'!G7,'Expenditures 15-22'!I7)</f>
        <v>2115586</v>
      </c>
      <c r="G34" s="838"/>
    </row>
    <row r="35" spans="1:7" x14ac:dyDescent="0.2">
      <c r="A35" s="842" t="s">
        <v>459</v>
      </c>
      <c r="B35" s="842" t="s">
        <v>1456</v>
      </c>
      <c r="C35" s="859" t="str">
        <f>'Expenditures 15-22'!B9</f>
        <v>1225</v>
      </c>
      <c r="D35" s="860" t="str">
        <f>'Expenditures 15-22'!A9</f>
        <v>Special Education Programs Pre-K</v>
      </c>
      <c r="E35" s="841"/>
      <c r="F35" s="1846">
        <f>'Expenditures 15-22'!K9-SUM('Expenditures 15-22'!G9+'Expenditures 15-22'!I9)</f>
        <v>794581</v>
      </c>
      <c r="G35" s="838"/>
    </row>
    <row r="36" spans="1:7" x14ac:dyDescent="0.2">
      <c r="A36" s="842" t="s">
        <v>459</v>
      </c>
      <c r="B36" s="842" t="s">
        <v>116</v>
      </c>
      <c r="C36" s="859" t="str">
        <f>'Expenditures 15-22'!B11</f>
        <v>1275</v>
      </c>
      <c r="D36" s="860" t="str">
        <f>'Expenditures 15-22'!A11</f>
        <v>Remedial and Supplemental Programs Pre-K</v>
      </c>
      <c r="E36" s="841"/>
      <c r="F36" s="1846">
        <f>'Expenditures 15-22'!K11-SUM('Expenditures 15-22'!G11,'Expenditures 15-22'!I11)</f>
        <v>0</v>
      </c>
      <c r="G36" s="838"/>
    </row>
    <row r="37" spans="1:7" x14ac:dyDescent="0.2">
      <c r="A37" s="842" t="s">
        <v>459</v>
      </c>
      <c r="B37" s="842" t="s">
        <v>1457</v>
      </c>
      <c r="C37" s="859">
        <f>'Expenditures 15-22'!B12</f>
        <v>1300</v>
      </c>
      <c r="D37" s="861" t="str">
        <f>'Expenditures 15-22'!A12</f>
        <v>Adult/Continuing Education Programs</v>
      </c>
      <c r="E37" s="841"/>
      <c r="F37" s="1846">
        <f>'Expenditures 15-22'!K12-SUM('Expenditures 15-22'!G12+'Expenditures 15-22'!I12)</f>
        <v>0</v>
      </c>
      <c r="G37" s="838"/>
    </row>
    <row r="38" spans="1:7" x14ac:dyDescent="0.2">
      <c r="A38" s="842" t="s">
        <v>459</v>
      </c>
      <c r="B38" s="842" t="s">
        <v>1458</v>
      </c>
      <c r="C38" s="859">
        <f>'Expenditures 15-22'!B15</f>
        <v>1600</v>
      </c>
      <c r="D38" s="861" t="str">
        <f>'Expenditures 15-22'!A15</f>
        <v>Summer School Programs</v>
      </c>
      <c r="E38" s="841"/>
      <c r="F38" s="1846">
        <f>'Expenditures 15-22'!K15-SUM('Expenditures 15-22'!G15,'Expenditures 15-22'!I15)</f>
        <v>337074</v>
      </c>
      <c r="G38" s="838"/>
    </row>
    <row r="39" spans="1:7" x14ac:dyDescent="0.2">
      <c r="A39" s="842" t="s">
        <v>459</v>
      </c>
      <c r="B39" s="842" t="s">
        <v>117</v>
      </c>
      <c r="C39" s="859" t="str">
        <f>'Expenditures 15-22'!B20</f>
        <v>1910</v>
      </c>
      <c r="D39" s="861" t="str">
        <f>'Expenditures 15-22'!A20</f>
        <v>Pre-K Programs - Private Tuition</v>
      </c>
      <c r="E39" s="841"/>
      <c r="F39" s="1846">
        <f>'Expenditures 15-22'!K20</f>
        <v>0</v>
      </c>
      <c r="G39" s="838"/>
    </row>
    <row r="40" spans="1:7" x14ac:dyDescent="0.2">
      <c r="A40" s="842" t="s">
        <v>459</v>
      </c>
      <c r="B40" s="842" t="s">
        <v>118</v>
      </c>
      <c r="C40" s="859" t="str">
        <f>'Expenditures 15-22'!B21</f>
        <v>1911</v>
      </c>
      <c r="D40" s="861" t="str">
        <f>'Expenditures 15-22'!A21</f>
        <v>Regular K-12 Programs - Private Tuition</v>
      </c>
      <c r="E40" s="841"/>
      <c r="F40" s="1846">
        <f>'Expenditures 15-22'!K21</f>
        <v>118080</v>
      </c>
      <c r="G40" s="838"/>
    </row>
    <row r="41" spans="1:7" x14ac:dyDescent="0.2">
      <c r="A41" s="842" t="s">
        <v>459</v>
      </c>
      <c r="B41" s="842" t="s">
        <v>119</v>
      </c>
      <c r="C41" s="859" t="str">
        <f>'Expenditures 15-22'!B22</f>
        <v>1912</v>
      </c>
      <c r="D41" s="861" t="str">
        <f>'Expenditures 15-22'!A22</f>
        <v>Special Education Programs K-12 - Private Tuition</v>
      </c>
      <c r="E41" s="841"/>
      <c r="F41" s="1846">
        <f>'Expenditures 15-22'!K22</f>
        <v>2044729</v>
      </c>
      <c r="G41" s="838"/>
    </row>
    <row r="42" spans="1:7" x14ac:dyDescent="0.2">
      <c r="A42" s="842" t="s">
        <v>459</v>
      </c>
      <c r="B42" s="842" t="s">
        <v>120</v>
      </c>
      <c r="C42" s="862" t="str">
        <f>'Expenditures 15-22'!B23</f>
        <v>1913</v>
      </c>
      <c r="D42" s="861" t="str">
        <f>'Expenditures 15-22'!A23</f>
        <v>Special Education Programs Pre-K - Tuition</v>
      </c>
      <c r="E42" s="841"/>
      <c r="F42" s="1846">
        <f>'Expenditures 15-22'!K23</f>
        <v>50556</v>
      </c>
      <c r="G42" s="838"/>
    </row>
    <row r="43" spans="1:7" x14ac:dyDescent="0.2">
      <c r="A43" s="842" t="s">
        <v>459</v>
      </c>
      <c r="B43" s="842" t="s">
        <v>121</v>
      </c>
      <c r="C43" s="859" t="str">
        <f>'Expenditures 15-22'!B24</f>
        <v>1914</v>
      </c>
      <c r="D43" s="861" t="str">
        <f>'Expenditures 15-22'!A24</f>
        <v>Remedial/Supplemental Programs K-12 - Private Tuition</v>
      </c>
      <c r="E43" s="841"/>
      <c r="F43" s="1846">
        <f>'Expenditures 15-22'!K24</f>
        <v>0</v>
      </c>
      <c r="G43" s="838"/>
    </row>
    <row r="44" spans="1:7" x14ac:dyDescent="0.2">
      <c r="A44" s="842" t="s">
        <v>459</v>
      </c>
      <c r="B44" s="842" t="s">
        <v>122</v>
      </c>
      <c r="C44" s="862" t="str">
        <f>'Expenditures 15-22'!B25</f>
        <v>1915</v>
      </c>
      <c r="D44" s="861" t="str">
        <f>'Expenditures 15-22'!A25</f>
        <v>Remedial/Supplemental Programs Pre-K - Private Tuition</v>
      </c>
      <c r="E44" s="841"/>
      <c r="F44" s="1846">
        <f>'Expenditures 15-22'!K25</f>
        <v>0</v>
      </c>
      <c r="G44" s="838"/>
    </row>
    <row r="45" spans="1:7" x14ac:dyDescent="0.2">
      <c r="A45" s="842" t="s">
        <v>459</v>
      </c>
      <c r="B45" s="842" t="s">
        <v>123</v>
      </c>
      <c r="C45" s="862" t="str">
        <f>'Expenditures 15-22'!B26</f>
        <v>1916</v>
      </c>
      <c r="D45" s="861" t="str">
        <f>'Expenditures 15-22'!A26</f>
        <v>Adult/Continuing Education Programs - Private Tuition</v>
      </c>
      <c r="E45" s="841"/>
      <c r="F45" s="1846">
        <f>'Expenditures 15-22'!K26</f>
        <v>0</v>
      </c>
      <c r="G45" s="838"/>
    </row>
    <row r="46" spans="1:7" x14ac:dyDescent="0.2">
      <c r="A46" s="842" t="s">
        <v>459</v>
      </c>
      <c r="B46" s="842" t="s">
        <v>124</v>
      </c>
      <c r="C46" s="859" t="str">
        <f>'Expenditures 15-22'!B27</f>
        <v>1917</v>
      </c>
      <c r="D46" s="861" t="str">
        <f>'Expenditures 15-22'!A27</f>
        <v>CTE Programs - Private Tuition</v>
      </c>
      <c r="E46" s="841"/>
      <c r="F46" s="1846">
        <f>'Expenditures 15-22'!K27</f>
        <v>0</v>
      </c>
      <c r="G46" s="838"/>
    </row>
    <row r="47" spans="1:7" x14ac:dyDescent="0.2">
      <c r="A47" s="842" t="s">
        <v>459</v>
      </c>
      <c r="B47" s="842" t="s">
        <v>125</v>
      </c>
      <c r="C47" s="863" t="str">
        <f>'Expenditures 15-22'!B28</f>
        <v>1918</v>
      </c>
      <c r="D47" s="864" t="str">
        <f>'Expenditures 15-22'!A28</f>
        <v>Interscholastic Programs - Private Tuition</v>
      </c>
      <c r="E47" s="841"/>
      <c r="F47" s="1846">
        <f>'Expenditures 15-22'!K28</f>
        <v>0</v>
      </c>
      <c r="G47" s="838"/>
    </row>
    <row r="48" spans="1:7" x14ac:dyDescent="0.2">
      <c r="A48" s="842" t="s">
        <v>459</v>
      </c>
      <c r="B48" s="842" t="s">
        <v>126</v>
      </c>
      <c r="C48" s="862" t="str">
        <f>'Expenditures 15-22'!B29</f>
        <v>1919</v>
      </c>
      <c r="D48" s="861" t="str">
        <f>'Expenditures 15-22'!A29</f>
        <v>Summer School Programs - Private Tuition</v>
      </c>
      <c r="E48" s="841"/>
      <c r="F48" s="1846">
        <f>'Expenditures 15-22'!K29</f>
        <v>0</v>
      </c>
      <c r="G48" s="838"/>
    </row>
    <row r="49" spans="1:7" x14ac:dyDescent="0.2">
      <c r="A49" s="842" t="s">
        <v>459</v>
      </c>
      <c r="B49" s="842" t="s">
        <v>127</v>
      </c>
      <c r="C49" s="859" t="str">
        <f>'Expenditures 15-22'!B30</f>
        <v>1920</v>
      </c>
      <c r="D49" s="861" t="str">
        <f>'Expenditures 15-22'!A30</f>
        <v>Gifted Programs - Private Tuition</v>
      </c>
      <c r="E49" s="841"/>
      <c r="F49" s="1846">
        <f>'Expenditures 15-22'!K30</f>
        <v>0</v>
      </c>
      <c r="G49" s="838"/>
    </row>
    <row r="50" spans="1:7" x14ac:dyDescent="0.2">
      <c r="A50" s="842" t="s">
        <v>459</v>
      </c>
      <c r="B50" s="842" t="s">
        <v>128</v>
      </c>
      <c r="C50" s="859" t="str">
        <f>'Expenditures 15-22'!B31</f>
        <v>1921</v>
      </c>
      <c r="D50" s="861" t="str">
        <f>'Expenditures 15-22'!A31</f>
        <v>Bilingual Programs - Private Tuition</v>
      </c>
      <c r="E50" s="841"/>
      <c r="F50" s="1846">
        <f>'Expenditures 15-22'!K31</f>
        <v>0</v>
      </c>
      <c r="G50" s="838"/>
    </row>
    <row r="51" spans="1:7" x14ac:dyDescent="0.2">
      <c r="A51" s="842" t="s">
        <v>459</v>
      </c>
      <c r="B51" s="842" t="s">
        <v>1459</v>
      </c>
      <c r="C51" s="859" t="str">
        <f>'Expenditures 15-22'!B32</f>
        <v>1922</v>
      </c>
      <c r="D51" s="861" t="str">
        <f>'Expenditures 15-22'!A32</f>
        <v>Truants Alternative/Optional Ed Progms - Private Tuition</v>
      </c>
      <c r="E51" s="841"/>
      <c r="F51" s="1846">
        <f>'Expenditures 15-22'!K32</f>
        <v>0</v>
      </c>
      <c r="G51" s="838"/>
    </row>
    <row r="52" spans="1:7" x14ac:dyDescent="0.2">
      <c r="A52" s="842" t="s">
        <v>459</v>
      </c>
      <c r="B52" s="842" t="s">
        <v>1460</v>
      </c>
      <c r="C52" s="862" t="str">
        <f>'Expenditures 15-22'!B75</f>
        <v>3000</v>
      </c>
      <c r="D52" s="861" t="s">
        <v>449</v>
      </c>
      <c r="E52" s="841"/>
      <c r="F52" s="1846">
        <f>'Expenditures 15-22'!K75-SUM('Expenditures 15-22'!G75,'Expenditures 15-22'!I75)</f>
        <v>918727</v>
      </c>
      <c r="G52" s="838"/>
    </row>
    <row r="53" spans="1:7" x14ac:dyDescent="0.2">
      <c r="A53" s="842" t="s">
        <v>459</v>
      </c>
      <c r="B53" s="842" t="s">
        <v>1461</v>
      </c>
      <c r="C53" s="862">
        <f>'Expenditures 15-22'!B102</f>
        <v>4000</v>
      </c>
      <c r="D53" s="861" t="str">
        <f>'Expenditures 15-22'!A102</f>
        <v>Total Payments to Other Govt Units</v>
      </c>
      <c r="E53" s="841"/>
      <c r="F53" s="1846">
        <f>'Expenditures 15-22'!K102</f>
        <v>539078</v>
      </c>
      <c r="G53" s="838"/>
    </row>
    <row r="54" spans="1:7" x14ac:dyDescent="0.2">
      <c r="A54" s="842" t="s">
        <v>459</v>
      </c>
      <c r="B54" s="842" t="s">
        <v>1462</v>
      </c>
      <c r="C54" s="862" t="s">
        <v>982</v>
      </c>
      <c r="D54" s="858" t="s">
        <v>1095</v>
      </c>
      <c r="E54" s="841"/>
      <c r="F54" s="1846">
        <f>'Expenditures 15-22'!G114</f>
        <v>360090</v>
      </c>
      <c r="G54" s="838"/>
    </row>
    <row r="55" spans="1:7" x14ac:dyDescent="0.2">
      <c r="A55" s="842" t="s">
        <v>459</v>
      </c>
      <c r="B55" s="842" t="s">
        <v>1463</v>
      </c>
      <c r="C55" s="862" t="s">
        <v>982</v>
      </c>
      <c r="D55" s="858" t="s">
        <v>291</v>
      </c>
      <c r="E55" s="841"/>
      <c r="F55" s="1846">
        <f>'Expenditures 15-22'!I114</f>
        <v>1713766</v>
      </c>
      <c r="G55" s="838"/>
    </row>
    <row r="56" spans="1:7" x14ac:dyDescent="0.2">
      <c r="A56" s="842" t="s">
        <v>460</v>
      </c>
      <c r="B56" s="842" t="s">
        <v>1464</v>
      </c>
      <c r="C56" s="859" t="str">
        <f>'Expenditures 15-22'!B130</f>
        <v>3000</v>
      </c>
      <c r="D56" s="865" t="s">
        <v>449</v>
      </c>
      <c r="E56" s="841"/>
      <c r="F56" s="1846">
        <f>'Expenditures 15-22'!K130-SUM('Expenditures 15-22'!G130+'Expenditures 15-22'!I130)</f>
        <v>0</v>
      </c>
      <c r="G56" s="838"/>
    </row>
    <row r="57" spans="1:7" x14ac:dyDescent="0.2">
      <c r="A57" s="842" t="s">
        <v>460</v>
      </c>
      <c r="B57" s="842" t="s">
        <v>1844</v>
      </c>
      <c r="C57" s="862">
        <f>'Expenditures 15-22'!B139</f>
        <v>4000</v>
      </c>
      <c r="D57" s="860" t="str">
        <f>'Expenditures 15-22'!A139</f>
        <v>Total Payments to Other Govt Units</v>
      </c>
      <c r="E57" s="841"/>
      <c r="F57" s="1846">
        <f>'Expenditures 15-22'!K139</f>
        <v>0</v>
      </c>
      <c r="G57" s="838"/>
    </row>
    <row r="58" spans="1:7" x14ac:dyDescent="0.2">
      <c r="A58" s="842" t="s">
        <v>460</v>
      </c>
      <c r="B58" s="842" t="s">
        <v>1845</v>
      </c>
      <c r="C58" s="859" t="s">
        <v>982</v>
      </c>
      <c r="D58" s="858" t="s">
        <v>1095</v>
      </c>
      <c r="E58" s="841"/>
      <c r="F58" s="1848">
        <f>'Expenditures 15-22'!G151</f>
        <v>223730</v>
      </c>
      <c r="G58" s="838"/>
    </row>
    <row r="59" spans="1:7" x14ac:dyDescent="0.2">
      <c r="A59" s="866" t="s">
        <v>460</v>
      </c>
      <c r="B59" s="829" t="s">
        <v>1846</v>
      </c>
      <c r="C59" s="867" t="s">
        <v>982</v>
      </c>
      <c r="D59" s="829" t="s">
        <v>291</v>
      </c>
      <c r="F59" s="1849">
        <f>'Expenditures 15-22'!I151</f>
        <v>73481</v>
      </c>
      <c r="G59" s="838"/>
    </row>
    <row r="60" spans="1:7" x14ac:dyDescent="0.2">
      <c r="A60" s="866" t="s">
        <v>499</v>
      </c>
      <c r="B60" s="829" t="s">
        <v>1847</v>
      </c>
      <c r="C60" s="867">
        <v>4000</v>
      </c>
      <c r="D60" s="829" t="s">
        <v>312</v>
      </c>
      <c r="F60" s="1847">
        <f>'Expenditures 15-22'!K160</f>
        <v>0</v>
      </c>
      <c r="G60" s="838"/>
    </row>
    <row r="61" spans="1:7" x14ac:dyDescent="0.2">
      <c r="A61" s="868" t="s">
        <v>499</v>
      </c>
      <c r="B61" s="868" t="s">
        <v>1848</v>
      </c>
      <c r="C61" s="869" t="str">
        <f>'Expenditures 15-22'!B170</f>
        <v>5300</v>
      </c>
      <c r="D61" s="870" t="s">
        <v>311</v>
      </c>
      <c r="E61" s="852"/>
      <c r="F61" s="1846">
        <f>'Expenditures 15-22'!K170</f>
        <v>5196505</v>
      </c>
      <c r="G61" s="838"/>
    </row>
    <row r="62" spans="1:7" x14ac:dyDescent="0.2">
      <c r="A62" s="842" t="s">
        <v>461</v>
      </c>
      <c r="B62" s="842" t="s">
        <v>1849</v>
      </c>
      <c r="C62" s="859">
        <f>'Expenditures 15-22'!B185</f>
        <v>3000</v>
      </c>
      <c r="D62" s="849" t="s">
        <v>449</v>
      </c>
      <c r="E62" s="841"/>
      <c r="F62" s="1846">
        <f>'Expenditures 15-22'!K185-SUM('Expenditures 15-22'!G185,'Expenditures 15-22'!I185)</f>
        <v>0</v>
      </c>
      <c r="G62" s="838"/>
    </row>
    <row r="63" spans="1:7" x14ac:dyDescent="0.2">
      <c r="A63" s="842" t="s">
        <v>461</v>
      </c>
      <c r="B63" s="842" t="s">
        <v>1850</v>
      </c>
      <c r="C63" s="859" t="str">
        <f>'Expenditures 15-22'!B196</f>
        <v>4000</v>
      </c>
      <c r="D63" s="860" t="str">
        <f>'Expenditures 15-22'!A196</f>
        <v>Total Payments to Other Govt Units</v>
      </c>
      <c r="E63" s="841"/>
      <c r="F63" s="1846">
        <f>'Expenditures 15-22'!K196</f>
        <v>0</v>
      </c>
      <c r="G63" s="838"/>
    </row>
    <row r="64" spans="1:7" x14ac:dyDescent="0.2">
      <c r="A64" s="868" t="s">
        <v>461</v>
      </c>
      <c r="B64" s="868" t="s">
        <v>1851</v>
      </c>
      <c r="C64" s="869" t="str">
        <f>'Expenditures 15-22'!B206</f>
        <v>5300</v>
      </c>
      <c r="D64" s="865" t="s">
        <v>311</v>
      </c>
      <c r="E64" s="841"/>
      <c r="F64" s="1846">
        <f>'Expenditures 15-22'!K206</f>
        <v>0</v>
      </c>
      <c r="G64" s="838"/>
    </row>
    <row r="65" spans="1:8" x14ac:dyDescent="0.2">
      <c r="A65" s="842" t="s">
        <v>461</v>
      </c>
      <c r="B65" s="842" t="s">
        <v>1852</v>
      </c>
      <c r="C65" s="859" t="s">
        <v>982</v>
      </c>
      <c r="D65" s="858" t="s">
        <v>1095</v>
      </c>
      <c r="E65" s="841"/>
      <c r="F65" s="1846">
        <f>'Expenditures 15-22'!G210</f>
        <v>0</v>
      </c>
      <c r="G65" s="838"/>
    </row>
    <row r="66" spans="1:8" x14ac:dyDescent="0.2">
      <c r="A66" s="842" t="s">
        <v>461</v>
      </c>
      <c r="B66" s="842" t="s">
        <v>1853</v>
      </c>
      <c r="C66" s="859" t="s">
        <v>982</v>
      </c>
      <c r="D66" s="858" t="s">
        <v>291</v>
      </c>
      <c r="E66" s="841"/>
      <c r="F66" s="1846">
        <f>'Expenditures 15-22'!I210</f>
        <v>0</v>
      </c>
      <c r="G66" s="838"/>
    </row>
    <row r="67" spans="1:8" x14ac:dyDescent="0.2">
      <c r="A67" s="842" t="s">
        <v>462</v>
      </c>
      <c r="B67" s="842" t="s">
        <v>1854</v>
      </c>
      <c r="C67" s="859" t="str">
        <f>'Expenditures 15-22'!B216</f>
        <v>1125</v>
      </c>
      <c r="D67" s="865" t="str">
        <f>'Expenditures 15-22'!A216</f>
        <v>Pre-K Programs</v>
      </c>
      <c r="E67" s="841"/>
      <c r="F67" s="1846">
        <f>'Expenditures 15-22'!K216</f>
        <v>76274</v>
      </c>
      <c r="G67" s="838"/>
    </row>
    <row r="68" spans="1:8" x14ac:dyDescent="0.2">
      <c r="A68" s="842" t="s">
        <v>462</v>
      </c>
      <c r="B68" s="842" t="s">
        <v>1465</v>
      </c>
      <c r="C68" s="859" t="str">
        <f>'Expenditures 15-22'!B218</f>
        <v>1225</v>
      </c>
      <c r="D68" s="865" t="str">
        <f>'Expenditures 15-22'!A218</f>
        <v>Special Education Programs - Pre-K</v>
      </c>
      <c r="E68" s="841"/>
      <c r="F68" s="1846">
        <f>'Expenditures 15-22'!K218</f>
        <v>50459</v>
      </c>
      <c r="G68" s="838"/>
    </row>
    <row r="69" spans="1:8" x14ac:dyDescent="0.2">
      <c r="A69" s="842" t="s">
        <v>462</v>
      </c>
      <c r="B69" s="842" t="s">
        <v>1855</v>
      </c>
      <c r="C69" s="859" t="str">
        <f>'Expenditures 15-22'!B220</f>
        <v>1275</v>
      </c>
      <c r="D69" s="865" t="str">
        <f>'Expenditures 15-22'!A220</f>
        <v>Remedial and Supplemental Programs - Pre-K</v>
      </c>
      <c r="E69" s="841"/>
      <c r="F69" s="1846">
        <f>'Expenditures 15-22'!K220</f>
        <v>0</v>
      </c>
      <c r="G69" s="838"/>
    </row>
    <row r="70" spans="1:8" x14ac:dyDescent="0.2">
      <c r="A70" s="842" t="s">
        <v>462</v>
      </c>
      <c r="B70" s="842" t="s">
        <v>1856</v>
      </c>
      <c r="C70" s="859">
        <f>'Expenditures 15-22'!B221</f>
        <v>1300</v>
      </c>
      <c r="D70" s="860" t="str">
        <f>'Expenditures 15-22'!A221</f>
        <v>Adult/Continuing Education Programs</v>
      </c>
      <c r="E70" s="841"/>
      <c r="F70" s="1846">
        <f>'Expenditures 15-22'!K221</f>
        <v>0</v>
      </c>
      <c r="G70" s="838"/>
    </row>
    <row r="71" spans="1:8" x14ac:dyDescent="0.2">
      <c r="A71" s="842" t="s">
        <v>462</v>
      </c>
      <c r="B71" s="842" t="s">
        <v>1857</v>
      </c>
      <c r="C71" s="859">
        <f>'Expenditures 15-22'!B224</f>
        <v>1600</v>
      </c>
      <c r="D71" s="860" t="str">
        <f>'Expenditures 15-22'!A224</f>
        <v>Summer School Programs</v>
      </c>
      <c r="E71" s="841"/>
      <c r="F71" s="1846">
        <f>'Expenditures 15-22'!K224</f>
        <v>17126</v>
      </c>
      <c r="G71" s="838"/>
    </row>
    <row r="72" spans="1:8" x14ac:dyDescent="0.2">
      <c r="A72" s="842" t="s">
        <v>462</v>
      </c>
      <c r="B72" s="842" t="s">
        <v>1858</v>
      </c>
      <c r="C72" s="859">
        <f>'Expenditures 15-22'!B280</f>
        <v>3000</v>
      </c>
      <c r="D72" s="849" t="s">
        <v>449</v>
      </c>
      <c r="E72" s="841"/>
      <c r="F72" s="1846">
        <f>'Expenditures 15-22'!K280</f>
        <v>15706</v>
      </c>
      <c r="G72" s="838"/>
    </row>
    <row r="73" spans="1:8" x14ac:dyDescent="0.2">
      <c r="A73" s="842" t="s">
        <v>462</v>
      </c>
      <c r="B73" s="842" t="s">
        <v>1859</v>
      </c>
      <c r="C73" s="859" t="str">
        <f>'Expenditures 15-22'!B285</f>
        <v>4000</v>
      </c>
      <c r="D73" s="860" t="str">
        <f>'Expenditures 15-22'!A285</f>
        <v>Total Payments to Other Govt Units</v>
      </c>
      <c r="E73" s="841"/>
      <c r="F73" s="1846">
        <f>'Expenditures 15-22'!K285</f>
        <v>0</v>
      </c>
      <c r="G73" s="838"/>
    </row>
    <row r="74" spans="1:8" x14ac:dyDescent="0.2">
      <c r="A74" s="842" t="s">
        <v>436</v>
      </c>
      <c r="B74" s="842" t="s">
        <v>1860</v>
      </c>
      <c r="C74" s="859" t="s">
        <v>860</v>
      </c>
      <c r="D74" s="860" t="s">
        <v>1473</v>
      </c>
      <c r="E74" s="841"/>
      <c r="F74" s="1850">
        <f>'Expenditures 15-22'!K334</f>
        <v>0</v>
      </c>
      <c r="G74" s="838"/>
    </row>
    <row r="75" spans="1:8" ht="5.25" customHeight="1" x14ac:dyDescent="0.2">
      <c r="A75" s="838"/>
      <c r="B75" s="848"/>
      <c r="C75" s="848"/>
      <c r="D75" s="838"/>
      <c r="E75" s="841"/>
      <c r="F75" s="855"/>
      <c r="G75" s="840"/>
    </row>
    <row r="76" spans="1:8" ht="12" thickBot="1" x14ac:dyDescent="0.25">
      <c r="A76" s="1743"/>
      <c r="B76" s="1749"/>
      <c r="C76" s="1745"/>
      <c r="D76" s="1750" t="s">
        <v>1861</v>
      </c>
      <c r="E76" s="1747" t="s">
        <v>958</v>
      </c>
      <c r="F76" s="1751">
        <f>SUM(F18:F74)</f>
        <v>14680132</v>
      </c>
      <c r="G76" s="838"/>
    </row>
    <row r="77" spans="1:8" s="866" customFormat="1" ht="12" customHeight="1" thickTop="1" thickBot="1" x14ac:dyDescent="0.25">
      <c r="A77" s="1752"/>
      <c r="B77" s="1749"/>
      <c r="C77" s="1745"/>
      <c r="D77" s="1750" t="s">
        <v>1862</v>
      </c>
      <c r="E77" s="1747"/>
      <c r="F77" s="1753">
        <f>(F14-F76)</f>
        <v>137175806</v>
      </c>
      <c r="G77" s="842"/>
    </row>
    <row r="78" spans="1:8" s="866" customFormat="1" ht="12" customHeight="1" thickTop="1" x14ac:dyDescent="0.2">
      <c r="A78" s="1754"/>
      <c r="B78" s="1749"/>
      <c r="C78" s="1745"/>
      <c r="D78" s="1750" t="s">
        <v>2021</v>
      </c>
      <c r="E78" s="1747"/>
      <c r="F78" s="871">
        <v>10142.200000000001</v>
      </c>
      <c r="G78" s="872"/>
      <c r="H78" s="842"/>
    </row>
    <row r="79" spans="1:8" s="866" customFormat="1" ht="12" customHeight="1" thickBot="1" x14ac:dyDescent="0.25">
      <c r="A79" s="1755"/>
      <c r="B79" s="1749"/>
      <c r="C79" s="1745"/>
      <c r="D79" s="1750" t="s">
        <v>1863</v>
      </c>
      <c r="E79" s="1747" t="s">
        <v>958</v>
      </c>
      <c r="F79" s="1756">
        <f>IF(F78&gt;0,F77/F78," Complete Line 78")</f>
        <v>13525.251523338131</v>
      </c>
      <c r="G79" s="842"/>
    </row>
    <row r="80" spans="1:8" s="866" customFormat="1" ht="8.25" customHeight="1" thickTop="1" x14ac:dyDescent="0.2">
      <c r="A80" s="873"/>
      <c r="B80" s="842"/>
      <c r="C80" s="844"/>
      <c r="D80" s="874"/>
      <c r="E80" s="841"/>
      <c r="F80" s="875"/>
      <c r="G80" s="842"/>
    </row>
    <row r="81" spans="1:7" s="866" customFormat="1" ht="12" thickBot="1" x14ac:dyDescent="0.25">
      <c r="A81" s="2309" t="s">
        <v>1105</v>
      </c>
      <c r="B81" s="2310"/>
      <c r="C81" s="2310"/>
      <c r="D81" s="2310"/>
      <c r="E81" s="2310"/>
      <c r="F81" s="2311"/>
      <c r="G81" s="842"/>
    </row>
    <row r="82" spans="1:7" s="866" customFormat="1" ht="5.25" customHeight="1" thickTop="1" x14ac:dyDescent="0.2">
      <c r="A82" s="842"/>
      <c r="B82" s="842"/>
      <c r="C82" s="844"/>
      <c r="D82" s="842"/>
      <c r="E82" s="844"/>
      <c r="F82" s="842"/>
      <c r="G82" s="876"/>
    </row>
    <row r="83" spans="1:7" ht="12" customHeight="1" x14ac:dyDescent="0.2">
      <c r="A83" s="877" t="s">
        <v>813</v>
      </c>
      <c r="B83" s="878"/>
      <c r="C83" s="879"/>
      <c r="D83" s="880"/>
      <c r="E83" s="879"/>
      <c r="F83" s="878"/>
      <c r="G83" s="878"/>
    </row>
    <row r="84" spans="1:7" x14ac:dyDescent="0.2">
      <c r="A84" s="881" t="s">
        <v>461</v>
      </c>
      <c r="B84" s="882" t="s">
        <v>146</v>
      </c>
      <c r="C84" s="883">
        <f>'Revenues 9-14'!B42</f>
        <v>1411</v>
      </c>
      <c r="D84" s="884" t="str">
        <f>'Revenues 9-14'!A42</f>
        <v>Regular -Transp Fees from Pupils or Parents (In State)</v>
      </c>
      <c r="E84" s="879" t="s">
        <v>958</v>
      </c>
      <c r="F84" s="1840">
        <f>'Revenues 9-14'!F42</f>
        <v>0</v>
      </c>
      <c r="G84" s="885"/>
    </row>
    <row r="85" spans="1:7" x14ac:dyDescent="0.2">
      <c r="A85" s="881" t="s">
        <v>461</v>
      </c>
      <c r="B85" s="881" t="s">
        <v>183</v>
      </c>
      <c r="C85" s="886">
        <f>'Revenues 9-14'!B44</f>
        <v>1413</v>
      </c>
      <c r="D85" s="884" t="str">
        <f>'Revenues 9-14'!A44</f>
        <v>Regular - Transp Fees from Other Sources (In State)</v>
      </c>
      <c r="E85" s="879"/>
      <c r="F85" s="1762">
        <f>'Revenues 9-14'!F44</f>
        <v>0</v>
      </c>
      <c r="G85" s="887"/>
    </row>
    <row r="86" spans="1:7" x14ac:dyDescent="0.2">
      <c r="A86" s="881" t="s">
        <v>461</v>
      </c>
      <c r="B86" s="881" t="s">
        <v>166</v>
      </c>
      <c r="C86" s="883">
        <f>'Revenues 9-14'!B45</f>
        <v>1415</v>
      </c>
      <c r="D86" s="884" t="str">
        <f>'Revenues 9-14'!A45</f>
        <v>Regular - Transp Fees from Co-curricular Activities (In State)</v>
      </c>
      <c r="E86" s="879"/>
      <c r="F86" s="1762">
        <f>'Revenues 9-14'!F45</f>
        <v>0</v>
      </c>
      <c r="G86" s="887"/>
    </row>
    <row r="87" spans="1:7" x14ac:dyDescent="0.2">
      <c r="A87" s="881" t="s">
        <v>461</v>
      </c>
      <c r="B87" s="881" t="s">
        <v>167</v>
      </c>
      <c r="C87" s="883">
        <v>1416</v>
      </c>
      <c r="D87" s="884" t="str">
        <f>'Revenues 9-14'!A46</f>
        <v>Regular Transp Fees from Other Sources (Out of State)</v>
      </c>
      <c r="E87" s="879"/>
      <c r="F87" s="1762">
        <f>'Revenues 9-14'!F46</f>
        <v>0</v>
      </c>
      <c r="G87" s="887"/>
    </row>
    <row r="88" spans="1:7" x14ac:dyDescent="0.2">
      <c r="A88" s="881" t="s">
        <v>461</v>
      </c>
      <c r="B88" s="881" t="s">
        <v>168</v>
      </c>
      <c r="C88" s="883">
        <f>'Revenues 9-14'!B51</f>
        <v>1431</v>
      </c>
      <c r="D88" s="884" t="str">
        <f>'Revenues 9-14'!A51</f>
        <v>CTE - Transp Fees from Pupils or Parents (In State)</v>
      </c>
      <c r="E88" s="879"/>
      <c r="F88" s="1762">
        <f>'Revenues 9-14'!F51</f>
        <v>0</v>
      </c>
      <c r="G88" s="887"/>
    </row>
    <row r="89" spans="1:7" x14ac:dyDescent="0.2">
      <c r="A89" s="881" t="s">
        <v>461</v>
      </c>
      <c r="B89" s="881" t="s">
        <v>169</v>
      </c>
      <c r="C89" s="883">
        <f>'Revenues 9-14'!B53</f>
        <v>1433</v>
      </c>
      <c r="D89" s="884" t="str">
        <f>'Revenues 9-14'!A53</f>
        <v>CTE - Transp Fees from Other Sources (In State)</v>
      </c>
      <c r="E89" s="879"/>
      <c r="F89" s="1762">
        <f>'Revenues 9-14'!F53</f>
        <v>0</v>
      </c>
      <c r="G89" s="887"/>
    </row>
    <row r="90" spans="1:7" x14ac:dyDescent="0.2">
      <c r="A90" s="881" t="s">
        <v>461</v>
      </c>
      <c r="B90" s="881" t="s">
        <v>170</v>
      </c>
      <c r="C90" s="883">
        <f>'Revenues 9-14'!B54</f>
        <v>1434</v>
      </c>
      <c r="D90" s="884" t="str">
        <f>'Revenues 9-14'!A54</f>
        <v>CTE - Transp Fees from Other Sources (Out of State)</v>
      </c>
      <c r="E90" s="879"/>
      <c r="F90" s="1762">
        <f>'Revenues 9-14'!F54</f>
        <v>0</v>
      </c>
      <c r="G90" s="887"/>
    </row>
    <row r="91" spans="1:7" x14ac:dyDescent="0.2">
      <c r="A91" s="881" t="s">
        <v>461</v>
      </c>
      <c r="B91" s="881" t="s">
        <v>171</v>
      </c>
      <c r="C91" s="888">
        <f>'Revenues 9-14'!B55</f>
        <v>1441</v>
      </c>
      <c r="D91" s="884" t="str">
        <f>'Revenues 9-14'!A55</f>
        <v>Special Ed - Transp Fees from Pupils or Parents (In State)</v>
      </c>
      <c r="E91" s="879"/>
      <c r="F91" s="1762">
        <f>'Revenues 9-14'!F55</f>
        <v>0</v>
      </c>
      <c r="G91" s="887"/>
    </row>
    <row r="92" spans="1:7" x14ac:dyDescent="0.2">
      <c r="A92" s="881" t="s">
        <v>461</v>
      </c>
      <c r="B92" s="881" t="s">
        <v>172</v>
      </c>
      <c r="C92" s="883">
        <f>'Revenues 9-14'!B57</f>
        <v>1443</v>
      </c>
      <c r="D92" s="884" t="str">
        <f>'Revenues 9-14'!A57</f>
        <v>Special Ed - Transp Fees from Other Sources (In State)</v>
      </c>
      <c r="E92" s="879"/>
      <c r="F92" s="1762">
        <f>'Revenues 9-14'!F57</f>
        <v>0</v>
      </c>
      <c r="G92" s="889"/>
    </row>
    <row r="93" spans="1:7" x14ac:dyDescent="0.2">
      <c r="A93" s="881" t="s">
        <v>461</v>
      </c>
      <c r="B93" s="881" t="s">
        <v>173</v>
      </c>
      <c r="C93" s="883">
        <f>'Revenues 9-14'!B58</f>
        <v>1444</v>
      </c>
      <c r="D93" s="884" t="str">
        <f>'Revenues 9-14'!A58</f>
        <v>Special Ed - Transp Fees from Other Sources (Out of State)</v>
      </c>
      <c r="E93" s="879"/>
      <c r="F93" s="1762">
        <f>'Revenues 9-14'!F58</f>
        <v>0</v>
      </c>
      <c r="G93" s="889"/>
    </row>
    <row r="94" spans="1:7" x14ac:dyDescent="0.2">
      <c r="A94" s="881" t="s">
        <v>459</v>
      </c>
      <c r="B94" s="881" t="s">
        <v>174</v>
      </c>
      <c r="C94" s="883">
        <v>1600</v>
      </c>
      <c r="D94" s="890" t="str">
        <f>'Revenues 9-14'!A75</f>
        <v>Total Food Service</v>
      </c>
      <c r="E94" s="879"/>
      <c r="F94" s="1762">
        <f>'Revenues 9-14'!C75</f>
        <v>0</v>
      </c>
      <c r="G94" s="885"/>
    </row>
    <row r="95" spans="1:7" x14ac:dyDescent="0.2">
      <c r="A95" s="881" t="s">
        <v>140</v>
      </c>
      <c r="B95" s="881" t="s">
        <v>175</v>
      </c>
      <c r="C95" s="883">
        <v>1700</v>
      </c>
      <c r="D95" s="891" t="str">
        <f>'Revenues 9-14'!A82</f>
        <v>Total District/School Activity Income</v>
      </c>
      <c r="E95" s="879"/>
      <c r="F95" s="1762">
        <f>SUM('Revenues 9-14'!C82,'Revenues 9-14'!D82)</f>
        <v>144316</v>
      </c>
      <c r="G95" s="885"/>
    </row>
    <row r="96" spans="1:7" x14ac:dyDescent="0.2">
      <c r="A96" s="881" t="s">
        <v>459</v>
      </c>
      <c r="B96" s="881" t="s">
        <v>176</v>
      </c>
      <c r="C96" s="883">
        <f>'Revenues 9-14'!B84</f>
        <v>1811</v>
      </c>
      <c r="D96" s="884" t="str">
        <f>'Revenues 9-14'!A84</f>
        <v>Rentals - Regular Textbooks</v>
      </c>
      <c r="E96" s="879"/>
      <c r="F96" s="1762">
        <f>'Revenues 9-14'!C84</f>
        <v>0</v>
      </c>
      <c r="G96" s="885"/>
    </row>
    <row r="97" spans="1:7" x14ac:dyDescent="0.2">
      <c r="A97" s="881" t="s">
        <v>459</v>
      </c>
      <c r="B97" s="881" t="s">
        <v>177</v>
      </c>
      <c r="C97" s="883">
        <f>'Revenues 9-14'!B87</f>
        <v>1819</v>
      </c>
      <c r="D97" s="884" t="str">
        <f>'Revenues 9-14'!A87</f>
        <v>Rentals - Other (Describe &amp; Itemize)</v>
      </c>
      <c r="E97" s="879"/>
      <c r="F97" s="1762">
        <f>'Revenues 9-14'!C87</f>
        <v>0</v>
      </c>
      <c r="G97" s="885"/>
    </row>
    <row r="98" spans="1:7" x14ac:dyDescent="0.2">
      <c r="A98" s="881" t="s">
        <v>459</v>
      </c>
      <c r="B98" s="881" t="s">
        <v>178</v>
      </c>
      <c r="C98" s="883">
        <f>'Revenues 9-14'!B88</f>
        <v>1821</v>
      </c>
      <c r="D98" s="884" t="str">
        <f>'Revenues 9-14'!A88</f>
        <v>Sales - Regular Textbooks</v>
      </c>
      <c r="E98" s="879"/>
      <c r="F98" s="1762">
        <f>'Revenues 9-14'!C88</f>
        <v>0</v>
      </c>
      <c r="G98" s="885"/>
    </row>
    <row r="99" spans="1:7" x14ac:dyDescent="0.2">
      <c r="A99" s="881" t="s">
        <v>459</v>
      </c>
      <c r="B99" s="881" t="s">
        <v>179</v>
      </c>
      <c r="C99" s="883">
        <f>'Revenues 9-14'!B91</f>
        <v>1829</v>
      </c>
      <c r="D99" s="884" t="str">
        <f>'Revenues 9-14'!A91</f>
        <v>Sales - Other (Describe &amp; Itemize)</v>
      </c>
      <c r="E99" s="879"/>
      <c r="F99" s="1762">
        <f>'Revenues 9-14'!C91</f>
        <v>0</v>
      </c>
      <c r="G99" s="885"/>
    </row>
    <row r="100" spans="1:7" x14ac:dyDescent="0.2">
      <c r="A100" s="881" t="s">
        <v>459</v>
      </c>
      <c r="B100" s="881" t="s">
        <v>180</v>
      </c>
      <c r="C100" s="883">
        <f>'Revenues 9-14'!B92</f>
        <v>1890</v>
      </c>
      <c r="D100" s="884" t="str">
        <f>'Revenues 9-14'!A92</f>
        <v>Other (Describe &amp; Itemize)</v>
      </c>
      <c r="E100" s="879"/>
      <c r="F100" s="1762">
        <f>'Revenues 9-14'!C92</f>
        <v>3564</v>
      </c>
      <c r="G100" s="885"/>
    </row>
    <row r="101" spans="1:7" x14ac:dyDescent="0.2">
      <c r="A101" s="881" t="s">
        <v>140</v>
      </c>
      <c r="B101" s="881" t="s">
        <v>181</v>
      </c>
      <c r="C101" s="883">
        <f>'Revenues 9-14'!B95</f>
        <v>1910</v>
      </c>
      <c r="D101" s="884" t="str">
        <f>'Revenues 9-14'!A95</f>
        <v>Rentals</v>
      </c>
      <c r="E101" s="879"/>
      <c r="F101" s="1762">
        <f>SUM('Revenues 9-14'!C95:D95)</f>
        <v>64720</v>
      </c>
      <c r="G101" s="885"/>
    </row>
    <row r="102" spans="1:7" x14ac:dyDescent="0.2">
      <c r="A102" s="881" t="s">
        <v>503</v>
      </c>
      <c r="B102" s="881" t="s">
        <v>182</v>
      </c>
      <c r="C102" s="883">
        <f>'Revenues 9-14'!B98</f>
        <v>1940</v>
      </c>
      <c r="D102" s="884" t="str">
        <f>'Revenues 9-14'!A98</f>
        <v>Services Provided Other Districts</v>
      </c>
      <c r="E102" s="879"/>
      <c r="F102" s="1762">
        <f>SUM('Revenues 9-14'!C98,'Revenues 9-14'!D98,'Revenues 9-14'!F98)</f>
        <v>0</v>
      </c>
      <c r="G102" s="885"/>
    </row>
    <row r="103" spans="1:7" x14ac:dyDescent="0.2">
      <c r="A103" s="881" t="s">
        <v>1009</v>
      </c>
      <c r="B103" s="881" t="s">
        <v>801</v>
      </c>
      <c r="C103" s="883">
        <f>'Revenues 9-14'!B104</f>
        <v>1991</v>
      </c>
      <c r="D103" s="892" t="str">
        <f>'Revenues 9-14'!A104</f>
        <v>Payment from Other Districts</v>
      </c>
      <c r="E103" s="879"/>
      <c r="F103" s="1762">
        <f>SUM('Revenues 9-14'!C104,'Revenues 9-14'!D104,'Revenues 9-14'!E104,'Revenues 9-14'!F104,'Revenues 9-14'!G104)</f>
        <v>0</v>
      </c>
      <c r="G103" s="885"/>
    </row>
    <row r="104" spans="1:7" x14ac:dyDescent="0.2">
      <c r="A104" s="881" t="s">
        <v>459</v>
      </c>
      <c r="B104" s="881" t="s">
        <v>808</v>
      </c>
      <c r="C104" s="883">
        <f>'Revenues 9-14'!B106</f>
        <v>1993</v>
      </c>
      <c r="D104" s="884" t="str">
        <f>'Revenues 9-14'!A106</f>
        <v>Other Local Fees (Describe &amp; Itemize)</v>
      </c>
      <c r="E104" s="879"/>
      <c r="F104" s="1762">
        <f>('Revenues 9-14'!C106)</f>
        <v>0</v>
      </c>
      <c r="G104" s="885"/>
    </row>
    <row r="105" spans="1:7" x14ac:dyDescent="0.2">
      <c r="A105" s="881" t="s">
        <v>503</v>
      </c>
      <c r="B105" s="881" t="s">
        <v>1962</v>
      </c>
      <c r="C105" s="886">
        <v>3100</v>
      </c>
      <c r="D105" s="892" t="str">
        <f>'Revenues 9-14'!A132</f>
        <v>Total Special Education</v>
      </c>
      <c r="E105" s="879"/>
      <c r="F105" s="1762">
        <f>SUM('Revenues 9-14'!C132:D132,'Revenues 9-14'!F132)</f>
        <v>1230674</v>
      </c>
      <c r="G105" s="885"/>
    </row>
    <row r="106" spans="1:7" x14ac:dyDescent="0.2">
      <c r="A106" s="881" t="s">
        <v>673</v>
      </c>
      <c r="B106" s="881" t="s">
        <v>1963</v>
      </c>
      <c r="C106" s="893">
        <v>3200</v>
      </c>
      <c r="D106" s="884" t="str">
        <f>'Revenues 9-14'!A141</f>
        <v>Total Career and Technical Education</v>
      </c>
      <c r="E106" s="879"/>
      <c r="F106" s="1762">
        <f>SUM('Revenues 9-14'!C141,'Revenues 9-14'!D141,'Revenues 9-14'!G141)</f>
        <v>0</v>
      </c>
      <c r="G106" s="885"/>
    </row>
    <row r="107" spans="1:7" x14ac:dyDescent="0.2">
      <c r="A107" s="894" t="s">
        <v>664</v>
      </c>
      <c r="B107" s="881" t="s">
        <v>1964</v>
      </c>
      <c r="C107" s="893">
        <v>3300</v>
      </c>
      <c r="D107" s="884" t="str">
        <f>'Revenues 9-14'!A145</f>
        <v>Total Bilingual Ed</v>
      </c>
      <c r="E107" s="879"/>
      <c r="F107" s="1762">
        <f>SUM('Revenues 9-14'!C145,'Revenues 9-14'!G145)</f>
        <v>0</v>
      </c>
      <c r="G107" s="885"/>
    </row>
    <row r="108" spans="1:7" x14ac:dyDescent="0.2">
      <c r="A108" s="881" t="s">
        <v>459</v>
      </c>
      <c r="B108" s="881" t="s">
        <v>1965</v>
      </c>
      <c r="C108" s="893">
        <f>'Revenues 9-14'!B146</f>
        <v>3360</v>
      </c>
      <c r="D108" s="884" t="str">
        <f>'Revenues 9-14'!A146</f>
        <v>State Free Lunch &amp; Breakfast</v>
      </c>
      <c r="E108" s="879"/>
      <c r="F108" s="1762">
        <f>'Revenues 9-14'!C146</f>
        <v>145013</v>
      </c>
      <c r="G108" s="885"/>
    </row>
    <row r="109" spans="1:7" x14ac:dyDescent="0.2">
      <c r="A109" s="881" t="s">
        <v>673</v>
      </c>
      <c r="B109" s="881" t="s">
        <v>1966</v>
      </c>
      <c r="C109" s="893">
        <f>'Revenues 9-14'!B147</f>
        <v>3365</v>
      </c>
      <c r="D109" s="884" t="str">
        <f>'Revenues 9-14'!A147</f>
        <v>School Breakfast Initiative</v>
      </c>
      <c r="E109" s="879"/>
      <c r="F109" s="1762">
        <f>SUM('Revenues 9-14'!C147,'Revenues 9-14'!D147,'Revenues 9-14'!G147)</f>
        <v>0</v>
      </c>
      <c r="G109" s="885"/>
    </row>
    <row r="110" spans="1:7" x14ac:dyDescent="0.2">
      <c r="A110" s="881" t="s">
        <v>140</v>
      </c>
      <c r="B110" s="881" t="s">
        <v>1967</v>
      </c>
      <c r="C110" s="893">
        <f>'Revenues 9-14'!B148</f>
        <v>3370</v>
      </c>
      <c r="D110" s="884" t="str">
        <f>'Revenues 9-14'!A148</f>
        <v>Driver Education</v>
      </c>
      <c r="E110" s="879"/>
      <c r="F110" s="1762">
        <f>SUM('Revenues 9-14'!C148,'Revenues 9-14'!D148)</f>
        <v>0</v>
      </c>
      <c r="G110" s="885"/>
    </row>
    <row r="111" spans="1:7" x14ac:dyDescent="0.2">
      <c r="A111" s="881" t="s">
        <v>668</v>
      </c>
      <c r="B111" s="881" t="s">
        <v>1968</v>
      </c>
      <c r="C111" s="895">
        <v>3500</v>
      </c>
      <c r="D111" s="884" t="str">
        <f>'Revenues 9-14'!A155</f>
        <v>Total Transportation</v>
      </c>
      <c r="E111" s="879"/>
      <c r="F111" s="1762">
        <f>SUM('Revenues 9-14'!C155,'Revenues 9-14'!D155,'Revenues 9-14'!F155,'Revenues 9-14'!G155)</f>
        <v>2816687</v>
      </c>
      <c r="G111" s="885"/>
    </row>
    <row r="112" spans="1:7" x14ac:dyDescent="0.2">
      <c r="A112" s="881" t="s">
        <v>459</v>
      </c>
      <c r="B112" s="881" t="s">
        <v>1969</v>
      </c>
      <c r="C112" s="893">
        <f>'Revenues 9-14'!B156</f>
        <v>3610</v>
      </c>
      <c r="D112" s="884" t="str">
        <f>'Revenues 9-14'!A156</f>
        <v>Learning Improvement - Change Grants</v>
      </c>
      <c r="E112" s="879"/>
      <c r="F112" s="1762">
        <f>'Revenues 9-14'!C156</f>
        <v>0</v>
      </c>
      <c r="G112" s="885"/>
    </row>
    <row r="113" spans="1:7" x14ac:dyDescent="0.2">
      <c r="A113" s="881" t="s">
        <v>668</v>
      </c>
      <c r="B113" s="881" t="s">
        <v>1970</v>
      </c>
      <c r="C113" s="893">
        <f>'Revenues 9-14'!B157</f>
        <v>3660</v>
      </c>
      <c r="D113" s="884" t="str">
        <f>'Revenues 9-14'!A157</f>
        <v>Scientific Literacy</v>
      </c>
      <c r="E113" s="879"/>
      <c r="F113" s="1762">
        <f>SUM('Revenues 9-14'!C157,'Revenues 9-14'!D157,'Revenues 9-14'!F157,'Revenues 9-14'!G157)</f>
        <v>0</v>
      </c>
      <c r="G113" s="885"/>
    </row>
    <row r="114" spans="1:7" x14ac:dyDescent="0.2">
      <c r="A114" s="881" t="s">
        <v>5</v>
      </c>
      <c r="B114" s="881" t="s">
        <v>1971</v>
      </c>
      <c r="C114" s="893">
        <f>'Revenues 9-14'!B158</f>
        <v>3695</v>
      </c>
      <c r="D114" s="884" t="str">
        <f>'Revenues 9-14'!A158</f>
        <v>Truant Alternative/Optional Education</v>
      </c>
      <c r="E114" s="879"/>
      <c r="F114" s="1762">
        <f>SUM('Revenues 9-14'!C158,'Revenues 9-14'!F158,'Revenues 9-14'!G158)</f>
        <v>0</v>
      </c>
      <c r="G114" s="885"/>
    </row>
    <row r="115" spans="1:7" x14ac:dyDescent="0.2">
      <c r="A115" s="881" t="s">
        <v>668</v>
      </c>
      <c r="B115" s="881" t="s">
        <v>1972</v>
      </c>
      <c r="C115" s="893">
        <f>'Revenues 9-14'!B160</f>
        <v>3766</v>
      </c>
      <c r="D115" s="884" t="str">
        <f>'Revenues 9-14'!A160</f>
        <v>Chicago General Education Block Grant</v>
      </c>
      <c r="E115" s="879"/>
      <c r="F115" s="1762">
        <f>SUM('Revenues 9-14'!C160,'Revenues 9-14'!D160,'Revenues 9-14'!F160,'Revenues 9-14'!G160)</f>
        <v>0</v>
      </c>
      <c r="G115" s="885"/>
    </row>
    <row r="116" spans="1:7" x14ac:dyDescent="0.2">
      <c r="A116" s="881" t="s">
        <v>668</v>
      </c>
      <c r="B116" s="881" t="s">
        <v>1973</v>
      </c>
      <c r="C116" s="893">
        <f>'Revenues 9-14'!B161</f>
        <v>3767</v>
      </c>
      <c r="D116" s="884" t="str">
        <f>'Revenues 9-14'!A161</f>
        <v>Chicago Educational Services Block Grant</v>
      </c>
      <c r="E116" s="879"/>
      <c r="F116" s="1762">
        <f>SUM('Revenues 9-14'!C161,'Revenues 9-14'!D161,'Revenues 9-14'!F161,'Revenues 9-14'!G161)</f>
        <v>0</v>
      </c>
      <c r="G116" s="885"/>
    </row>
    <row r="117" spans="1:7" x14ac:dyDescent="0.2">
      <c r="A117" s="896" t="s">
        <v>1009</v>
      </c>
      <c r="B117" s="896" t="s">
        <v>1974</v>
      </c>
      <c r="C117" s="897">
        <f>'Revenues 9-14'!B162</f>
        <v>3775</v>
      </c>
      <c r="D117" s="898" t="str">
        <f>'Revenues 9-14'!A162</f>
        <v>School Safety &amp; Educational Improvement Block Grant</v>
      </c>
      <c r="E117" s="879"/>
      <c r="F117" s="1840">
        <f>SUM('Revenues 9-14'!C162,'Revenues 9-14'!D162,'Revenues 9-14'!E162,'Revenues 9-14'!F162,'Revenues 9-14'!G162)</f>
        <v>0</v>
      </c>
      <c r="G117" s="885"/>
    </row>
    <row r="118" spans="1:7" x14ac:dyDescent="0.2">
      <c r="A118" s="896" t="s">
        <v>1009</v>
      </c>
      <c r="B118" s="896" t="s">
        <v>1975</v>
      </c>
      <c r="C118" s="897">
        <f>'Revenues 9-14'!B163</f>
        <v>3780</v>
      </c>
      <c r="D118" s="898" t="str">
        <f>'Revenues 9-14'!A163</f>
        <v>Technology - Technology for Success</v>
      </c>
      <c r="E118" s="879"/>
      <c r="F118" s="1840">
        <f>SUM('Revenues 9-14'!C163:G163)</f>
        <v>0</v>
      </c>
      <c r="G118" s="885"/>
    </row>
    <row r="119" spans="1:7" x14ac:dyDescent="0.2">
      <c r="A119" s="896" t="s">
        <v>504</v>
      </c>
      <c r="B119" s="896" t="s">
        <v>1976</v>
      </c>
      <c r="C119" s="897">
        <f>'Revenues 9-14'!B164</f>
        <v>3815</v>
      </c>
      <c r="D119" s="898" t="str">
        <f>'Revenues 9-14'!A164</f>
        <v>State Charter Schools</v>
      </c>
      <c r="E119" s="879"/>
      <c r="F119" s="1840">
        <f>SUM('Revenues 9-14'!C164,'Revenues 9-14'!F164)</f>
        <v>0</v>
      </c>
      <c r="G119" s="885"/>
    </row>
    <row r="120" spans="1:7" x14ac:dyDescent="0.2">
      <c r="A120" s="900" t="s">
        <v>460</v>
      </c>
      <c r="B120" s="900" t="s">
        <v>1977</v>
      </c>
      <c r="C120" s="901">
        <f>'Revenues 9-14'!B167</f>
        <v>3925</v>
      </c>
      <c r="D120" s="902" t="str">
        <f>'Revenues 9-14'!A167</f>
        <v>School Infrastructure - Maintenance Projects</v>
      </c>
      <c r="E120" s="879"/>
      <c r="F120" s="1762">
        <f>'Revenues 9-14'!D167</f>
        <v>0</v>
      </c>
      <c r="G120" s="903"/>
    </row>
    <row r="121" spans="1:7" x14ac:dyDescent="0.2">
      <c r="A121" s="900" t="s">
        <v>500</v>
      </c>
      <c r="B121" s="900" t="s">
        <v>1978</v>
      </c>
      <c r="C121" s="901">
        <f>'Revenues 9-14'!B168</f>
        <v>3999</v>
      </c>
      <c r="D121" s="902" t="s">
        <v>543</v>
      </c>
      <c r="E121" s="904"/>
      <c r="F121" s="1762">
        <f>SUM('Revenues 9-14'!C168:G168,'Revenues 9-14'!J168)</f>
        <v>342564</v>
      </c>
      <c r="G121" s="903"/>
    </row>
    <row r="122" spans="1:7" x14ac:dyDescent="0.2">
      <c r="A122" s="900" t="s">
        <v>459</v>
      </c>
      <c r="B122" s="900" t="s">
        <v>1979</v>
      </c>
      <c r="C122" s="905">
        <f>'Revenues 9-14'!B177</f>
        <v>4045</v>
      </c>
      <c r="D122" s="902" t="str">
        <f>'Revenues 9-14'!A177 &amp; " (Subtract)"</f>
        <v>Head Start (Subtract)</v>
      </c>
      <c r="E122" s="879"/>
      <c r="F122" s="1762">
        <f>SUM(-'Revenues 9-14'!C177)</f>
        <v>0</v>
      </c>
      <c r="G122" s="903"/>
    </row>
    <row r="123" spans="1:7" x14ac:dyDescent="0.2">
      <c r="A123" s="900" t="s">
        <v>668</v>
      </c>
      <c r="B123" s="900" t="s">
        <v>1980</v>
      </c>
      <c r="C123" s="905" t="s">
        <v>982</v>
      </c>
      <c r="D123" s="902" t="str">
        <f>('Revenues 9-14'!A181)</f>
        <v>Total Restricted Grants-In-Aid Received Directly from Federal Govt</v>
      </c>
      <c r="E123" s="879"/>
      <c r="F123" s="1762">
        <f>SUM('Revenues 9-14'!C181,'Revenues 9-14'!D181,'Revenues 9-14'!F181,'Revenues 9-14'!G181)</f>
        <v>0</v>
      </c>
      <c r="G123" s="903"/>
    </row>
    <row r="124" spans="1:7" x14ac:dyDescent="0.2">
      <c r="A124" s="900" t="s">
        <v>668</v>
      </c>
      <c r="B124" s="900" t="s">
        <v>1981</v>
      </c>
      <c r="C124" s="905">
        <v>4100</v>
      </c>
      <c r="D124" s="906" t="str">
        <f>'Revenues 9-14'!A188</f>
        <v>Total Title V</v>
      </c>
      <c r="E124" s="879"/>
      <c r="F124" s="1762">
        <f>SUM('Revenues 9-14'!C188,'Revenues 9-14'!D188,'Revenues 9-14'!F188,'Revenues 9-14'!G188)</f>
        <v>0</v>
      </c>
      <c r="G124" s="903"/>
    </row>
    <row r="125" spans="1:7" x14ac:dyDescent="0.2">
      <c r="A125" s="900" t="s">
        <v>664</v>
      </c>
      <c r="B125" s="900" t="s">
        <v>1982</v>
      </c>
      <c r="C125" s="905">
        <v>4200</v>
      </c>
      <c r="D125" s="902" t="str">
        <f>'Revenues 9-14'!A198</f>
        <v>Total Food Service</v>
      </c>
      <c r="E125" s="879"/>
      <c r="F125" s="1762">
        <f>SUM('Revenues 9-14'!C198,'Revenues 9-14'!G198)</f>
        <v>7077356</v>
      </c>
      <c r="G125" s="903"/>
    </row>
    <row r="126" spans="1:7" x14ac:dyDescent="0.2">
      <c r="A126" s="900" t="s">
        <v>668</v>
      </c>
      <c r="B126" s="900" t="s">
        <v>1983</v>
      </c>
      <c r="C126" s="905">
        <v>4300</v>
      </c>
      <c r="D126" s="906" t="str">
        <f>'Revenues 9-14'!A204</f>
        <v>Total Title I</v>
      </c>
      <c r="E126" s="879"/>
      <c r="F126" s="1762">
        <f>SUM('Revenues 9-14'!C204,'Revenues 9-14'!D204,'Revenues 9-14'!F204,'Revenues 9-14'!G204)</f>
        <v>4650733</v>
      </c>
      <c r="G126" s="903"/>
    </row>
    <row r="127" spans="1:7" x14ac:dyDescent="0.2">
      <c r="A127" s="900" t="s">
        <v>668</v>
      </c>
      <c r="B127" s="900" t="s">
        <v>1984</v>
      </c>
      <c r="C127" s="905">
        <v>4400</v>
      </c>
      <c r="D127" s="906" t="str">
        <f>'Revenues 9-14'!A209</f>
        <v>Total Title IV</v>
      </c>
      <c r="E127" s="879"/>
      <c r="F127" s="1762">
        <f>SUM('Revenues 9-14'!C209,'Revenues 9-14'!D209,'Revenues 9-14'!F209,'Revenues 9-14'!G209)</f>
        <v>73058</v>
      </c>
      <c r="G127" s="903"/>
    </row>
    <row r="128" spans="1:7" x14ac:dyDescent="0.2">
      <c r="A128" s="900" t="s">
        <v>668</v>
      </c>
      <c r="B128" s="900" t="s">
        <v>1985</v>
      </c>
      <c r="C128" s="905">
        <f>'Revenues 9-14'!B213</f>
        <v>4620</v>
      </c>
      <c r="D128" s="906" t="str">
        <f>'Revenues 9-14'!A213</f>
        <v>Fed - Spec Education - IDEA - Flow Through</v>
      </c>
      <c r="E128" s="879"/>
      <c r="F128" s="1762">
        <f>SUM('Revenues 9-14'!C213:D213,'Revenues 9-14'!F213:G213)</f>
        <v>2560572</v>
      </c>
      <c r="G128" s="903"/>
    </row>
    <row r="129" spans="1:7" x14ac:dyDescent="0.2">
      <c r="A129" s="900" t="s">
        <v>668</v>
      </c>
      <c r="B129" s="900" t="s">
        <v>1986</v>
      </c>
      <c r="C129" s="905">
        <f>'Revenues 9-14'!B214</f>
        <v>4625</v>
      </c>
      <c r="D129" s="906" t="str">
        <f>'Revenues 9-14'!A214</f>
        <v>Fed - Spec Education - IDEA - Room &amp; Board</v>
      </c>
      <c r="E129" s="879"/>
      <c r="F129" s="1762">
        <f>SUM('Revenues 9-14'!C214,'Revenues 9-14'!D214,'Revenues 9-14'!F214,'Revenues 9-14'!G214)</f>
        <v>0</v>
      </c>
      <c r="G129" s="903"/>
    </row>
    <row r="130" spans="1:7" x14ac:dyDescent="0.2">
      <c r="A130" s="900" t="s">
        <v>668</v>
      </c>
      <c r="B130" s="900" t="s">
        <v>1987</v>
      </c>
      <c r="C130" s="905">
        <f>'Revenues 9-14'!B215</f>
        <v>4630</v>
      </c>
      <c r="D130" s="906" t="str">
        <f>'Revenues 9-14'!A215</f>
        <v>Fed - Spec Education - IDEA - Discretionary</v>
      </c>
      <c r="E130" s="879"/>
      <c r="F130" s="1762">
        <f>SUM('Revenues 9-14'!C215:D215,'Revenues 9-14'!F215:G215)</f>
        <v>0</v>
      </c>
      <c r="G130" s="903">
        <v>6297</v>
      </c>
    </row>
    <row r="131" spans="1:7" x14ac:dyDescent="0.2">
      <c r="A131" s="900" t="s">
        <v>668</v>
      </c>
      <c r="B131" s="900" t="s">
        <v>776</v>
      </c>
      <c r="C131" s="905">
        <f>'Revenues 9-14'!B216</f>
        <v>4699</v>
      </c>
      <c r="D131" s="906" t="str">
        <f>'Revenues 9-14'!A216</f>
        <v>Fed - Spec Education - IDEA - Other (Describe &amp; Itemize)</v>
      </c>
      <c r="E131" s="879"/>
      <c r="F131" s="1762">
        <f>SUM('Revenues 9-14'!C216:D216,'Revenues 9-14'!F216:G216)</f>
        <v>0</v>
      </c>
      <c r="G131" s="903"/>
    </row>
    <row r="132" spans="1:7" x14ac:dyDescent="0.2">
      <c r="A132" s="900" t="s">
        <v>673</v>
      </c>
      <c r="B132" s="900" t="s">
        <v>1988</v>
      </c>
      <c r="C132" s="905">
        <v>4700</v>
      </c>
      <c r="D132" s="902" t="str">
        <f>'Revenues 9-14'!A221</f>
        <v>Total CTE - Perkins</v>
      </c>
      <c r="E132" s="879"/>
      <c r="F132" s="1762">
        <f>SUM('Revenues 9-14'!C221,'Revenues 9-14'!D221,'Revenues 9-14'!G221)</f>
        <v>0</v>
      </c>
      <c r="G132" s="903">
        <v>6303</v>
      </c>
    </row>
    <row r="133" spans="1:7" s="840" customFormat="1" hidden="1" x14ac:dyDescent="0.2">
      <c r="A133" s="907" t="s">
        <v>206</v>
      </c>
      <c r="B133" s="907" t="s">
        <v>1989</v>
      </c>
      <c r="C133" s="908" t="s">
        <v>207</v>
      </c>
      <c r="D133" s="909" t="str">
        <f>'Revenues 9-14'!A224</f>
        <v>ARRA - Title I - Low Income</v>
      </c>
      <c r="E133" s="910"/>
      <c r="F133" s="1840">
        <f>SUM('Revenues 9-14'!$C$224:$D$224,'Revenues 9-14'!$F$224:$G$224)</f>
        <v>0</v>
      </c>
      <c r="G133" s="878"/>
    </row>
    <row r="134" spans="1:7" s="840" customFormat="1" hidden="1" x14ac:dyDescent="0.2">
      <c r="A134" s="907" t="s">
        <v>206</v>
      </c>
      <c r="B134" s="907" t="s">
        <v>1990</v>
      </c>
      <c r="C134" s="908" t="s">
        <v>208</v>
      </c>
      <c r="D134" s="909" t="str">
        <f>'Revenues 9-14'!A225</f>
        <v>ARRA - Title I - Neglected, Private</v>
      </c>
      <c r="E134" s="910"/>
      <c r="F134" s="1762">
        <f>SUM('Revenues 9-14'!C225:G225,'Revenues 9-14'!J225)</f>
        <v>0</v>
      </c>
      <c r="G134" s="878"/>
    </row>
    <row r="135" spans="1:7" s="840" customFormat="1" hidden="1" x14ac:dyDescent="0.2">
      <c r="A135" s="907" t="s">
        <v>206</v>
      </c>
      <c r="B135" s="907" t="s">
        <v>1991</v>
      </c>
      <c r="C135" s="908" t="s">
        <v>209</v>
      </c>
      <c r="D135" s="909" t="str">
        <f>'Revenues 9-14'!A226</f>
        <v>ARRA - Title I - Delinquent, Private</v>
      </c>
      <c r="E135" s="910"/>
      <c r="F135" s="1762">
        <f>SUM('Revenues 9-14'!C226:G226,'Revenues 9-14'!J226)</f>
        <v>0</v>
      </c>
      <c r="G135" s="878"/>
    </row>
    <row r="136" spans="1:7" s="840" customFormat="1" hidden="1" x14ac:dyDescent="0.2">
      <c r="A136" s="907" t="s">
        <v>206</v>
      </c>
      <c r="B136" s="907" t="s">
        <v>1992</v>
      </c>
      <c r="C136" s="908" t="s">
        <v>210</v>
      </c>
      <c r="D136" s="909" t="str">
        <f>'Revenues 9-14'!A227</f>
        <v>ARRA - Title I - School Improvement (Part A)</v>
      </c>
      <c r="E136" s="910"/>
      <c r="F136" s="1762">
        <f>SUM('Revenues 9-14'!C227:G227,'Revenues 9-14'!J227)</f>
        <v>0</v>
      </c>
      <c r="G136" s="878"/>
    </row>
    <row r="137" spans="1:7" s="840" customFormat="1" hidden="1" x14ac:dyDescent="0.2">
      <c r="A137" s="907" t="s">
        <v>206</v>
      </c>
      <c r="B137" s="907" t="s">
        <v>1993</v>
      </c>
      <c r="C137" s="908" t="s">
        <v>211</v>
      </c>
      <c r="D137" s="909" t="str">
        <f>'Revenues 9-14'!A228</f>
        <v>ARRA - Title I - School Improvement (Section 1003g)</v>
      </c>
      <c r="E137" s="910"/>
      <c r="F137" s="1762">
        <f>SUM('Revenues 9-14'!C228:G228,'Revenues 9-14'!J228)</f>
        <v>0</v>
      </c>
      <c r="G137" s="878"/>
    </row>
    <row r="138" spans="1:7" s="840" customFormat="1" hidden="1" x14ac:dyDescent="0.2">
      <c r="A138" s="907" t="s">
        <v>206</v>
      </c>
      <c r="B138" s="907" t="s">
        <v>1994</v>
      </c>
      <c r="C138" s="908" t="s">
        <v>212</v>
      </c>
      <c r="D138" s="909" t="str">
        <f>'Revenues 9-14'!A229</f>
        <v>ARRA - IDEA - Part B - Preschool</v>
      </c>
      <c r="E138" s="910"/>
      <c r="F138" s="1762">
        <v>0</v>
      </c>
      <c r="G138" s="878"/>
    </row>
    <row r="139" spans="1:7" s="840" customFormat="1" hidden="1" x14ac:dyDescent="0.2">
      <c r="A139" s="907" t="s">
        <v>206</v>
      </c>
      <c r="B139" s="907" t="s">
        <v>1995</v>
      </c>
      <c r="C139" s="908" t="s">
        <v>213</v>
      </c>
      <c r="D139" s="909" t="str">
        <f>'Revenues 9-14'!A230</f>
        <v>ARRA - IDEA - Part B - Flow-Through</v>
      </c>
      <c r="E139" s="910"/>
      <c r="F139" s="1762">
        <f>SUM('Revenues 9-14'!C230:G230,'Revenues 9-14'!J230)</f>
        <v>0</v>
      </c>
      <c r="G139" s="878"/>
    </row>
    <row r="140" spans="1:7" s="840" customFormat="1" hidden="1" x14ac:dyDescent="0.2">
      <c r="A140" s="907" t="s">
        <v>206</v>
      </c>
      <c r="B140" s="907" t="s">
        <v>1996</v>
      </c>
      <c r="C140" s="908" t="s">
        <v>214</v>
      </c>
      <c r="D140" s="909" t="str">
        <f>'Revenues 9-14'!A231</f>
        <v>ARRA - Title IID - Technology-Formula</v>
      </c>
      <c r="E140" s="910"/>
      <c r="F140" s="1762">
        <f>SUM('Revenues 9-14'!C231:G231,'Revenues 9-14'!J231)</f>
        <v>0</v>
      </c>
      <c r="G140" s="878"/>
    </row>
    <row r="141" spans="1:7" s="840" customFormat="1" hidden="1" x14ac:dyDescent="0.2">
      <c r="A141" s="907" t="s">
        <v>206</v>
      </c>
      <c r="B141" s="907" t="s">
        <v>1997</v>
      </c>
      <c r="C141" s="908" t="s">
        <v>216</v>
      </c>
      <c r="D141" s="909" t="str">
        <f>'Revenues 9-14'!A232</f>
        <v>ARRA - Title IID - Technology-Competitive</v>
      </c>
      <c r="E141" s="910"/>
      <c r="F141" s="1762">
        <f>SUM('Revenues 9-14'!C232:G232,'Revenues 9-14'!J232)</f>
        <v>0</v>
      </c>
      <c r="G141" s="878"/>
    </row>
    <row r="142" spans="1:7" s="840" customFormat="1" hidden="1" x14ac:dyDescent="0.2">
      <c r="A142" s="907" t="s">
        <v>668</v>
      </c>
      <c r="B142" s="907" t="s">
        <v>1998</v>
      </c>
      <c r="C142" s="908" t="s">
        <v>217</v>
      </c>
      <c r="D142" s="909" t="str">
        <f>'Revenues 9-14'!A233</f>
        <v>ARRA - McKinney - Vento Homeless Education</v>
      </c>
      <c r="E142" s="910"/>
      <c r="F142" s="1762">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762">
        <f>SUM('Revenues 9-14'!C237:G237,'Revenues 9-14'!J237)</f>
        <v>0</v>
      </c>
      <c r="G143" s="878"/>
    </row>
    <row r="144" spans="1:7" s="840" customFormat="1" hidden="1" x14ac:dyDescent="0.2">
      <c r="A144" s="907" t="s">
        <v>206</v>
      </c>
      <c r="B144" s="907" t="s">
        <v>809</v>
      </c>
      <c r="C144" s="908" t="s">
        <v>219</v>
      </c>
      <c r="D144" s="909" t="str">
        <f>'Revenues 9-14'!A238</f>
        <v>Qualified School Construction Bond Credits</v>
      </c>
      <c r="E144" s="910"/>
      <c r="F144" s="1762">
        <f>SUM('Revenues 9-14'!C238:G238,'Revenues 9-14'!J238)</f>
        <v>1077063</v>
      </c>
      <c r="G144" s="878"/>
    </row>
    <row r="145" spans="1:7" s="840" customFormat="1" hidden="1" x14ac:dyDescent="0.2">
      <c r="A145" s="907" t="s">
        <v>206</v>
      </c>
      <c r="B145" s="907" t="s">
        <v>1402</v>
      </c>
      <c r="C145" s="908" t="s">
        <v>221</v>
      </c>
      <c r="D145" s="909" t="str">
        <f>'Revenues 9-14'!A239</f>
        <v>Build America Bond Tax Credits</v>
      </c>
      <c r="E145" s="910"/>
      <c r="F145" s="1762">
        <f>SUM('Revenues 9-14'!C239:G239,'Revenues 9-14'!J239)</f>
        <v>0</v>
      </c>
      <c r="G145" s="878"/>
    </row>
    <row r="146" spans="1:7" s="840" customFormat="1" hidden="1" x14ac:dyDescent="0.2">
      <c r="A146" s="907" t="s">
        <v>206</v>
      </c>
      <c r="B146" s="907" t="s">
        <v>1999</v>
      </c>
      <c r="C146" s="908" t="s">
        <v>223</v>
      </c>
      <c r="D146" s="909" t="str">
        <f>'Revenues 9-14'!A240</f>
        <v>Build America Bond Interest Reimbursement</v>
      </c>
      <c r="E146" s="910"/>
      <c r="F146" s="1762">
        <f>SUM('Revenues 9-14'!C240:G240,'Revenues 9-14'!J240)</f>
        <v>390130</v>
      </c>
      <c r="G146" s="878"/>
    </row>
    <row r="147" spans="1:7" s="840" customFormat="1" hidden="1" x14ac:dyDescent="0.2">
      <c r="A147" s="907" t="s">
        <v>206</v>
      </c>
      <c r="B147" s="907" t="s">
        <v>2000</v>
      </c>
      <c r="C147" s="908" t="s">
        <v>225</v>
      </c>
      <c r="D147" s="909" t="str">
        <f>'Revenues 9-14'!A242</f>
        <v>Other ARRA Funds - II</v>
      </c>
      <c r="E147" s="910"/>
      <c r="F147" s="1762">
        <f>SUM('Revenues 9-14'!C242:G242,'Revenues 9-14'!J242)</f>
        <v>0</v>
      </c>
      <c r="G147" s="878"/>
    </row>
    <row r="148" spans="1:7" s="840" customFormat="1" hidden="1" x14ac:dyDescent="0.2">
      <c r="A148" s="907" t="s">
        <v>206</v>
      </c>
      <c r="B148" s="907" t="s">
        <v>2001</v>
      </c>
      <c r="C148" s="908" t="s">
        <v>226</v>
      </c>
      <c r="D148" s="909" t="str">
        <f>'Revenues 9-14'!A243</f>
        <v>Other ARRA Funds - III</v>
      </c>
      <c r="E148" s="910"/>
      <c r="F148" s="1762">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762">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762">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762">
        <v>0</v>
      </c>
      <c r="G151" s="878"/>
    </row>
    <row r="152" spans="1:7" s="840" customFormat="1" hidden="1" x14ac:dyDescent="0.2">
      <c r="A152" s="907" t="s">
        <v>206</v>
      </c>
      <c r="B152" s="907" t="s">
        <v>1403</v>
      </c>
      <c r="C152" s="908" t="s">
        <v>233</v>
      </c>
      <c r="D152" s="909" t="str">
        <f>'Revenues 9-14'!A247</f>
        <v>Other ARRA Funds VII</v>
      </c>
      <c r="E152" s="910"/>
      <c r="F152" s="1762">
        <f>SUM('Revenues 9-14'!C247:G247,'Revenues 9-14'!J247)</f>
        <v>0</v>
      </c>
      <c r="G152" s="878"/>
    </row>
    <row r="153" spans="1:7" s="840" customFormat="1" hidden="1" x14ac:dyDescent="0.2">
      <c r="A153" s="907" t="s">
        <v>206</v>
      </c>
      <c r="B153" s="907" t="s">
        <v>2002</v>
      </c>
      <c r="C153" s="908" t="s">
        <v>234</v>
      </c>
      <c r="D153" s="909" t="str">
        <f>'Revenues 9-14'!A248</f>
        <v>Other ARRA Funds VIII</v>
      </c>
      <c r="E153" s="910"/>
      <c r="F153" s="1762">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762">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762">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762">
        <f>SUM('Revenues 9-14'!C251:G251,'Revenues 9-14'!J251)</f>
        <v>0</v>
      </c>
      <c r="G156" s="878"/>
    </row>
    <row r="157" spans="1:7" s="840" customFormat="1" x14ac:dyDescent="0.2">
      <c r="A157" s="911" t="s">
        <v>500</v>
      </c>
      <c r="B157" s="912" t="s">
        <v>2003</v>
      </c>
      <c r="C157" s="913" t="s">
        <v>841</v>
      </c>
      <c r="D157" s="914" t="s">
        <v>777</v>
      </c>
      <c r="E157" s="915"/>
      <c r="F157" s="1762">
        <f>SUM(F133:F156)</f>
        <v>1467193</v>
      </c>
      <c r="G157" s="878"/>
    </row>
    <row r="158" spans="1:7" s="840" customFormat="1" x14ac:dyDescent="0.2">
      <c r="A158" s="911" t="s">
        <v>459</v>
      </c>
      <c r="B158" s="912" t="s">
        <v>2004</v>
      </c>
      <c r="C158" s="913" t="s">
        <v>1413</v>
      </c>
      <c r="D158" s="914" t="s">
        <v>1414</v>
      </c>
      <c r="E158" s="915"/>
      <c r="F158" s="1762">
        <f>SUM('Revenues 9-14'!C253)</f>
        <v>0</v>
      </c>
      <c r="G158" s="878"/>
    </row>
    <row r="159" spans="1:7" s="840" customFormat="1" x14ac:dyDescent="0.2">
      <c r="A159" s="911" t="s">
        <v>500</v>
      </c>
      <c r="B159" s="912" t="s">
        <v>2005</v>
      </c>
      <c r="C159" s="913" t="s">
        <v>1452</v>
      </c>
      <c r="D159" s="914" t="s">
        <v>1453</v>
      </c>
      <c r="E159" s="915"/>
      <c r="F159" s="1762">
        <f>SUM('Revenues 9-14'!C254:H254,'Revenues 9-14'!J254:K254)</f>
        <v>0</v>
      </c>
      <c r="G159" s="878"/>
    </row>
    <row r="160" spans="1:7" x14ac:dyDescent="0.2">
      <c r="A160" s="900" t="s">
        <v>5</v>
      </c>
      <c r="B160" s="900" t="s">
        <v>2006</v>
      </c>
      <c r="C160" s="905">
        <f>'Revenues 9-14'!B255</f>
        <v>4905</v>
      </c>
      <c r="D160" s="902" t="str">
        <f>'Revenues 9-14'!A255</f>
        <v>Title III - Immigrant Education Program (IEP)</v>
      </c>
      <c r="E160" s="879"/>
      <c r="F160" s="1762">
        <f>SUM('Revenues 9-14'!C255,'Revenues 9-14'!F255,'Revenues 9-14'!G255)</f>
        <v>11978</v>
      </c>
      <c r="G160" s="916">
        <v>6306</v>
      </c>
    </row>
    <row r="161" spans="1:7" x14ac:dyDescent="0.2">
      <c r="A161" s="900" t="s">
        <v>5</v>
      </c>
      <c r="B161" s="900" t="s">
        <v>2007</v>
      </c>
      <c r="C161" s="905">
        <f>'Revenues 9-14'!B256</f>
        <v>4909</v>
      </c>
      <c r="D161" s="902" t="str">
        <f>'Revenues 9-14'!A256</f>
        <v>Title III - Language Inst Program - Limited Eng (LIPLEP)</v>
      </c>
      <c r="E161" s="879"/>
      <c r="F161" s="1762">
        <f>SUM('Revenues 9-14'!C256,'Revenues 9-14'!F256,'Revenues 9-14'!G256)</f>
        <v>810345</v>
      </c>
      <c r="G161" s="916"/>
    </row>
    <row r="162" spans="1:7" x14ac:dyDescent="0.2">
      <c r="A162" s="900" t="s">
        <v>668</v>
      </c>
      <c r="B162" s="900" t="s">
        <v>2008</v>
      </c>
      <c r="C162" s="905">
        <f>'Revenues 9-14'!B257</f>
        <v>4920</v>
      </c>
      <c r="D162" s="902" t="str">
        <f>'Revenues 9-14'!A257</f>
        <v>McKinney Education for Homeless Children</v>
      </c>
      <c r="E162" s="879"/>
      <c r="F162" s="1762">
        <f>SUM('Revenues 9-14'!C257,'Revenues 9-14'!D257,'Revenues 9-14'!F257,'Revenues 9-14'!G257)</f>
        <v>0</v>
      </c>
      <c r="G162" s="903"/>
    </row>
    <row r="163" spans="1:7" x14ac:dyDescent="0.2">
      <c r="A163" s="917" t="s">
        <v>668</v>
      </c>
      <c r="B163" s="917" t="s">
        <v>2009</v>
      </c>
      <c r="C163" s="918">
        <f>'Revenues 9-14'!B258</f>
        <v>4930</v>
      </c>
      <c r="D163" s="919" t="str">
        <f>'Revenues 9-14'!A258</f>
        <v>Title II - Eisenhower Professional Development Formula</v>
      </c>
      <c r="E163" s="899"/>
      <c r="F163" s="1840">
        <f>SUM('Revenues 9-14'!C258:D258,'Revenues 9-14'!F258,'Revenues 9-14'!G258)</f>
        <v>0</v>
      </c>
      <c r="G163" s="903"/>
    </row>
    <row r="164" spans="1:7" x14ac:dyDescent="0.2">
      <c r="A164" s="900" t="s">
        <v>668</v>
      </c>
      <c r="B164" s="900" t="s">
        <v>2010</v>
      </c>
      <c r="C164" s="905">
        <f>'Revenues 9-14'!B259</f>
        <v>4932</v>
      </c>
      <c r="D164" s="906" t="str">
        <f>'Revenues 9-14'!A259</f>
        <v>Title II - Teacher Quality</v>
      </c>
      <c r="E164" s="879"/>
      <c r="F164" s="1840">
        <f>SUM('Revenues 9-14'!C259,'Revenues 9-14'!D259,'Revenues 9-14'!F259,'Revenues 9-14'!G259)</f>
        <v>716349</v>
      </c>
      <c r="G164" s="903"/>
    </row>
    <row r="165" spans="1:7" x14ac:dyDescent="0.2">
      <c r="A165" s="900" t="s">
        <v>668</v>
      </c>
      <c r="B165" s="900" t="s">
        <v>2011</v>
      </c>
      <c r="C165" s="905">
        <f>'Revenues 9-14'!B260</f>
        <v>4960</v>
      </c>
      <c r="D165" s="902" t="str">
        <f>'Revenues 9-14'!A260</f>
        <v>Federal Charter Schools</v>
      </c>
      <c r="E165" s="879"/>
      <c r="F165" s="1762">
        <f>SUM('Revenues 9-14'!C260:D260,'Revenues 9-14'!F260:G260)</f>
        <v>0</v>
      </c>
      <c r="G165" s="903"/>
    </row>
    <row r="166" spans="1:7" x14ac:dyDescent="0.2">
      <c r="A166" s="900" t="s">
        <v>668</v>
      </c>
      <c r="B166" s="900" t="s">
        <v>1956</v>
      </c>
      <c r="C166" s="905">
        <f>'Revenues 9-14'!B261</f>
        <v>4981</v>
      </c>
      <c r="D166" s="902" t="str">
        <f>'Revenues 9-14'!A261</f>
        <v>State Assessment Grants</v>
      </c>
      <c r="E166" s="879"/>
      <c r="F166" s="1762">
        <f>SUM('Revenues 9-14'!C261:D261,'Revenues 9-14'!F261:G261)</f>
        <v>0</v>
      </c>
      <c r="G166" s="903"/>
    </row>
    <row r="167" spans="1:7" x14ac:dyDescent="0.2">
      <c r="A167" s="900" t="s">
        <v>668</v>
      </c>
      <c r="B167" s="900" t="s">
        <v>1957</v>
      </c>
      <c r="C167" s="905">
        <f>'Revenues 9-14'!B262</f>
        <v>4982</v>
      </c>
      <c r="D167" s="902" t="str">
        <f>'Revenues 9-14'!A262</f>
        <v>Grant for State Assessments and Related Activities</v>
      </c>
      <c r="E167" s="879"/>
      <c r="F167" s="1762">
        <f>SUM('Revenues 9-14'!C262:D262,'Revenues 9-14'!F262:G262)</f>
        <v>0</v>
      </c>
      <c r="G167" s="903"/>
    </row>
    <row r="168" spans="1:7" x14ac:dyDescent="0.2">
      <c r="A168" s="900" t="s">
        <v>668</v>
      </c>
      <c r="B168" s="900" t="s">
        <v>2012</v>
      </c>
      <c r="C168" s="905">
        <f>'Revenues 9-14'!B263</f>
        <v>4991</v>
      </c>
      <c r="D168" s="906" t="str">
        <f>'Revenues 9-14'!A263</f>
        <v>Medicaid Matching Funds - Administrative Outreach</v>
      </c>
      <c r="E168" s="879"/>
      <c r="F168" s="1762">
        <f>SUM('Revenues 9-14'!C263:D263,'Revenues 9-14'!F263:G263)</f>
        <v>699986</v>
      </c>
      <c r="G168" s="920">
        <v>6320</v>
      </c>
    </row>
    <row r="169" spans="1:7" x14ac:dyDescent="0.2">
      <c r="A169" s="900" t="s">
        <v>668</v>
      </c>
      <c r="B169" s="900" t="s">
        <v>2013</v>
      </c>
      <c r="C169" s="905">
        <f>'Revenues 9-14'!B264</f>
        <v>4992</v>
      </c>
      <c r="D169" s="906" t="str">
        <f>'Revenues 9-14'!A264</f>
        <v>Medicaid Matching Funds - Fee-for-Service Program</v>
      </c>
      <c r="E169" s="879"/>
      <c r="F169" s="1762">
        <f>SUM('Revenues 9-14'!C264:D264,'Revenues 9-14'!F264:G264)</f>
        <v>764442</v>
      </c>
      <c r="G169" s="920"/>
    </row>
    <row r="170" spans="1:7" x14ac:dyDescent="0.2">
      <c r="A170" s="921" t="s">
        <v>668</v>
      </c>
      <c r="B170" s="917" t="s">
        <v>2014</v>
      </c>
      <c r="C170" s="918">
        <f>'Revenues 9-14'!B265</f>
        <v>4999</v>
      </c>
      <c r="D170" s="919" t="str">
        <f>'Revenues 9-14'!A265</f>
        <v>Other Restricted Revenue from Federal Sources (Describe &amp; Itemize)</v>
      </c>
      <c r="E170" s="879"/>
      <c r="F170" s="1762">
        <f>SUM('Revenues 9-14'!C265:D265,'Revenues 9-14'!F265:G265)</f>
        <v>0</v>
      </c>
      <c r="G170" s="900"/>
    </row>
    <row r="171" spans="1:7" x14ac:dyDescent="0.2">
      <c r="A171" s="1851" t="s">
        <v>5</v>
      </c>
      <c r="B171" s="1852" t="s">
        <v>1880</v>
      </c>
      <c r="C171" s="1853">
        <v>3100</v>
      </c>
      <c r="D171" s="1854" t="s">
        <v>1882</v>
      </c>
      <c r="E171" s="879"/>
      <c r="F171" s="1839">
        <v>5399012</v>
      </c>
      <c r="G171" s="900"/>
    </row>
    <row r="172" spans="1:7" x14ac:dyDescent="0.2">
      <c r="A172" s="1851" t="s">
        <v>664</v>
      </c>
      <c r="B172" s="1852" t="s">
        <v>1880</v>
      </c>
      <c r="C172" s="1853">
        <v>3300</v>
      </c>
      <c r="D172" s="1854" t="s">
        <v>1883</v>
      </c>
      <c r="E172" s="879"/>
      <c r="F172" s="1839">
        <v>4959878</v>
      </c>
      <c r="G172" s="900"/>
    </row>
    <row r="173" spans="1:7" ht="6" customHeight="1" x14ac:dyDescent="0.2">
      <c r="A173" s="900"/>
      <c r="B173" s="900"/>
      <c r="C173" s="922"/>
      <c r="D173" s="900"/>
      <c r="E173" s="879"/>
      <c r="F173" s="923"/>
      <c r="G173" s="920"/>
    </row>
    <row r="174" spans="1:7" x14ac:dyDescent="0.2">
      <c r="A174" s="1743"/>
      <c r="B174" s="1757"/>
      <c r="C174" s="1758"/>
      <c r="D174" s="1759" t="s">
        <v>2015</v>
      </c>
      <c r="E174" s="1760" t="s">
        <v>958</v>
      </c>
      <c r="F174" s="1761">
        <f>SUM(F84:F132,F157:F172)</f>
        <v>33938440</v>
      </c>
    </row>
    <row r="175" spans="1:7" ht="12" customHeight="1" x14ac:dyDescent="0.2">
      <c r="A175" s="1743"/>
      <c r="B175" s="1757"/>
      <c r="C175" s="1758"/>
      <c r="D175" s="1759" t="s">
        <v>2016</v>
      </c>
      <c r="E175" s="1760"/>
      <c r="F175" s="1762">
        <f>'PCTC-OEPP 27-28'!F77-F174</f>
        <v>103237366</v>
      </c>
    </row>
    <row r="176" spans="1:7" ht="12" customHeight="1" x14ac:dyDescent="0.2">
      <c r="A176" s="1743"/>
      <c r="B176" s="1757"/>
      <c r="C176" s="1758"/>
      <c r="D176" s="1759" t="s">
        <v>1779</v>
      </c>
      <c r="E176" s="1760"/>
      <c r="F176" s="1762">
        <f>'Cap Outlay Deprec 26'!I18</f>
        <v>7672432.7000000002</v>
      </c>
    </row>
    <row r="177" spans="1:7" ht="12" customHeight="1" x14ac:dyDescent="0.2">
      <c r="A177" s="1743"/>
      <c r="B177" s="1757"/>
      <c r="C177" s="1758"/>
      <c r="D177" s="1759" t="s">
        <v>2017</v>
      </c>
      <c r="E177" s="1760"/>
      <c r="F177" s="1762">
        <f>F175+F176</f>
        <v>110909798.7</v>
      </c>
    </row>
    <row r="178" spans="1:7" ht="12" customHeight="1" x14ac:dyDescent="0.2">
      <c r="A178" s="1743"/>
      <c r="B178" s="1763"/>
      <c r="C178" s="1758"/>
      <c r="D178" s="1759" t="str">
        <f>D78</f>
        <v>9 Month ADA from District Average Daily Attendance/Prior General State Aid Inquiry 2018-2019</v>
      </c>
      <c r="E178" s="1760"/>
      <c r="F178" s="1764">
        <f>'PCTC-OEPP 27-28'!F78</f>
        <v>10142.200000000001</v>
      </c>
      <c r="G178" s="903"/>
    </row>
    <row r="179" spans="1:7" ht="12" customHeight="1" thickBot="1" x14ac:dyDescent="0.25">
      <c r="A179" s="1743"/>
      <c r="B179" s="1763"/>
      <c r="C179" s="1758"/>
      <c r="D179" s="1759" t="s">
        <v>2018</v>
      </c>
      <c r="E179" s="1760" t="s">
        <v>1515</v>
      </c>
      <c r="F179" s="1765">
        <f>F177/F178</f>
        <v>10935.477381633176</v>
      </c>
      <c r="G179" s="829">
        <v>6323</v>
      </c>
    </row>
    <row r="180" spans="1:7" ht="12" thickTop="1" x14ac:dyDescent="0.2">
      <c r="B180" s="903"/>
      <c r="C180" s="922"/>
      <c r="D180" s="903"/>
      <c r="E180" s="922"/>
      <c r="F180" s="903"/>
      <c r="G180" s="924">
        <v>6326</v>
      </c>
    </row>
    <row r="181" spans="1:7" ht="12.2" customHeight="1" x14ac:dyDescent="0.2">
      <c r="A181" s="903" t="s">
        <v>1881</v>
      </c>
      <c r="B181" s="903"/>
      <c r="C181" s="922"/>
      <c r="D181" s="903"/>
      <c r="E181" s="922"/>
      <c r="F181" s="903"/>
      <c r="G181" s="903"/>
    </row>
    <row r="182" spans="1:7" s="1855" customFormat="1" ht="12.2" customHeight="1" x14ac:dyDescent="0.2">
      <c r="A182" s="1855" t="s">
        <v>1953</v>
      </c>
      <c r="B182" s="1856"/>
      <c r="C182" s="1857"/>
      <c r="D182" s="1856"/>
      <c r="E182" s="1857"/>
      <c r="F182" s="1856"/>
      <c r="G182" s="1856"/>
    </row>
    <row r="183" spans="1:7" s="1855" customFormat="1" ht="12.2" customHeight="1" x14ac:dyDescent="0.2">
      <c r="A183" s="1858" t="s">
        <v>1955</v>
      </c>
      <c r="C183" s="1857"/>
      <c r="D183" s="1856"/>
      <c r="E183" s="1857"/>
      <c r="F183" s="1856"/>
      <c r="G183" s="1856"/>
    </row>
    <row r="184" spans="1:7" ht="12" customHeight="1" x14ac:dyDescent="0.2">
      <c r="C184" s="922"/>
      <c r="D184" s="903"/>
      <c r="E184" s="922"/>
      <c r="F184" s="903"/>
      <c r="G184" s="903"/>
    </row>
    <row r="185" spans="1:7" x14ac:dyDescent="0.2">
      <c r="A185" s="1859" t="s">
        <v>1885</v>
      </c>
      <c r="B185" s="1860" t="s">
        <v>1884</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20"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71" zoomScaleNormal="100" workbookViewId="0">
      <selection activeCell="C21" sqref="C21"/>
    </sheetView>
  </sheetViews>
  <sheetFormatPr defaultRowHeight="15" x14ac:dyDescent="0.25"/>
  <cols>
    <col min="1" max="1" width="52" style="1515" customWidth="1"/>
    <col min="2" max="2" width="16.42578125" style="1516" bestFit="1" customWidth="1"/>
    <col min="3" max="3" width="33.7109375" style="1516" customWidth="1"/>
    <col min="4" max="4" width="16.28515625" style="1517" customWidth="1"/>
    <col min="5" max="5" width="30" style="1517" hidden="1" customWidth="1"/>
    <col min="6" max="6" width="23.5703125" style="1517" customWidth="1"/>
    <col min="7" max="7" width="23.28515625" style="1516" customWidth="1"/>
    <col min="8" max="16384" width="9.140625" style="1506"/>
  </cols>
  <sheetData>
    <row r="1" spans="1:7" ht="15" customHeight="1" x14ac:dyDescent="0.25">
      <c r="A1" s="1632" t="s">
        <v>1794</v>
      </c>
      <c r="B1" s="1633"/>
      <c r="C1" s="1633"/>
      <c r="D1" s="1633"/>
      <c r="E1" s="1633"/>
      <c r="F1" s="1633"/>
      <c r="G1" s="1633"/>
    </row>
    <row r="2" spans="1:7" x14ac:dyDescent="0.25">
      <c r="A2" s="1630"/>
      <c r="B2" s="1630"/>
      <c r="C2" s="1631" t="s">
        <v>979</v>
      </c>
      <c r="D2" s="1630"/>
      <c r="E2" s="1630"/>
      <c r="F2" s="1630"/>
      <c r="G2" s="1630"/>
    </row>
    <row r="3" spans="1:7" ht="5.25" customHeight="1" x14ac:dyDescent="0.25">
      <c r="A3" s="1518"/>
      <c r="B3" s="1518"/>
      <c r="C3" s="1518"/>
      <c r="D3" s="1518"/>
      <c r="E3" s="1518"/>
      <c r="F3" s="1518"/>
      <c r="G3" s="1518"/>
    </row>
    <row r="4" spans="1:7" ht="18.75" customHeight="1" x14ac:dyDescent="0.25">
      <c r="A4" s="2323" t="s">
        <v>1780</v>
      </c>
      <c r="B4" s="2324"/>
      <c r="C4" s="2324"/>
      <c r="D4" s="2324"/>
      <c r="E4" s="2324"/>
      <c r="F4" s="2324"/>
      <c r="G4" s="2325"/>
    </row>
    <row r="5" spans="1:7" x14ac:dyDescent="0.25">
      <c r="A5" s="2326"/>
      <c r="B5" s="2327"/>
      <c r="C5" s="2327"/>
      <c r="D5" s="2327"/>
      <c r="E5" s="2327"/>
      <c r="F5" s="2327"/>
      <c r="G5" s="2328"/>
    </row>
    <row r="6" spans="1:7" ht="18.75" x14ac:dyDescent="0.25">
      <c r="A6" s="1507" t="s">
        <v>1781</v>
      </c>
      <c r="B6" s="1508"/>
      <c r="C6" s="1508"/>
      <c r="D6" s="1508"/>
      <c r="E6" s="1508"/>
      <c r="F6" s="1508"/>
      <c r="G6" s="1509"/>
    </row>
    <row r="7" spans="1:7" ht="30.75" customHeight="1" x14ac:dyDescent="0.25">
      <c r="A7" s="2329" t="s">
        <v>1892</v>
      </c>
      <c r="B7" s="2330"/>
      <c r="C7" s="2330"/>
      <c r="D7" s="2330"/>
      <c r="E7" s="2330"/>
      <c r="F7" s="2330"/>
      <c r="G7" s="2331"/>
    </row>
    <row r="8" spans="1:7" ht="15.75" customHeight="1" x14ac:dyDescent="0.25">
      <c r="A8" s="2332" t="s">
        <v>1869</v>
      </c>
      <c r="B8" s="2333"/>
      <c r="C8" s="2333"/>
      <c r="D8" s="2333"/>
      <c r="E8" s="2333"/>
      <c r="F8" s="2333"/>
      <c r="G8" s="2334"/>
    </row>
    <row r="9" spans="1:7" ht="35.25" customHeight="1" x14ac:dyDescent="0.25">
      <c r="A9" s="2329" t="s">
        <v>1895</v>
      </c>
      <c r="B9" s="2330"/>
      <c r="C9" s="2330"/>
      <c r="D9" s="2330"/>
      <c r="E9" s="2330"/>
      <c r="F9" s="2330"/>
      <c r="G9" s="2331"/>
    </row>
    <row r="10" spans="1:7" ht="15" customHeight="1" x14ac:dyDescent="0.25">
      <c r="A10" s="1510" t="s">
        <v>1782</v>
      </c>
      <c r="B10" s="1511"/>
      <c r="C10" s="1511"/>
      <c r="D10" s="1511"/>
      <c r="E10" s="1511"/>
      <c r="F10" s="1511"/>
      <c r="G10" s="1512"/>
    </row>
    <row r="11" spans="1:7" ht="17.25" customHeight="1" x14ac:dyDescent="0.25">
      <c r="A11" s="2329" t="s">
        <v>1894</v>
      </c>
      <c r="B11" s="2330"/>
      <c r="C11" s="2330"/>
      <c r="D11" s="2330"/>
      <c r="E11" s="2330"/>
      <c r="F11" s="2330"/>
      <c r="G11" s="2331"/>
    </row>
    <row r="12" spans="1:7" ht="15" customHeight="1" x14ac:dyDescent="0.25">
      <c r="A12" s="1510" t="s">
        <v>1787</v>
      </c>
      <c r="B12" s="1511"/>
      <c r="C12" s="1511"/>
      <c r="D12" s="1511"/>
      <c r="E12" s="1511"/>
      <c r="F12" s="1511"/>
      <c r="G12" s="1512"/>
    </row>
    <row r="13" spans="1:7" ht="32.25" customHeight="1" x14ac:dyDescent="0.25">
      <c r="A13" s="2320" t="s">
        <v>1936</v>
      </c>
      <c r="B13" s="2321"/>
      <c r="C13" s="2321"/>
      <c r="D13" s="2321"/>
      <c r="E13" s="2321"/>
      <c r="F13" s="2321"/>
      <c r="G13" s="2322"/>
    </row>
    <row r="14" spans="1:7" x14ac:dyDescent="0.25">
      <c r="A14" s="1634" t="s">
        <v>1795</v>
      </c>
      <c r="B14" s="1635"/>
      <c r="C14" s="1635"/>
      <c r="D14" s="1635"/>
      <c r="E14" s="1635"/>
      <c r="F14" s="1635"/>
      <c r="G14" s="1636"/>
    </row>
    <row r="15" spans="1:7" ht="61.5" customHeight="1" x14ac:dyDescent="0.25">
      <c r="A15" s="1519" t="s">
        <v>1788</v>
      </c>
      <c r="B15" s="1519" t="s">
        <v>1789</v>
      </c>
      <c r="C15" s="1519" t="s">
        <v>1790</v>
      </c>
      <c r="D15" s="1520" t="s">
        <v>1791</v>
      </c>
      <c r="E15" s="1520" t="s">
        <v>1783</v>
      </c>
      <c r="F15" s="1520" t="s">
        <v>1792</v>
      </c>
      <c r="G15" s="1520" t="s">
        <v>1793</v>
      </c>
    </row>
    <row r="16" spans="1:7" x14ac:dyDescent="0.25">
      <c r="A16" s="1621" t="s">
        <v>1796</v>
      </c>
      <c r="B16" s="1622" t="s">
        <v>1786</v>
      </c>
      <c r="C16" s="1623" t="s">
        <v>1784</v>
      </c>
      <c r="D16" s="1624">
        <v>500000</v>
      </c>
      <c r="E16" s="1624">
        <f>IF(D16&lt;=25000,D16,IF(D16&gt;25000,25000,0))</f>
        <v>25000</v>
      </c>
      <c r="F16" s="162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5">
        <f>IF(F16=0,"0",D16-F16)</f>
        <v>475000</v>
      </c>
    </row>
    <row r="17" spans="1:8" x14ac:dyDescent="0.25">
      <c r="A17" s="1863" t="s">
        <v>2127</v>
      </c>
      <c r="B17" s="1868" t="s">
        <v>2128</v>
      </c>
      <c r="C17" s="1629" t="s">
        <v>2129</v>
      </c>
      <c r="D17" s="1817">
        <v>53449.5</v>
      </c>
      <c r="E17" s="1513">
        <f t="shared" ref="E17:E141" si="0">IF(D17&lt;=25000,D17,IF(D17&gt;25000,25000,0))</f>
        <v>25000</v>
      </c>
      <c r="F17" s="1866">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66">
        <f>IF(F17=0,0,D17-F17)</f>
        <v>28449.5</v>
      </c>
      <c r="H17" s="1620"/>
    </row>
    <row r="18" spans="1:8" x14ac:dyDescent="0.25">
      <c r="A18" s="1626" t="s">
        <v>2130</v>
      </c>
      <c r="B18" s="1868" t="s">
        <v>1786</v>
      </c>
      <c r="C18" s="1629" t="s">
        <v>2131</v>
      </c>
      <c r="D18" s="1817">
        <v>29840.080000000002</v>
      </c>
      <c r="E18" s="1513">
        <f t="shared" ref="E18:E140" si="2">IF(D18&lt;=25000,D18,IF(D18&gt;25000,25000,0))</f>
        <v>25000</v>
      </c>
      <c r="F18" s="1866">
        <f t="shared" si="1"/>
        <v>25000</v>
      </c>
      <c r="G18" s="1766">
        <f t="shared" ref="G18:G140" si="3">IF(F18=0,0,D18-F18)</f>
        <v>4840.0800000000017</v>
      </c>
    </row>
    <row r="19" spans="1:8" x14ac:dyDescent="0.25">
      <c r="A19" s="1626" t="s">
        <v>2132</v>
      </c>
      <c r="B19" s="1868" t="s">
        <v>2133</v>
      </c>
      <c r="C19" s="1629" t="s">
        <v>2134</v>
      </c>
      <c r="D19" s="1817">
        <v>29785</v>
      </c>
      <c r="E19" s="1513">
        <f t="shared" si="2"/>
        <v>25000</v>
      </c>
      <c r="F19" s="1866">
        <f t="shared" si="1"/>
        <v>25000</v>
      </c>
      <c r="G19" s="1766">
        <f t="shared" si="3"/>
        <v>4785</v>
      </c>
    </row>
    <row r="20" spans="1:8" x14ac:dyDescent="0.25">
      <c r="A20" s="1626" t="s">
        <v>2135</v>
      </c>
      <c r="B20" s="1868" t="s">
        <v>2136</v>
      </c>
      <c r="C20" s="1629" t="s">
        <v>2137</v>
      </c>
      <c r="D20" s="1817">
        <v>44000</v>
      </c>
      <c r="E20" s="1513">
        <f t="shared" si="2"/>
        <v>25000</v>
      </c>
      <c r="F20" s="1866">
        <f t="shared" si="1"/>
        <v>25000</v>
      </c>
      <c r="G20" s="1766">
        <f t="shared" si="3"/>
        <v>19000</v>
      </c>
    </row>
    <row r="21" spans="1:8" x14ac:dyDescent="0.25">
      <c r="A21" s="1626" t="s">
        <v>2127</v>
      </c>
      <c r="B21" s="1868" t="s">
        <v>2128</v>
      </c>
      <c r="C21" s="1629" t="s">
        <v>2138</v>
      </c>
      <c r="D21" s="1817">
        <v>72427</v>
      </c>
      <c r="E21" s="1513">
        <f t="shared" si="2"/>
        <v>25000</v>
      </c>
      <c r="F21" s="1866">
        <f t="shared" si="1"/>
        <v>25000</v>
      </c>
      <c r="G21" s="1766">
        <f t="shared" si="3"/>
        <v>47427</v>
      </c>
    </row>
    <row r="22" spans="1:8" x14ac:dyDescent="0.25">
      <c r="A22" s="1626" t="s">
        <v>2139</v>
      </c>
      <c r="B22" s="1868" t="s">
        <v>2140</v>
      </c>
      <c r="C22" s="1629" t="s">
        <v>2141</v>
      </c>
      <c r="D22" s="1817">
        <v>9800</v>
      </c>
      <c r="E22" s="1513">
        <f t="shared" si="2"/>
        <v>9800</v>
      </c>
      <c r="F22" s="1866">
        <f t="shared" si="1"/>
        <v>9800</v>
      </c>
      <c r="G22" s="1766">
        <f t="shared" si="3"/>
        <v>0</v>
      </c>
    </row>
    <row r="23" spans="1:8" x14ac:dyDescent="0.25">
      <c r="A23" s="1626" t="s">
        <v>2142</v>
      </c>
      <c r="B23" s="1868" t="s">
        <v>2143</v>
      </c>
      <c r="C23" s="1629" t="s">
        <v>2141</v>
      </c>
      <c r="D23" s="1817">
        <v>85600</v>
      </c>
      <c r="E23" s="1513">
        <f t="shared" si="2"/>
        <v>25000</v>
      </c>
      <c r="F23" s="1866">
        <f t="shared" si="1"/>
        <v>25000</v>
      </c>
      <c r="G23" s="1766">
        <f t="shared" si="3"/>
        <v>60600</v>
      </c>
    </row>
    <row r="24" spans="1:8" x14ac:dyDescent="0.25">
      <c r="A24" s="1626" t="s">
        <v>2144</v>
      </c>
      <c r="B24" s="1868" t="s">
        <v>2145</v>
      </c>
      <c r="C24" s="1629" t="s">
        <v>2146</v>
      </c>
      <c r="D24" s="1817">
        <v>672570.61</v>
      </c>
      <c r="E24" s="1513">
        <f t="shared" si="2"/>
        <v>25000</v>
      </c>
      <c r="F24" s="1866">
        <f t="shared" si="1"/>
        <v>25000</v>
      </c>
      <c r="G24" s="1766">
        <f t="shared" si="3"/>
        <v>647570.61</v>
      </c>
    </row>
    <row r="25" spans="1:8" x14ac:dyDescent="0.25">
      <c r="A25" s="1626" t="s">
        <v>2127</v>
      </c>
      <c r="B25" s="1868" t="s">
        <v>2128</v>
      </c>
      <c r="C25" s="1629" t="s">
        <v>2147</v>
      </c>
      <c r="D25" s="1817">
        <v>298533.13</v>
      </c>
      <c r="E25" s="1513">
        <f t="shared" si="2"/>
        <v>25000</v>
      </c>
      <c r="F25" s="1866">
        <f t="shared" si="1"/>
        <v>25000</v>
      </c>
      <c r="G25" s="1766">
        <f t="shared" si="3"/>
        <v>273533.13</v>
      </c>
    </row>
    <row r="26" spans="1:8" x14ac:dyDescent="0.25">
      <c r="A26" s="1626" t="s">
        <v>2130</v>
      </c>
      <c r="B26" s="1868" t="s">
        <v>1786</v>
      </c>
      <c r="C26" s="1627" t="s">
        <v>2148</v>
      </c>
      <c r="D26" s="1817">
        <v>158949.35999999999</v>
      </c>
      <c r="E26" s="1513">
        <f t="shared" si="2"/>
        <v>25000</v>
      </c>
      <c r="F26" s="1866">
        <f t="shared" si="1"/>
        <v>25000</v>
      </c>
      <c r="G26" s="1766">
        <f t="shared" si="3"/>
        <v>133949.35999999999</v>
      </c>
    </row>
    <row r="27" spans="1:8" x14ac:dyDescent="0.25">
      <c r="A27" s="1626" t="s">
        <v>2149</v>
      </c>
      <c r="B27" s="1868" t="s">
        <v>2150</v>
      </c>
      <c r="C27" s="1627" t="s">
        <v>2151</v>
      </c>
      <c r="D27" s="1817">
        <v>67275</v>
      </c>
      <c r="E27" s="1513">
        <f t="shared" si="2"/>
        <v>25000</v>
      </c>
      <c r="F27" s="1866">
        <f t="shared" si="1"/>
        <v>25000</v>
      </c>
      <c r="G27" s="1766">
        <f t="shared" si="3"/>
        <v>42275</v>
      </c>
    </row>
    <row r="28" spans="1:8" x14ac:dyDescent="0.25">
      <c r="A28" s="1626" t="s">
        <v>2139</v>
      </c>
      <c r="B28" s="1868" t="s">
        <v>2140</v>
      </c>
      <c r="C28" s="1627" t="s">
        <v>2151</v>
      </c>
      <c r="D28" s="1817">
        <v>38549</v>
      </c>
      <c r="E28" s="1513">
        <f t="shared" si="2"/>
        <v>25000</v>
      </c>
      <c r="F28" s="1866">
        <f t="shared" si="1"/>
        <v>25000</v>
      </c>
      <c r="G28" s="1766">
        <f t="shared" si="3"/>
        <v>13549</v>
      </c>
    </row>
    <row r="29" spans="1:8" x14ac:dyDescent="0.25">
      <c r="A29" s="1626" t="s">
        <v>2130</v>
      </c>
      <c r="B29" s="1868" t="s">
        <v>1786</v>
      </c>
      <c r="C29" s="1627" t="s">
        <v>2152</v>
      </c>
      <c r="D29" s="1817">
        <v>119672.52</v>
      </c>
      <c r="E29" s="1513">
        <f t="shared" si="2"/>
        <v>25000</v>
      </c>
      <c r="F29" s="1866">
        <f t="shared" si="1"/>
        <v>25000</v>
      </c>
      <c r="G29" s="1766">
        <f t="shared" si="3"/>
        <v>94672.52</v>
      </c>
    </row>
    <row r="30" spans="1:8" x14ac:dyDescent="0.25">
      <c r="A30" s="1626" t="s">
        <v>2130</v>
      </c>
      <c r="B30" s="1868" t="s">
        <v>1786</v>
      </c>
      <c r="C30" s="1627" t="s">
        <v>2153</v>
      </c>
      <c r="D30" s="1817">
        <v>50556.28</v>
      </c>
      <c r="E30" s="1513">
        <f t="shared" si="2"/>
        <v>25000</v>
      </c>
      <c r="F30" s="1866">
        <f t="shared" si="1"/>
        <v>25000</v>
      </c>
      <c r="G30" s="1766">
        <f t="shared" si="3"/>
        <v>25556.28</v>
      </c>
    </row>
    <row r="31" spans="1:8" x14ac:dyDescent="0.25">
      <c r="A31" s="1626" t="s">
        <v>2154</v>
      </c>
      <c r="B31" s="1868" t="s">
        <v>2155</v>
      </c>
      <c r="C31" s="1627" t="s">
        <v>2153</v>
      </c>
      <c r="D31" s="1817">
        <v>22299.63</v>
      </c>
      <c r="E31" s="1513">
        <f t="shared" si="2"/>
        <v>22299.63</v>
      </c>
      <c r="F31" s="1866">
        <f t="shared" si="1"/>
        <v>22299.63</v>
      </c>
      <c r="G31" s="1766">
        <f t="shared" si="3"/>
        <v>0</v>
      </c>
    </row>
    <row r="32" spans="1:8" x14ac:dyDescent="0.25">
      <c r="A32" s="1626" t="s">
        <v>2132</v>
      </c>
      <c r="B32" s="1868" t="s">
        <v>2133</v>
      </c>
      <c r="C32" s="1627" t="s">
        <v>2153</v>
      </c>
      <c r="D32" s="1817">
        <v>63299.57</v>
      </c>
      <c r="E32" s="1513">
        <f t="shared" si="2"/>
        <v>25000</v>
      </c>
      <c r="F32" s="1866">
        <f t="shared" si="1"/>
        <v>25000</v>
      </c>
      <c r="G32" s="1766">
        <f t="shared" si="3"/>
        <v>38299.57</v>
      </c>
    </row>
    <row r="33" spans="1:7" x14ac:dyDescent="0.25">
      <c r="A33" s="1626" t="s">
        <v>2149</v>
      </c>
      <c r="B33" s="1868" t="s">
        <v>2150</v>
      </c>
      <c r="C33" s="1627" t="s">
        <v>2156</v>
      </c>
      <c r="D33" s="1817">
        <v>46553.19</v>
      </c>
      <c r="E33" s="1513">
        <f t="shared" si="2"/>
        <v>25000</v>
      </c>
      <c r="F33" s="1866">
        <f t="shared" si="1"/>
        <v>25000</v>
      </c>
      <c r="G33" s="1766">
        <f t="shared" si="3"/>
        <v>21553.190000000002</v>
      </c>
    </row>
    <row r="34" spans="1:7" x14ac:dyDescent="0.25">
      <c r="A34" s="1626" t="s">
        <v>2127</v>
      </c>
      <c r="B34" s="1868" t="s">
        <v>2128</v>
      </c>
      <c r="C34" s="1627" t="s">
        <v>2156</v>
      </c>
      <c r="D34" s="1817">
        <v>1419349.1</v>
      </c>
      <c r="E34" s="1513">
        <f t="shared" si="2"/>
        <v>25000</v>
      </c>
      <c r="F34" s="1866">
        <f t="shared" si="1"/>
        <v>25000</v>
      </c>
      <c r="G34" s="1766">
        <f t="shared" si="3"/>
        <v>1394349.1</v>
      </c>
    </row>
    <row r="35" spans="1:7" x14ac:dyDescent="0.25">
      <c r="A35" s="1626" t="s">
        <v>2139</v>
      </c>
      <c r="B35" s="1868" t="s">
        <v>2140</v>
      </c>
      <c r="C35" s="1627" t="s">
        <v>2156</v>
      </c>
      <c r="D35" s="1817">
        <v>5085</v>
      </c>
      <c r="E35" s="1513">
        <f t="shared" si="2"/>
        <v>5085</v>
      </c>
      <c r="F35" s="1866">
        <f t="shared" si="1"/>
        <v>5085</v>
      </c>
      <c r="G35" s="1766">
        <f t="shared" si="3"/>
        <v>0</v>
      </c>
    </row>
    <row r="36" spans="1:7" x14ac:dyDescent="0.25">
      <c r="A36" s="1626" t="s">
        <v>2139</v>
      </c>
      <c r="B36" s="1868" t="s">
        <v>2140</v>
      </c>
      <c r="C36" s="1627" t="s">
        <v>2157</v>
      </c>
      <c r="D36" s="1817">
        <v>49828</v>
      </c>
      <c r="E36" s="1513">
        <f t="shared" si="2"/>
        <v>25000</v>
      </c>
      <c r="F36" s="1866">
        <f t="shared" si="1"/>
        <v>25000</v>
      </c>
      <c r="G36" s="1766">
        <f t="shared" si="3"/>
        <v>24828</v>
      </c>
    </row>
    <row r="37" spans="1:7" x14ac:dyDescent="0.25">
      <c r="A37" s="1626" t="s">
        <v>2158</v>
      </c>
      <c r="B37" s="1868" t="s">
        <v>2159</v>
      </c>
      <c r="C37" s="1627" t="s">
        <v>2157</v>
      </c>
      <c r="D37" s="1817">
        <v>2250</v>
      </c>
      <c r="E37" s="1513">
        <f t="shared" si="2"/>
        <v>2250</v>
      </c>
      <c r="F37" s="1866">
        <f t="shared" si="1"/>
        <v>2250</v>
      </c>
      <c r="G37" s="1766">
        <f t="shared" si="3"/>
        <v>0</v>
      </c>
    </row>
    <row r="38" spans="1:7" x14ac:dyDescent="0.25">
      <c r="A38" s="1626" t="s">
        <v>2139</v>
      </c>
      <c r="B38" s="1869" t="s">
        <v>2140</v>
      </c>
      <c r="C38" s="1627" t="s">
        <v>2160</v>
      </c>
      <c r="D38" s="1817">
        <v>41600</v>
      </c>
      <c r="E38" s="1513">
        <f t="shared" si="2"/>
        <v>25000</v>
      </c>
      <c r="F38" s="1866">
        <f t="shared" si="1"/>
        <v>25000</v>
      </c>
      <c r="G38" s="1766">
        <f t="shared" si="3"/>
        <v>16600</v>
      </c>
    </row>
    <row r="39" spans="1:7" x14ac:dyDescent="0.25">
      <c r="A39" s="1626" t="s">
        <v>2139</v>
      </c>
      <c r="B39" s="1869" t="s">
        <v>2140</v>
      </c>
      <c r="C39" s="1627" t="s">
        <v>2161</v>
      </c>
      <c r="D39" s="1817">
        <v>129000</v>
      </c>
      <c r="E39" s="1513">
        <f t="shared" si="2"/>
        <v>25000</v>
      </c>
      <c r="F39" s="1866">
        <f t="shared" si="1"/>
        <v>25000</v>
      </c>
      <c r="G39" s="1766">
        <f t="shared" si="3"/>
        <v>104000</v>
      </c>
    </row>
    <row r="40" spans="1:7" x14ac:dyDescent="0.25">
      <c r="A40" s="1626" t="s">
        <v>2139</v>
      </c>
      <c r="B40" s="1869" t="s">
        <v>2140</v>
      </c>
      <c r="C40" s="1627" t="s">
        <v>2162</v>
      </c>
      <c r="D40" s="1817">
        <v>26606.639999999999</v>
      </c>
      <c r="E40" s="1513">
        <f t="shared" si="2"/>
        <v>25000</v>
      </c>
      <c r="F40" s="1866">
        <f t="shared" si="1"/>
        <v>25000</v>
      </c>
      <c r="G40" s="1766">
        <f t="shared" si="3"/>
        <v>1606.6399999999994</v>
      </c>
    </row>
    <row r="41" spans="1:7" x14ac:dyDescent="0.25">
      <c r="A41" s="1626" t="s">
        <v>2130</v>
      </c>
      <c r="B41" s="1869" t="s">
        <v>1786</v>
      </c>
      <c r="C41" s="1627" t="s">
        <v>2163</v>
      </c>
      <c r="D41" s="1817">
        <v>401426.31</v>
      </c>
      <c r="E41" s="1513">
        <f t="shared" si="2"/>
        <v>25000</v>
      </c>
      <c r="F41" s="1866">
        <f t="shared" si="1"/>
        <v>25000</v>
      </c>
      <c r="G41" s="1766">
        <f t="shared" si="3"/>
        <v>376426.31</v>
      </c>
    </row>
    <row r="42" spans="1:7" x14ac:dyDescent="0.25">
      <c r="A42" s="1626" t="s">
        <v>2139</v>
      </c>
      <c r="B42" s="1869" t="s">
        <v>2140</v>
      </c>
      <c r="C42" s="1627" t="s">
        <v>2163</v>
      </c>
      <c r="D42" s="1817">
        <v>4571.9399999999996</v>
      </c>
      <c r="E42" s="1513">
        <f t="shared" si="2"/>
        <v>4571.9399999999996</v>
      </c>
      <c r="F42" s="1866">
        <f t="shared" si="1"/>
        <v>4571.9399999999996</v>
      </c>
      <c r="G42" s="1766">
        <f t="shared" si="3"/>
        <v>0</v>
      </c>
    </row>
    <row r="43" spans="1:7" x14ac:dyDescent="0.25">
      <c r="A43" s="1626" t="s">
        <v>2149</v>
      </c>
      <c r="B43" s="1869" t="s">
        <v>2150</v>
      </c>
      <c r="C43" s="1627" t="s">
        <v>2164</v>
      </c>
      <c r="D43" s="1817">
        <v>3814.25</v>
      </c>
      <c r="E43" s="1513">
        <f t="shared" si="2"/>
        <v>3814.25</v>
      </c>
      <c r="F43" s="1866">
        <f t="shared" si="1"/>
        <v>3814.25</v>
      </c>
      <c r="G43" s="1766">
        <f t="shared" si="3"/>
        <v>0</v>
      </c>
    </row>
    <row r="44" spans="1:7" x14ac:dyDescent="0.25">
      <c r="A44" s="1626" t="s">
        <v>2127</v>
      </c>
      <c r="B44" s="1869" t="s">
        <v>2128</v>
      </c>
      <c r="C44" s="1627" t="s">
        <v>2164</v>
      </c>
      <c r="D44" s="1817">
        <v>71175</v>
      </c>
      <c r="E44" s="1513">
        <f t="shared" si="2"/>
        <v>25000</v>
      </c>
      <c r="F44" s="1866">
        <f t="shared" si="1"/>
        <v>25000</v>
      </c>
      <c r="G44" s="1766">
        <f t="shared" si="3"/>
        <v>46175</v>
      </c>
    </row>
    <row r="45" spans="1:7" x14ac:dyDescent="0.25">
      <c r="A45" s="1626" t="s">
        <v>2149</v>
      </c>
      <c r="B45" s="1869" t="s">
        <v>2150</v>
      </c>
      <c r="C45" s="1627" t="s">
        <v>2165</v>
      </c>
      <c r="D45" s="1817">
        <v>100000</v>
      </c>
      <c r="E45" s="1513">
        <f t="shared" si="2"/>
        <v>25000</v>
      </c>
      <c r="F45" s="1866">
        <f t="shared" si="1"/>
        <v>25000</v>
      </c>
      <c r="G45" s="1766">
        <f t="shared" si="3"/>
        <v>75000</v>
      </c>
    </row>
    <row r="46" spans="1:7" x14ac:dyDescent="0.25">
      <c r="A46" s="1626" t="s">
        <v>2135</v>
      </c>
      <c r="B46" s="1640" t="s">
        <v>2136</v>
      </c>
      <c r="C46" s="1627" t="s">
        <v>2023</v>
      </c>
      <c r="D46" s="1817">
        <v>26700</v>
      </c>
      <c r="E46" s="1513">
        <f t="shared" si="2"/>
        <v>25000</v>
      </c>
      <c r="F46" s="1866">
        <f t="shared" si="1"/>
        <v>25000</v>
      </c>
      <c r="G46" s="1766">
        <f t="shared" si="3"/>
        <v>1700</v>
      </c>
    </row>
    <row r="47" spans="1:7" x14ac:dyDescent="0.25">
      <c r="A47" s="1626" t="s">
        <v>2166</v>
      </c>
      <c r="B47" s="1640" t="s">
        <v>2167</v>
      </c>
      <c r="C47" s="1627" t="s">
        <v>2168</v>
      </c>
      <c r="D47" s="1817">
        <v>36000</v>
      </c>
      <c r="E47" s="1513">
        <f t="shared" si="2"/>
        <v>25000</v>
      </c>
      <c r="F47" s="1866">
        <f t="shared" si="1"/>
        <v>25000</v>
      </c>
      <c r="G47" s="1766">
        <f t="shared" si="3"/>
        <v>11000</v>
      </c>
    </row>
    <row r="48" spans="1:7" x14ac:dyDescent="0.25">
      <c r="A48" s="1626" t="s">
        <v>2132</v>
      </c>
      <c r="B48" s="1640" t="s">
        <v>2133</v>
      </c>
      <c r="C48" s="1627" t="s">
        <v>2169</v>
      </c>
      <c r="D48" s="1817">
        <v>42995</v>
      </c>
      <c r="E48" s="1513">
        <f t="shared" si="2"/>
        <v>25000</v>
      </c>
      <c r="F48" s="1866">
        <f t="shared" si="1"/>
        <v>25000</v>
      </c>
      <c r="G48" s="1766">
        <f t="shared" si="3"/>
        <v>17995</v>
      </c>
    </row>
    <row r="49" spans="1:7" x14ac:dyDescent="0.25">
      <c r="A49" s="1626" t="s">
        <v>2130</v>
      </c>
      <c r="B49" s="1640" t="s">
        <v>1786</v>
      </c>
      <c r="C49" s="1627" t="s">
        <v>2170</v>
      </c>
      <c r="D49" s="1817">
        <v>189676.29</v>
      </c>
      <c r="E49" s="1513">
        <f t="shared" si="2"/>
        <v>25000</v>
      </c>
      <c r="F49" s="1866">
        <f t="shared" si="1"/>
        <v>25000</v>
      </c>
      <c r="G49" s="1766">
        <f t="shared" si="3"/>
        <v>164676.29</v>
      </c>
    </row>
    <row r="50" spans="1:7" x14ac:dyDescent="0.25">
      <c r="A50" s="1626" t="s">
        <v>2149</v>
      </c>
      <c r="B50" s="1640" t="s">
        <v>2150</v>
      </c>
      <c r="C50" s="1627" t="s">
        <v>2171</v>
      </c>
      <c r="D50" s="1817">
        <v>55080</v>
      </c>
      <c r="E50" s="1513">
        <f t="shared" si="2"/>
        <v>25000</v>
      </c>
      <c r="F50" s="1866">
        <f t="shared" si="1"/>
        <v>25000</v>
      </c>
      <c r="G50" s="1766">
        <f t="shared" si="3"/>
        <v>30080</v>
      </c>
    </row>
    <row r="51" spans="1:7" x14ac:dyDescent="0.25">
      <c r="A51" s="1626" t="s">
        <v>2144</v>
      </c>
      <c r="B51" s="1640" t="s">
        <v>2145</v>
      </c>
      <c r="C51" s="1627" t="s">
        <v>2172</v>
      </c>
      <c r="D51" s="1817">
        <v>330118.75</v>
      </c>
      <c r="E51" s="1513">
        <f t="shared" si="2"/>
        <v>25000</v>
      </c>
      <c r="F51" s="1866">
        <f t="shared" si="1"/>
        <v>25000</v>
      </c>
      <c r="G51" s="1766">
        <f t="shared" si="3"/>
        <v>305118.75</v>
      </c>
    </row>
    <row r="52" spans="1:7" x14ac:dyDescent="0.25">
      <c r="A52" s="1626" t="s">
        <v>2130</v>
      </c>
      <c r="B52" s="1640" t="s">
        <v>1786</v>
      </c>
      <c r="C52" s="1627" t="s">
        <v>2173</v>
      </c>
      <c r="D52" s="1817">
        <v>84543.28</v>
      </c>
      <c r="E52" s="1513">
        <f t="shared" si="2"/>
        <v>25000</v>
      </c>
      <c r="F52" s="1866">
        <f t="shared" si="1"/>
        <v>25000</v>
      </c>
      <c r="G52" s="1766">
        <f t="shared" si="3"/>
        <v>59543.28</v>
      </c>
    </row>
    <row r="53" spans="1:7" x14ac:dyDescent="0.25">
      <c r="A53" s="1626" t="s">
        <v>2174</v>
      </c>
      <c r="B53" s="1640" t="s">
        <v>2175</v>
      </c>
      <c r="C53" s="1627" t="s">
        <v>2176</v>
      </c>
      <c r="D53" s="1817">
        <v>857905</v>
      </c>
      <c r="E53" s="1513">
        <f t="shared" si="2"/>
        <v>25000</v>
      </c>
      <c r="F53" s="1866">
        <f t="shared" si="1"/>
        <v>25000</v>
      </c>
      <c r="G53" s="1766">
        <f t="shared" si="3"/>
        <v>832905</v>
      </c>
    </row>
    <row r="54" spans="1:7" x14ac:dyDescent="0.25">
      <c r="A54" s="1626" t="s">
        <v>2149</v>
      </c>
      <c r="B54" s="1640" t="s">
        <v>2150</v>
      </c>
      <c r="C54" s="1627" t="s">
        <v>2177</v>
      </c>
      <c r="D54" s="1817">
        <v>212500</v>
      </c>
      <c r="E54" s="1513">
        <f t="shared" si="2"/>
        <v>25000</v>
      </c>
      <c r="F54" s="1866">
        <f t="shared" si="1"/>
        <v>25000</v>
      </c>
      <c r="G54" s="1766">
        <f t="shared" si="3"/>
        <v>187500</v>
      </c>
    </row>
    <row r="55" spans="1:7" x14ac:dyDescent="0.25">
      <c r="A55" s="1626" t="s">
        <v>2149</v>
      </c>
      <c r="B55" s="1640" t="s">
        <v>2150</v>
      </c>
      <c r="C55" s="1627" t="s">
        <v>2178</v>
      </c>
      <c r="D55" s="1817">
        <v>50018</v>
      </c>
      <c r="E55" s="1513">
        <f t="shared" si="2"/>
        <v>25000</v>
      </c>
      <c r="F55" s="1866">
        <f t="shared" si="1"/>
        <v>25000</v>
      </c>
      <c r="G55" s="1766">
        <f t="shared" si="3"/>
        <v>25018</v>
      </c>
    </row>
    <row r="56" spans="1:7" x14ac:dyDescent="0.25">
      <c r="A56" s="1626" t="s">
        <v>2139</v>
      </c>
      <c r="B56" s="1640" t="s">
        <v>2140</v>
      </c>
      <c r="C56" s="1627" t="s">
        <v>2178</v>
      </c>
      <c r="D56" s="1817">
        <v>2500</v>
      </c>
      <c r="E56" s="1513">
        <f t="shared" si="2"/>
        <v>2500</v>
      </c>
      <c r="F56" s="1866">
        <f t="shared" si="1"/>
        <v>2500</v>
      </c>
      <c r="G56" s="1766">
        <f t="shared" si="3"/>
        <v>0</v>
      </c>
    </row>
    <row r="57" spans="1:7" x14ac:dyDescent="0.25">
      <c r="A57" s="1626" t="s">
        <v>2179</v>
      </c>
      <c r="B57" s="1640" t="s">
        <v>2180</v>
      </c>
      <c r="C57" s="1627" t="s">
        <v>2178</v>
      </c>
      <c r="D57" s="1817">
        <v>2895</v>
      </c>
      <c r="E57" s="1513">
        <f t="shared" si="2"/>
        <v>2895</v>
      </c>
      <c r="F57" s="1866">
        <f t="shared" si="1"/>
        <v>2895</v>
      </c>
      <c r="G57" s="1766">
        <f t="shared" si="3"/>
        <v>0</v>
      </c>
    </row>
    <row r="58" spans="1:7" x14ac:dyDescent="0.25">
      <c r="A58" s="1626" t="s">
        <v>2139</v>
      </c>
      <c r="B58" s="1640" t="s">
        <v>2140</v>
      </c>
      <c r="C58" s="1627" t="s">
        <v>2181</v>
      </c>
      <c r="D58" s="1817">
        <v>36810.1</v>
      </c>
      <c r="E58" s="1513">
        <f t="shared" si="2"/>
        <v>25000</v>
      </c>
      <c r="F58" s="1866">
        <f t="shared" si="1"/>
        <v>25000</v>
      </c>
      <c r="G58" s="1766">
        <f t="shared" si="3"/>
        <v>11810.099999999999</v>
      </c>
    </row>
    <row r="59" spans="1:7" x14ac:dyDescent="0.25">
      <c r="A59" s="1626" t="s">
        <v>2130</v>
      </c>
      <c r="B59" s="1640" t="s">
        <v>1786</v>
      </c>
      <c r="C59" s="1627" t="s">
        <v>2182</v>
      </c>
      <c r="D59" s="1817">
        <v>70609.960000000006</v>
      </c>
      <c r="E59" s="1513">
        <f t="shared" si="2"/>
        <v>25000</v>
      </c>
      <c r="F59" s="1866">
        <f t="shared" si="1"/>
        <v>25000</v>
      </c>
      <c r="G59" s="1766">
        <f t="shared" si="3"/>
        <v>45609.960000000006</v>
      </c>
    </row>
    <row r="60" spans="1:7" x14ac:dyDescent="0.25">
      <c r="A60" s="1626" t="s">
        <v>2127</v>
      </c>
      <c r="B60" s="1640" t="s">
        <v>2128</v>
      </c>
      <c r="C60" s="1627" t="s">
        <v>2183</v>
      </c>
      <c r="D60" s="1817">
        <v>78606.5</v>
      </c>
      <c r="E60" s="1513">
        <f t="shared" si="2"/>
        <v>25000</v>
      </c>
      <c r="F60" s="1866">
        <f t="shared" si="1"/>
        <v>25000</v>
      </c>
      <c r="G60" s="1766">
        <f t="shared" si="3"/>
        <v>53606.5</v>
      </c>
    </row>
    <row r="61" spans="1:7" x14ac:dyDescent="0.25">
      <c r="A61" s="1626" t="s">
        <v>2149</v>
      </c>
      <c r="B61" s="1640" t="s">
        <v>2150</v>
      </c>
      <c r="C61" s="1627" t="s">
        <v>2184</v>
      </c>
      <c r="D61" s="1817">
        <v>32390</v>
      </c>
      <c r="E61" s="1513">
        <f t="shared" si="2"/>
        <v>25000</v>
      </c>
      <c r="F61" s="1866">
        <f t="shared" si="1"/>
        <v>25000</v>
      </c>
      <c r="G61" s="1766">
        <f t="shared" si="3"/>
        <v>7390</v>
      </c>
    </row>
    <row r="62" spans="1:7" x14ac:dyDescent="0.25">
      <c r="A62" s="1626" t="s">
        <v>2127</v>
      </c>
      <c r="B62" s="1640" t="s">
        <v>2128</v>
      </c>
      <c r="C62" s="1627" t="s">
        <v>2184</v>
      </c>
      <c r="D62" s="1817">
        <v>1251605.56</v>
      </c>
      <c r="E62" s="1513">
        <f t="shared" si="2"/>
        <v>25000</v>
      </c>
      <c r="F62" s="1866">
        <f t="shared" si="1"/>
        <v>25000</v>
      </c>
      <c r="G62" s="1766">
        <f t="shared" si="3"/>
        <v>1226605.56</v>
      </c>
    </row>
    <row r="63" spans="1:7" x14ac:dyDescent="0.25">
      <c r="A63" s="1626" t="s">
        <v>2179</v>
      </c>
      <c r="B63" s="1640" t="s">
        <v>2180</v>
      </c>
      <c r="C63" s="1627" t="s">
        <v>2184</v>
      </c>
      <c r="D63" s="1817">
        <v>20421.5</v>
      </c>
      <c r="E63" s="1513">
        <f t="shared" si="2"/>
        <v>20421.5</v>
      </c>
      <c r="F63" s="1866">
        <f t="shared" si="1"/>
        <v>20421.5</v>
      </c>
      <c r="G63" s="1766">
        <f t="shared" si="3"/>
        <v>0</v>
      </c>
    </row>
    <row r="64" spans="1:7" x14ac:dyDescent="0.25">
      <c r="A64" s="1628" t="s">
        <v>2130</v>
      </c>
      <c r="B64" s="1640" t="s">
        <v>1786</v>
      </c>
      <c r="C64" s="1629" t="s">
        <v>2185</v>
      </c>
      <c r="D64" s="1817">
        <v>73578.460000000006</v>
      </c>
      <c r="E64" s="1513">
        <f t="shared" si="2"/>
        <v>25000</v>
      </c>
      <c r="F64" s="1866">
        <f t="shared" si="1"/>
        <v>25000</v>
      </c>
      <c r="G64" s="1766">
        <f t="shared" si="3"/>
        <v>48578.460000000006</v>
      </c>
    </row>
    <row r="65" spans="1:7" x14ac:dyDescent="0.25">
      <c r="A65" s="1626" t="s">
        <v>2139</v>
      </c>
      <c r="B65" s="1640" t="s">
        <v>2140</v>
      </c>
      <c r="C65" s="1627" t="s">
        <v>2186</v>
      </c>
      <c r="D65" s="1817">
        <v>96600</v>
      </c>
      <c r="E65" s="1513">
        <f t="shared" si="2"/>
        <v>25000</v>
      </c>
      <c r="F65" s="1866">
        <f t="shared" si="1"/>
        <v>25000</v>
      </c>
      <c r="G65" s="1766">
        <f t="shared" si="3"/>
        <v>71600</v>
      </c>
    </row>
    <row r="66" spans="1:7" x14ac:dyDescent="0.25">
      <c r="A66" s="1626" t="s">
        <v>2149</v>
      </c>
      <c r="B66" s="1640" t="s">
        <v>2150</v>
      </c>
      <c r="C66" s="1627" t="s">
        <v>2187</v>
      </c>
      <c r="D66" s="1817">
        <v>168</v>
      </c>
      <c r="E66" s="1513">
        <f t="shared" si="2"/>
        <v>168</v>
      </c>
      <c r="F66" s="1866">
        <f t="shared" si="1"/>
        <v>168</v>
      </c>
      <c r="G66" s="1766">
        <f t="shared" si="3"/>
        <v>0</v>
      </c>
    </row>
    <row r="67" spans="1:7" x14ac:dyDescent="0.25">
      <c r="A67" s="1626" t="s">
        <v>2127</v>
      </c>
      <c r="B67" s="1640" t="s">
        <v>2128</v>
      </c>
      <c r="C67" s="1627" t="s">
        <v>2187</v>
      </c>
      <c r="D67" s="1817">
        <v>58552</v>
      </c>
      <c r="E67" s="1513">
        <f t="shared" si="2"/>
        <v>25000</v>
      </c>
      <c r="F67" s="1866">
        <f t="shared" si="1"/>
        <v>25000</v>
      </c>
      <c r="G67" s="1766">
        <f t="shared" si="3"/>
        <v>33552</v>
      </c>
    </row>
    <row r="68" spans="1:7" x14ac:dyDescent="0.25">
      <c r="A68" s="1626" t="s">
        <v>2149</v>
      </c>
      <c r="B68" s="1640" t="s">
        <v>2150</v>
      </c>
      <c r="C68" s="1627" t="s">
        <v>2188</v>
      </c>
      <c r="D68" s="1817">
        <v>5916</v>
      </c>
      <c r="E68" s="1513">
        <f t="shared" si="2"/>
        <v>5916</v>
      </c>
      <c r="F68" s="1866">
        <f t="shared" si="1"/>
        <v>5916</v>
      </c>
      <c r="G68" s="1766">
        <f t="shared" si="3"/>
        <v>0</v>
      </c>
    </row>
    <row r="69" spans="1:7" x14ac:dyDescent="0.25">
      <c r="A69" s="1626" t="s">
        <v>2127</v>
      </c>
      <c r="B69" s="1640" t="s">
        <v>2128</v>
      </c>
      <c r="C69" s="1627" t="s">
        <v>2188</v>
      </c>
      <c r="D69" s="1817">
        <v>118307.2</v>
      </c>
      <c r="E69" s="1513">
        <f t="shared" si="2"/>
        <v>25000</v>
      </c>
      <c r="F69" s="1866">
        <f t="shared" si="1"/>
        <v>25000</v>
      </c>
      <c r="G69" s="1766">
        <f t="shared" si="3"/>
        <v>93307.199999999997</v>
      </c>
    </row>
    <row r="70" spans="1:7" x14ac:dyDescent="0.25">
      <c r="A70" s="1626" t="s">
        <v>2130</v>
      </c>
      <c r="B70" s="1640" t="s">
        <v>1786</v>
      </c>
      <c r="C70" s="1627" t="s">
        <v>2189</v>
      </c>
      <c r="D70" s="1817">
        <v>255569.16</v>
      </c>
      <c r="E70" s="1513">
        <f t="shared" si="2"/>
        <v>25000</v>
      </c>
      <c r="F70" s="1866">
        <f t="shared" si="1"/>
        <v>25000</v>
      </c>
      <c r="G70" s="1766">
        <f t="shared" si="3"/>
        <v>230569.16</v>
      </c>
    </row>
    <row r="71" spans="1:7" x14ac:dyDescent="0.25">
      <c r="A71" s="1626" t="s">
        <v>2144</v>
      </c>
      <c r="B71" s="1640" t="s">
        <v>2145</v>
      </c>
      <c r="C71" s="1627" t="s">
        <v>2190</v>
      </c>
      <c r="D71" s="1817">
        <v>50278.14</v>
      </c>
      <c r="E71" s="1513">
        <f t="shared" si="2"/>
        <v>25000</v>
      </c>
      <c r="F71" s="1866">
        <f t="shared" si="1"/>
        <v>25000</v>
      </c>
      <c r="G71" s="1766">
        <f t="shared" si="3"/>
        <v>25278.14</v>
      </c>
    </row>
    <row r="72" spans="1:7" x14ac:dyDescent="0.25">
      <c r="A72" s="1626" t="s">
        <v>2174</v>
      </c>
      <c r="B72" s="1640" t="s">
        <v>2175</v>
      </c>
      <c r="C72" s="1627" t="s">
        <v>2190</v>
      </c>
      <c r="D72" s="1817">
        <v>500652.86</v>
      </c>
      <c r="E72" s="1513">
        <f t="shared" si="2"/>
        <v>25000</v>
      </c>
      <c r="F72" s="1866">
        <f t="shared" si="1"/>
        <v>25000</v>
      </c>
      <c r="G72" s="1766">
        <f t="shared" si="3"/>
        <v>475652.86</v>
      </c>
    </row>
    <row r="73" spans="1:7" x14ac:dyDescent="0.25">
      <c r="A73" s="1626" t="s">
        <v>2130</v>
      </c>
      <c r="B73" s="1640" t="s">
        <v>1786</v>
      </c>
      <c r="C73" s="1627" t="s">
        <v>2191</v>
      </c>
      <c r="D73" s="1817">
        <v>485954.73</v>
      </c>
      <c r="E73" s="1513">
        <f t="shared" ref="E73:E84" si="4">IF(D73&lt;=25000,D73,IF(D73&gt;25000,25000,0))</f>
        <v>25000</v>
      </c>
      <c r="F73" s="1866">
        <f t="shared" si="1"/>
        <v>25000</v>
      </c>
      <c r="G73" s="1766">
        <f t="shared" ref="G73:G84" si="5">IF(F73=0,0,D73-F73)</f>
        <v>460954.73</v>
      </c>
    </row>
    <row r="74" spans="1:7" x14ac:dyDescent="0.25">
      <c r="A74" s="1626" t="s">
        <v>2139</v>
      </c>
      <c r="B74" s="1640" t="s">
        <v>2140</v>
      </c>
      <c r="C74" s="1627" t="s">
        <v>2192</v>
      </c>
      <c r="D74" s="1817">
        <v>156187.5</v>
      </c>
      <c r="E74" s="1513">
        <f t="shared" si="4"/>
        <v>25000</v>
      </c>
      <c r="F74" s="1866">
        <f t="shared" si="1"/>
        <v>25000</v>
      </c>
      <c r="G74" s="1766">
        <f t="shared" si="5"/>
        <v>131187.5</v>
      </c>
    </row>
    <row r="75" spans="1:7" x14ac:dyDescent="0.25">
      <c r="A75" s="1626" t="s">
        <v>2149</v>
      </c>
      <c r="B75" s="1640" t="s">
        <v>2150</v>
      </c>
      <c r="C75" s="1627" t="s">
        <v>2193</v>
      </c>
      <c r="D75" s="1817">
        <v>8142.01</v>
      </c>
      <c r="E75" s="1513">
        <f t="shared" si="4"/>
        <v>8142.01</v>
      </c>
      <c r="F75" s="1866">
        <f t="shared" si="1"/>
        <v>8142.01</v>
      </c>
      <c r="G75" s="1766">
        <f t="shared" si="5"/>
        <v>0</v>
      </c>
    </row>
    <row r="76" spans="1:7" x14ac:dyDescent="0.25">
      <c r="A76" s="1626" t="s">
        <v>2127</v>
      </c>
      <c r="B76" s="1640" t="s">
        <v>2128</v>
      </c>
      <c r="C76" s="1627" t="s">
        <v>2193</v>
      </c>
      <c r="D76" s="1817">
        <v>96563.5</v>
      </c>
      <c r="E76" s="1513">
        <f t="shared" si="4"/>
        <v>25000</v>
      </c>
      <c r="F76" s="1866">
        <f t="shared" si="1"/>
        <v>25000</v>
      </c>
      <c r="G76" s="1766">
        <f t="shared" si="5"/>
        <v>71563.5</v>
      </c>
    </row>
    <row r="77" spans="1:7" x14ac:dyDescent="0.25">
      <c r="A77" s="1626" t="s">
        <v>2132</v>
      </c>
      <c r="B77" s="1640" t="s">
        <v>2133</v>
      </c>
      <c r="C77" s="1627" t="s">
        <v>2194</v>
      </c>
      <c r="D77" s="1817">
        <v>40580</v>
      </c>
      <c r="E77" s="1513">
        <f t="shared" si="4"/>
        <v>25000</v>
      </c>
      <c r="F77" s="1866">
        <f t="shared" si="1"/>
        <v>25000</v>
      </c>
      <c r="G77" s="1766">
        <f t="shared" si="5"/>
        <v>15580</v>
      </c>
    </row>
    <row r="78" spans="1:7" x14ac:dyDescent="0.25">
      <c r="A78" s="1626" t="s">
        <v>2130</v>
      </c>
      <c r="B78" s="1640" t="s">
        <v>1786</v>
      </c>
      <c r="C78" s="1627" t="s">
        <v>2195</v>
      </c>
      <c r="D78" s="1817">
        <v>95207.76</v>
      </c>
      <c r="E78" s="1513">
        <f t="shared" si="4"/>
        <v>25000</v>
      </c>
      <c r="F78" s="1866">
        <f t="shared" si="1"/>
        <v>25000</v>
      </c>
      <c r="G78" s="1766">
        <f t="shared" si="5"/>
        <v>70207.759999999995</v>
      </c>
    </row>
    <row r="79" spans="1:7" x14ac:dyDescent="0.25">
      <c r="A79" s="1626" t="s">
        <v>2130</v>
      </c>
      <c r="B79" s="1640" t="s">
        <v>1786</v>
      </c>
      <c r="C79" s="1627" t="s">
        <v>2196</v>
      </c>
      <c r="D79" s="1817">
        <v>45367.75</v>
      </c>
      <c r="E79" s="1513">
        <f t="shared" si="4"/>
        <v>25000</v>
      </c>
      <c r="F79" s="1866">
        <f t="shared" si="1"/>
        <v>25000</v>
      </c>
      <c r="G79" s="1766">
        <f t="shared" si="5"/>
        <v>20367.75</v>
      </c>
    </row>
    <row r="80" spans="1:7" x14ac:dyDescent="0.25">
      <c r="A80" s="1626" t="s">
        <v>2139</v>
      </c>
      <c r="B80" s="1640" t="s">
        <v>2140</v>
      </c>
      <c r="C80" s="1627" t="s">
        <v>2197</v>
      </c>
      <c r="D80" s="1817">
        <v>123000</v>
      </c>
      <c r="E80" s="1513">
        <f t="shared" si="4"/>
        <v>25000</v>
      </c>
      <c r="F80" s="1866">
        <f t="shared" si="1"/>
        <v>25000</v>
      </c>
      <c r="G80" s="1766">
        <f t="shared" si="5"/>
        <v>98000</v>
      </c>
    </row>
    <row r="81" spans="1:7" x14ac:dyDescent="0.25">
      <c r="A81" s="1626" t="s">
        <v>2130</v>
      </c>
      <c r="B81" s="1640" t="s">
        <v>1786</v>
      </c>
      <c r="C81" s="1627" t="s">
        <v>2198</v>
      </c>
      <c r="D81" s="1817">
        <v>95700.26</v>
      </c>
      <c r="E81" s="1513">
        <f t="shared" si="4"/>
        <v>25000</v>
      </c>
      <c r="F81" s="1866">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25000</v>
      </c>
      <c r="G81" s="1766">
        <f t="shared" si="5"/>
        <v>70700.259999999995</v>
      </c>
    </row>
    <row r="82" spans="1:7" x14ac:dyDescent="0.25">
      <c r="A82" s="1626" t="s">
        <v>2127</v>
      </c>
      <c r="B82" s="1640" t="s">
        <v>2128</v>
      </c>
      <c r="C82" s="1627" t="s">
        <v>2199</v>
      </c>
      <c r="D82" s="1817">
        <v>84961.5</v>
      </c>
      <c r="E82" s="1513">
        <f t="shared" si="4"/>
        <v>25000</v>
      </c>
      <c r="F82" s="1866">
        <f t="shared" si="6"/>
        <v>25000</v>
      </c>
      <c r="G82" s="1766">
        <f t="shared" si="5"/>
        <v>59961.5</v>
      </c>
    </row>
    <row r="83" spans="1:7" x14ac:dyDescent="0.25">
      <c r="A83" s="1626" t="s">
        <v>2149</v>
      </c>
      <c r="B83" s="1640" t="s">
        <v>2150</v>
      </c>
      <c r="C83" s="1627" t="s">
        <v>2200</v>
      </c>
      <c r="D83" s="1817">
        <v>24438.25</v>
      </c>
      <c r="E83" s="1513">
        <f t="shared" si="4"/>
        <v>24438.25</v>
      </c>
      <c r="F83" s="1866">
        <f t="shared" si="6"/>
        <v>24438.25</v>
      </c>
      <c r="G83" s="1766">
        <f t="shared" si="5"/>
        <v>0</v>
      </c>
    </row>
    <row r="84" spans="1:7" x14ac:dyDescent="0.25">
      <c r="A84" s="1626" t="s">
        <v>2127</v>
      </c>
      <c r="B84" s="1640" t="s">
        <v>2128</v>
      </c>
      <c r="C84" s="1627" t="s">
        <v>2200</v>
      </c>
      <c r="D84" s="1817">
        <v>275259</v>
      </c>
      <c r="E84" s="1513">
        <f t="shared" si="4"/>
        <v>25000</v>
      </c>
      <c r="F84" s="1866">
        <f t="shared" si="6"/>
        <v>25000</v>
      </c>
      <c r="G84" s="1766">
        <f t="shared" si="5"/>
        <v>250259</v>
      </c>
    </row>
    <row r="85" spans="1:7" x14ac:dyDescent="0.25">
      <c r="A85" s="1626" t="s">
        <v>2139</v>
      </c>
      <c r="B85" s="1640" t="s">
        <v>2140</v>
      </c>
      <c r="C85" s="1627" t="s">
        <v>2201</v>
      </c>
      <c r="D85" s="1817">
        <v>86498</v>
      </c>
      <c r="E85" s="1513">
        <f t="shared" si="2"/>
        <v>25000</v>
      </c>
      <c r="F85" s="1866">
        <f t="shared" si="6"/>
        <v>25000</v>
      </c>
      <c r="G85" s="1766">
        <f t="shared" si="3"/>
        <v>61498</v>
      </c>
    </row>
    <row r="86" spans="1:7" x14ac:dyDescent="0.25">
      <c r="A86" s="1626" t="s">
        <v>2132</v>
      </c>
      <c r="B86" s="1640" t="s">
        <v>2133</v>
      </c>
      <c r="C86" s="1627" t="s">
        <v>2202</v>
      </c>
      <c r="D86" s="1817">
        <v>32000</v>
      </c>
      <c r="E86" s="1513">
        <f t="shared" si="2"/>
        <v>25000</v>
      </c>
      <c r="F86" s="1866">
        <f t="shared" si="6"/>
        <v>25000</v>
      </c>
      <c r="G86" s="1766">
        <f t="shared" si="3"/>
        <v>7000</v>
      </c>
    </row>
    <row r="87" spans="1:7" x14ac:dyDescent="0.25">
      <c r="A87" s="1626" t="s">
        <v>2130</v>
      </c>
      <c r="B87" s="1640" t="s">
        <v>1786</v>
      </c>
      <c r="C87" s="1627" t="s">
        <v>2203</v>
      </c>
      <c r="D87" s="1817">
        <v>42357.77</v>
      </c>
      <c r="E87" s="1513">
        <f t="shared" si="2"/>
        <v>25000</v>
      </c>
      <c r="F87" s="1866">
        <f t="shared" si="6"/>
        <v>25000</v>
      </c>
      <c r="G87" s="1766">
        <f t="shared" si="3"/>
        <v>17357.769999999997</v>
      </c>
    </row>
    <row r="88" spans="1:7" x14ac:dyDescent="0.25">
      <c r="A88" s="1626" t="s">
        <v>2174</v>
      </c>
      <c r="B88" s="1640" t="s">
        <v>2175</v>
      </c>
      <c r="C88" s="1627" t="s">
        <v>2204</v>
      </c>
      <c r="D88" s="1817">
        <v>62120</v>
      </c>
      <c r="E88" s="1513">
        <f t="shared" si="2"/>
        <v>25000</v>
      </c>
      <c r="F88" s="1866">
        <f t="shared" si="6"/>
        <v>25000</v>
      </c>
      <c r="G88" s="1766">
        <f t="shared" si="3"/>
        <v>37120</v>
      </c>
    </row>
    <row r="89" spans="1:7" x14ac:dyDescent="0.25">
      <c r="A89" s="1626" t="s">
        <v>2149</v>
      </c>
      <c r="B89" s="1640" t="s">
        <v>2150</v>
      </c>
      <c r="C89" s="1627" t="s">
        <v>2205</v>
      </c>
      <c r="D89" s="1817">
        <v>137250</v>
      </c>
      <c r="E89" s="1513">
        <f t="shared" si="2"/>
        <v>25000</v>
      </c>
      <c r="F89" s="1866">
        <f t="shared" si="6"/>
        <v>25000</v>
      </c>
      <c r="G89" s="1766">
        <f t="shared" si="3"/>
        <v>112250</v>
      </c>
    </row>
    <row r="90" spans="1:7" x14ac:dyDescent="0.25">
      <c r="A90" s="1626" t="s">
        <v>2149</v>
      </c>
      <c r="B90" s="1640" t="s">
        <v>2150</v>
      </c>
      <c r="C90" s="1627" t="s">
        <v>2206</v>
      </c>
      <c r="D90" s="1817">
        <v>15708.64</v>
      </c>
      <c r="E90" s="1513">
        <f t="shared" si="2"/>
        <v>15708.64</v>
      </c>
      <c r="F90" s="1866">
        <f t="shared" si="6"/>
        <v>15708.64</v>
      </c>
      <c r="G90" s="1766">
        <f t="shared" si="3"/>
        <v>0</v>
      </c>
    </row>
    <row r="91" spans="1:7" x14ac:dyDescent="0.25">
      <c r="A91" s="1626" t="s">
        <v>2127</v>
      </c>
      <c r="B91" s="1640" t="s">
        <v>2128</v>
      </c>
      <c r="C91" s="1627" t="s">
        <v>2206</v>
      </c>
      <c r="D91" s="1817">
        <v>539368.26</v>
      </c>
      <c r="E91" s="1513">
        <f t="shared" si="2"/>
        <v>25000</v>
      </c>
      <c r="F91" s="1866">
        <f t="shared" si="6"/>
        <v>25000</v>
      </c>
      <c r="G91" s="1766">
        <f t="shared" si="3"/>
        <v>514368.26</v>
      </c>
    </row>
    <row r="92" spans="1:7" x14ac:dyDescent="0.25">
      <c r="A92" s="1626" t="s">
        <v>2149</v>
      </c>
      <c r="B92" s="1640" t="s">
        <v>2150</v>
      </c>
      <c r="C92" s="1627" t="s">
        <v>2207</v>
      </c>
      <c r="D92" s="1817">
        <v>6942</v>
      </c>
      <c r="E92" s="1513">
        <f t="shared" si="2"/>
        <v>6942</v>
      </c>
      <c r="F92" s="1866">
        <f t="shared" si="6"/>
        <v>6942</v>
      </c>
      <c r="G92" s="1766">
        <f t="shared" si="3"/>
        <v>0</v>
      </c>
    </row>
    <row r="93" spans="1:7" x14ac:dyDescent="0.25">
      <c r="A93" s="1626" t="s">
        <v>2127</v>
      </c>
      <c r="B93" s="1640" t="s">
        <v>2128</v>
      </c>
      <c r="C93" s="1627" t="s">
        <v>2207</v>
      </c>
      <c r="D93" s="1817">
        <v>185601</v>
      </c>
      <c r="E93" s="1513">
        <f t="shared" ref="E93" si="7">IF(D93&lt;=25000,D93,IF(D93&gt;25000,25000,0))</f>
        <v>25000</v>
      </c>
      <c r="F93" s="1866">
        <f t="shared" si="6"/>
        <v>25000</v>
      </c>
      <c r="G93" s="1766">
        <f t="shared" ref="G93" si="8">IF(F93=0,0,D93-F93)</f>
        <v>160601</v>
      </c>
    </row>
    <row r="94" spans="1:7" x14ac:dyDescent="0.25">
      <c r="A94" s="1626" t="s">
        <v>2139</v>
      </c>
      <c r="B94" s="1640" t="s">
        <v>2140</v>
      </c>
      <c r="C94" s="1627" t="s">
        <v>2207</v>
      </c>
      <c r="D94" s="1817">
        <v>710</v>
      </c>
      <c r="E94" s="1513">
        <f t="shared" si="2"/>
        <v>710</v>
      </c>
      <c r="F94" s="1866">
        <f t="shared" si="6"/>
        <v>710</v>
      </c>
      <c r="G94" s="1766">
        <f t="shared" si="3"/>
        <v>0</v>
      </c>
    </row>
    <row r="95" spans="1:7" x14ac:dyDescent="0.25">
      <c r="A95" s="1626" t="s">
        <v>2127</v>
      </c>
      <c r="B95" s="1640" t="s">
        <v>2128</v>
      </c>
      <c r="C95" s="1627" t="s">
        <v>2208</v>
      </c>
      <c r="D95" s="1817">
        <v>71240.25</v>
      </c>
      <c r="E95" s="1513">
        <f t="shared" ref="E95:E98" si="9">IF(D95&lt;=25000,D95,IF(D95&gt;25000,25000,0))</f>
        <v>25000</v>
      </c>
      <c r="F95" s="1866">
        <f t="shared" si="6"/>
        <v>25000</v>
      </c>
      <c r="G95" s="1766">
        <f t="shared" ref="G95:G98" si="10">IF(F95=0,0,D95-F95)</f>
        <v>46240.25</v>
      </c>
    </row>
    <row r="96" spans="1:7" x14ac:dyDescent="0.25">
      <c r="A96" s="1626" t="s">
        <v>2149</v>
      </c>
      <c r="B96" s="1640" t="s">
        <v>2150</v>
      </c>
      <c r="C96" s="1627" t="s">
        <v>2209</v>
      </c>
      <c r="D96" s="1817">
        <v>3749.25</v>
      </c>
      <c r="E96" s="1513">
        <f t="shared" si="9"/>
        <v>3749.25</v>
      </c>
      <c r="F96" s="1866">
        <f t="shared" si="6"/>
        <v>3749.25</v>
      </c>
      <c r="G96" s="1766">
        <f t="shared" si="10"/>
        <v>0</v>
      </c>
    </row>
    <row r="97" spans="1:7" x14ac:dyDescent="0.25">
      <c r="A97" s="1626" t="s">
        <v>2139</v>
      </c>
      <c r="B97" s="1640" t="s">
        <v>2140</v>
      </c>
      <c r="C97" s="1627" t="s">
        <v>2209</v>
      </c>
      <c r="D97" s="1817">
        <v>21967.61</v>
      </c>
      <c r="E97" s="1513">
        <f t="shared" si="9"/>
        <v>21967.61</v>
      </c>
      <c r="F97" s="1866">
        <f t="shared" si="6"/>
        <v>21967.61</v>
      </c>
      <c r="G97" s="1766">
        <f t="shared" si="10"/>
        <v>0</v>
      </c>
    </row>
    <row r="98" spans="1:7" x14ac:dyDescent="0.25">
      <c r="A98" s="1626" t="s">
        <v>2210</v>
      </c>
      <c r="B98" s="1640" t="s">
        <v>2211</v>
      </c>
      <c r="C98" s="1627" t="s">
        <v>2212</v>
      </c>
      <c r="D98" s="1817">
        <v>102567.8</v>
      </c>
      <c r="E98" s="1513">
        <f t="shared" si="9"/>
        <v>25000</v>
      </c>
      <c r="F98" s="1866">
        <f t="shared" si="6"/>
        <v>25000</v>
      </c>
      <c r="G98" s="1766">
        <f t="shared" si="10"/>
        <v>77567.8</v>
      </c>
    </row>
    <row r="99" spans="1:7" x14ac:dyDescent="0.25">
      <c r="A99" s="1626" t="s">
        <v>2213</v>
      </c>
      <c r="B99" s="1640" t="s">
        <v>2214</v>
      </c>
      <c r="C99" s="1627" t="s">
        <v>2215</v>
      </c>
      <c r="D99" s="1817">
        <v>248571.58</v>
      </c>
      <c r="E99" s="1513">
        <f t="shared" ref="E99" si="11">IF(D99&lt;=25000,D99,IF(D99&gt;25000,25000,0))</f>
        <v>25000</v>
      </c>
      <c r="F99" s="1866">
        <f t="shared" si="6"/>
        <v>25000</v>
      </c>
      <c r="G99" s="1766">
        <f t="shared" ref="G99" si="12">IF(F99=0,0,D99-F99)</f>
        <v>223571.58</v>
      </c>
    </row>
    <row r="100" spans="1:7" x14ac:dyDescent="0.25">
      <c r="A100" s="1626" t="s">
        <v>2216</v>
      </c>
      <c r="B100" s="1640" t="s">
        <v>2217</v>
      </c>
      <c r="C100" s="1627" t="s">
        <v>2215</v>
      </c>
      <c r="D100" s="1817">
        <v>25709.75</v>
      </c>
      <c r="E100" s="1513">
        <f t="shared" ref="E100:E112" si="13">IF(D100&lt;=25000,D100,IF(D100&gt;25000,25000,0))</f>
        <v>25000</v>
      </c>
      <c r="F100" s="1866">
        <f t="shared" si="6"/>
        <v>25000</v>
      </c>
      <c r="G100" s="1766">
        <f t="shared" ref="G100:G112" si="14">IF(F100=0,0,D100-F100)</f>
        <v>709.75</v>
      </c>
    </row>
    <row r="101" spans="1:7" x14ac:dyDescent="0.25">
      <c r="A101" s="1626" t="s">
        <v>2218</v>
      </c>
      <c r="B101" s="1640" t="s">
        <v>2219</v>
      </c>
      <c r="C101" s="1627" t="s">
        <v>2220</v>
      </c>
      <c r="D101" s="1817">
        <v>64037.4</v>
      </c>
      <c r="E101" s="1513">
        <f t="shared" si="13"/>
        <v>25000</v>
      </c>
      <c r="F101" s="1866">
        <f t="shared" si="6"/>
        <v>25000</v>
      </c>
      <c r="G101" s="1766">
        <f t="shared" si="14"/>
        <v>39037.4</v>
      </c>
    </row>
    <row r="102" spans="1:7" x14ac:dyDescent="0.25">
      <c r="A102" s="1626" t="s">
        <v>2154</v>
      </c>
      <c r="B102" s="1640" t="s">
        <v>2155</v>
      </c>
      <c r="C102" s="1627" t="s">
        <v>2220</v>
      </c>
      <c r="D102" s="1817">
        <v>53229.87</v>
      </c>
      <c r="E102" s="1513">
        <f t="shared" si="13"/>
        <v>25000</v>
      </c>
      <c r="F102" s="1866">
        <f t="shared" si="6"/>
        <v>25000</v>
      </c>
      <c r="G102" s="1766">
        <f t="shared" si="14"/>
        <v>28229.870000000003</v>
      </c>
    </row>
    <row r="103" spans="1:7" x14ac:dyDescent="0.25">
      <c r="A103" s="1626"/>
      <c r="B103" s="1640"/>
      <c r="C103" s="1627"/>
      <c r="D103" s="1817"/>
      <c r="E103" s="1513">
        <f t="shared" si="13"/>
        <v>0</v>
      </c>
      <c r="F103" s="1866">
        <f t="shared" si="6"/>
        <v>0</v>
      </c>
      <c r="G103" s="1766">
        <f t="shared" si="14"/>
        <v>0</v>
      </c>
    </row>
    <row r="104" spans="1:7" x14ac:dyDescent="0.25">
      <c r="A104" s="1626"/>
      <c r="B104" s="1640"/>
      <c r="C104" s="1627"/>
      <c r="D104" s="1817"/>
      <c r="E104" s="1513">
        <f t="shared" si="13"/>
        <v>0</v>
      </c>
      <c r="F104" s="1866">
        <f t="shared" si="6"/>
        <v>0</v>
      </c>
      <c r="G104" s="1766">
        <f t="shared" si="14"/>
        <v>0</v>
      </c>
    </row>
    <row r="105" spans="1:7" x14ac:dyDescent="0.25">
      <c r="A105" s="1626"/>
      <c r="B105" s="1640"/>
      <c r="C105" s="1627"/>
      <c r="D105" s="1817"/>
      <c r="E105" s="1513">
        <f t="shared" si="13"/>
        <v>0</v>
      </c>
      <c r="F105" s="1866">
        <f t="shared" si="6"/>
        <v>0</v>
      </c>
      <c r="G105" s="1766">
        <f t="shared" si="14"/>
        <v>0</v>
      </c>
    </row>
    <row r="106" spans="1:7" x14ac:dyDescent="0.25">
      <c r="A106" s="1626"/>
      <c r="B106" s="1640"/>
      <c r="C106" s="1627"/>
      <c r="D106" s="1817"/>
      <c r="E106" s="1513">
        <f t="shared" si="13"/>
        <v>0</v>
      </c>
      <c r="F106" s="1866">
        <f t="shared" si="6"/>
        <v>0</v>
      </c>
      <c r="G106" s="1766">
        <f t="shared" si="14"/>
        <v>0</v>
      </c>
    </row>
    <row r="107" spans="1:7" x14ac:dyDescent="0.25">
      <c r="A107" s="1626"/>
      <c r="B107" s="1640"/>
      <c r="C107" s="1627"/>
      <c r="D107" s="1817"/>
      <c r="E107" s="1513">
        <f t="shared" si="13"/>
        <v>0</v>
      </c>
      <c r="F107" s="1866">
        <f t="shared" si="6"/>
        <v>0</v>
      </c>
      <c r="G107" s="1766">
        <f t="shared" si="14"/>
        <v>0</v>
      </c>
    </row>
    <row r="108" spans="1:7" x14ac:dyDescent="0.25">
      <c r="A108" s="1626"/>
      <c r="B108" s="1640"/>
      <c r="C108" s="1627"/>
      <c r="D108" s="1817"/>
      <c r="E108" s="1513">
        <f t="shared" si="13"/>
        <v>0</v>
      </c>
      <c r="F108" s="1866">
        <f t="shared" si="6"/>
        <v>0</v>
      </c>
      <c r="G108" s="1766">
        <f t="shared" si="14"/>
        <v>0</v>
      </c>
    </row>
    <row r="109" spans="1:7" x14ac:dyDescent="0.25">
      <c r="A109" s="1626"/>
      <c r="B109" s="1640"/>
      <c r="C109" s="1627"/>
      <c r="D109" s="1817"/>
      <c r="E109" s="1513">
        <f t="shared" si="13"/>
        <v>0</v>
      </c>
      <c r="F109" s="1866">
        <f t="shared" si="6"/>
        <v>0</v>
      </c>
      <c r="G109" s="1766">
        <f t="shared" si="14"/>
        <v>0</v>
      </c>
    </row>
    <row r="110" spans="1:7" x14ac:dyDescent="0.25">
      <c r="A110" s="1626"/>
      <c r="B110" s="1640"/>
      <c r="C110" s="1627"/>
      <c r="D110" s="1817"/>
      <c r="E110" s="1513">
        <f t="shared" si="13"/>
        <v>0</v>
      </c>
      <c r="F110" s="1866">
        <f t="shared" si="6"/>
        <v>0</v>
      </c>
      <c r="G110" s="1766">
        <f t="shared" si="14"/>
        <v>0</v>
      </c>
    </row>
    <row r="111" spans="1:7" x14ac:dyDescent="0.25">
      <c r="A111" s="1626"/>
      <c r="B111" s="1640"/>
      <c r="C111" s="1627"/>
      <c r="D111" s="1817"/>
      <c r="E111" s="1513">
        <f t="shared" si="13"/>
        <v>0</v>
      </c>
      <c r="F111" s="1866">
        <f t="shared" si="6"/>
        <v>0</v>
      </c>
      <c r="G111" s="1766">
        <f t="shared" si="14"/>
        <v>0</v>
      </c>
    </row>
    <row r="112" spans="1:7" x14ac:dyDescent="0.25">
      <c r="A112" s="1626"/>
      <c r="B112" s="1640"/>
      <c r="C112" s="1627"/>
      <c r="D112" s="1817"/>
      <c r="E112" s="1513">
        <f t="shared" si="13"/>
        <v>0</v>
      </c>
      <c r="F112" s="1866">
        <f t="shared" si="6"/>
        <v>0</v>
      </c>
      <c r="G112" s="1766">
        <f t="shared" si="14"/>
        <v>0</v>
      </c>
    </row>
    <row r="113" spans="1:7" x14ac:dyDescent="0.25">
      <c r="A113" s="1626"/>
      <c r="B113" s="1640"/>
      <c r="C113" s="1627"/>
      <c r="D113" s="1817"/>
      <c r="E113" s="1513">
        <f t="shared" ref="E113:E125" si="15">IF(D113&lt;=25000,D113,IF(D113&gt;25000,25000,0))</f>
        <v>0</v>
      </c>
      <c r="F113" s="1866">
        <f t="shared" si="6"/>
        <v>0</v>
      </c>
      <c r="G113" s="1766">
        <f t="shared" ref="G113:G125" si="16">IF(F113=0,0,D113-F113)</f>
        <v>0</v>
      </c>
    </row>
    <row r="114" spans="1:7" x14ac:dyDescent="0.25">
      <c r="A114" s="1626"/>
      <c r="B114" s="1640"/>
      <c r="C114" s="1627"/>
      <c r="D114" s="1817"/>
      <c r="E114" s="1513">
        <f t="shared" si="15"/>
        <v>0</v>
      </c>
      <c r="F114" s="1866">
        <f t="shared" si="6"/>
        <v>0</v>
      </c>
      <c r="G114" s="1766">
        <f t="shared" si="16"/>
        <v>0</v>
      </c>
    </row>
    <row r="115" spans="1:7" x14ac:dyDescent="0.25">
      <c r="A115" s="1626"/>
      <c r="B115" s="1640"/>
      <c r="C115" s="1627"/>
      <c r="D115" s="1817"/>
      <c r="E115" s="1513">
        <f t="shared" si="15"/>
        <v>0</v>
      </c>
      <c r="F115" s="1866">
        <f t="shared" si="6"/>
        <v>0</v>
      </c>
      <c r="G115" s="1766">
        <f t="shared" si="16"/>
        <v>0</v>
      </c>
    </row>
    <row r="116" spans="1:7" x14ac:dyDescent="0.25">
      <c r="A116" s="1626"/>
      <c r="B116" s="1640"/>
      <c r="C116" s="1627"/>
      <c r="D116" s="1817"/>
      <c r="E116" s="1513">
        <f t="shared" si="15"/>
        <v>0</v>
      </c>
      <c r="F116" s="1866">
        <f t="shared" si="6"/>
        <v>0</v>
      </c>
      <c r="G116" s="1766">
        <f t="shared" si="16"/>
        <v>0</v>
      </c>
    </row>
    <row r="117" spans="1:7" x14ac:dyDescent="0.25">
      <c r="A117" s="1626"/>
      <c r="B117" s="1640"/>
      <c r="C117" s="1627"/>
      <c r="D117" s="1817"/>
      <c r="E117" s="1513">
        <f t="shared" si="15"/>
        <v>0</v>
      </c>
      <c r="F117" s="1866">
        <f t="shared" si="6"/>
        <v>0</v>
      </c>
      <c r="G117" s="1766">
        <f t="shared" si="16"/>
        <v>0</v>
      </c>
    </row>
    <row r="118" spans="1:7" x14ac:dyDescent="0.25">
      <c r="A118" s="1626"/>
      <c r="B118" s="1640"/>
      <c r="C118" s="1627"/>
      <c r="D118" s="1817"/>
      <c r="E118" s="1513">
        <f t="shared" si="15"/>
        <v>0</v>
      </c>
      <c r="F118" s="1866">
        <f t="shared" si="6"/>
        <v>0</v>
      </c>
      <c r="G118" s="1766">
        <f t="shared" si="16"/>
        <v>0</v>
      </c>
    </row>
    <row r="119" spans="1:7" x14ac:dyDescent="0.25">
      <c r="A119" s="1626"/>
      <c r="B119" s="1640"/>
      <c r="C119" s="1627"/>
      <c r="D119" s="1817"/>
      <c r="E119" s="1513">
        <f t="shared" si="15"/>
        <v>0</v>
      </c>
      <c r="F119" s="1866">
        <f t="shared" si="6"/>
        <v>0</v>
      </c>
      <c r="G119" s="1766">
        <f t="shared" si="16"/>
        <v>0</v>
      </c>
    </row>
    <row r="120" spans="1:7" x14ac:dyDescent="0.25">
      <c r="A120" s="1626"/>
      <c r="B120" s="1640"/>
      <c r="C120" s="1627"/>
      <c r="D120" s="1817"/>
      <c r="E120" s="1513">
        <f t="shared" si="15"/>
        <v>0</v>
      </c>
      <c r="F120" s="1866">
        <f t="shared" si="6"/>
        <v>0</v>
      </c>
      <c r="G120" s="1766">
        <f t="shared" si="16"/>
        <v>0</v>
      </c>
    </row>
    <row r="121" spans="1:7" x14ac:dyDescent="0.25">
      <c r="A121" s="1626"/>
      <c r="B121" s="1640"/>
      <c r="C121" s="1627"/>
      <c r="D121" s="1817"/>
      <c r="E121" s="1513">
        <f t="shared" si="15"/>
        <v>0</v>
      </c>
      <c r="F121" s="1866">
        <f t="shared" si="6"/>
        <v>0</v>
      </c>
      <c r="G121" s="1766">
        <f t="shared" si="16"/>
        <v>0</v>
      </c>
    </row>
    <row r="122" spans="1:7" x14ac:dyDescent="0.25">
      <c r="A122" s="1626"/>
      <c r="B122" s="1640"/>
      <c r="C122" s="1627"/>
      <c r="D122" s="1817"/>
      <c r="E122" s="1513">
        <f t="shared" si="15"/>
        <v>0</v>
      </c>
      <c r="F122" s="1866">
        <f t="shared" si="6"/>
        <v>0</v>
      </c>
      <c r="G122" s="1766">
        <f t="shared" si="16"/>
        <v>0</v>
      </c>
    </row>
    <row r="123" spans="1:7" x14ac:dyDescent="0.25">
      <c r="A123" s="1626"/>
      <c r="B123" s="1640"/>
      <c r="C123" s="1627"/>
      <c r="D123" s="1817"/>
      <c r="E123" s="1513">
        <f t="shared" si="15"/>
        <v>0</v>
      </c>
      <c r="F123" s="1866">
        <f t="shared" si="6"/>
        <v>0</v>
      </c>
      <c r="G123" s="1766">
        <f t="shared" si="16"/>
        <v>0</v>
      </c>
    </row>
    <row r="124" spans="1:7" x14ac:dyDescent="0.25">
      <c r="A124" s="1626"/>
      <c r="B124" s="1640"/>
      <c r="C124" s="1627"/>
      <c r="D124" s="1817"/>
      <c r="E124" s="1513">
        <f t="shared" si="15"/>
        <v>0</v>
      </c>
      <c r="F124" s="1866">
        <f t="shared" si="6"/>
        <v>0</v>
      </c>
      <c r="G124" s="1766">
        <f t="shared" si="16"/>
        <v>0</v>
      </c>
    </row>
    <row r="125" spans="1:7" x14ac:dyDescent="0.25">
      <c r="A125" s="1626"/>
      <c r="B125" s="1640"/>
      <c r="C125" s="1627"/>
      <c r="D125" s="1817"/>
      <c r="E125" s="1513">
        <f t="shared" si="15"/>
        <v>0</v>
      </c>
      <c r="F125" s="1866">
        <f t="shared" si="6"/>
        <v>0</v>
      </c>
      <c r="G125" s="1766">
        <f t="shared" si="16"/>
        <v>0</v>
      </c>
    </row>
    <row r="126" spans="1:7" x14ac:dyDescent="0.25">
      <c r="A126" s="1626"/>
      <c r="B126" s="1640"/>
      <c r="C126" s="1627"/>
      <c r="D126" s="1817"/>
      <c r="E126" s="1513">
        <f t="shared" ref="E126:E134" si="17">IF(D126&lt;=25000,D126,IF(D126&gt;25000,25000,0))</f>
        <v>0</v>
      </c>
      <c r="F126" s="1866">
        <f t="shared" si="6"/>
        <v>0</v>
      </c>
      <c r="G126" s="1766">
        <f t="shared" ref="G126:G134" si="18">IF(F126=0,0,D126-F126)</f>
        <v>0</v>
      </c>
    </row>
    <row r="127" spans="1:7" x14ac:dyDescent="0.25">
      <c r="A127" s="1626"/>
      <c r="B127" s="1640"/>
      <c r="C127" s="1627"/>
      <c r="D127" s="1817"/>
      <c r="E127" s="1513">
        <f t="shared" si="17"/>
        <v>0</v>
      </c>
      <c r="F127" s="1866">
        <f t="shared" si="6"/>
        <v>0</v>
      </c>
      <c r="G127" s="1766">
        <f t="shared" si="18"/>
        <v>0</v>
      </c>
    </row>
    <row r="128" spans="1:7" x14ac:dyDescent="0.25">
      <c r="A128" s="1626"/>
      <c r="B128" s="1640"/>
      <c r="C128" s="1627"/>
      <c r="D128" s="1817"/>
      <c r="E128" s="1513">
        <f t="shared" si="17"/>
        <v>0</v>
      </c>
      <c r="F128" s="1866">
        <f t="shared" si="6"/>
        <v>0</v>
      </c>
      <c r="G128" s="1766">
        <f t="shared" si="18"/>
        <v>0</v>
      </c>
    </row>
    <row r="129" spans="1:7" x14ac:dyDescent="0.25">
      <c r="A129" s="1626"/>
      <c r="B129" s="1640"/>
      <c r="C129" s="1627"/>
      <c r="D129" s="1817"/>
      <c r="E129" s="1513">
        <f t="shared" si="17"/>
        <v>0</v>
      </c>
      <c r="F129" s="1866">
        <f t="shared" si="6"/>
        <v>0</v>
      </c>
      <c r="G129" s="1766">
        <f t="shared" si="18"/>
        <v>0</v>
      </c>
    </row>
    <row r="130" spans="1:7" x14ac:dyDescent="0.25">
      <c r="A130" s="1626"/>
      <c r="B130" s="1640"/>
      <c r="C130" s="1627"/>
      <c r="D130" s="1817"/>
      <c r="E130" s="1513">
        <f t="shared" si="17"/>
        <v>0</v>
      </c>
      <c r="F130" s="1866">
        <f t="shared" si="6"/>
        <v>0</v>
      </c>
      <c r="G130" s="1766">
        <f t="shared" si="18"/>
        <v>0</v>
      </c>
    </row>
    <row r="131" spans="1:7" x14ac:dyDescent="0.25">
      <c r="A131" s="1626"/>
      <c r="B131" s="1810"/>
      <c r="C131" s="1627"/>
      <c r="D131" s="1817"/>
      <c r="E131" s="1513">
        <f t="shared" si="17"/>
        <v>0</v>
      </c>
      <c r="F131" s="1866">
        <f t="shared" si="6"/>
        <v>0</v>
      </c>
      <c r="G131" s="1766">
        <f t="shared" si="18"/>
        <v>0</v>
      </c>
    </row>
    <row r="132" spans="1:7" x14ac:dyDescent="0.25">
      <c r="A132" s="1626"/>
      <c r="B132" s="1810"/>
      <c r="C132" s="1627"/>
      <c r="D132" s="1817"/>
      <c r="E132" s="1513">
        <f t="shared" si="17"/>
        <v>0</v>
      </c>
      <c r="F132" s="1866">
        <f t="shared" si="6"/>
        <v>0</v>
      </c>
      <c r="G132" s="1766">
        <f t="shared" si="18"/>
        <v>0</v>
      </c>
    </row>
    <row r="133" spans="1:7" x14ac:dyDescent="0.25">
      <c r="A133" s="1626"/>
      <c r="B133" s="1640"/>
      <c r="C133" s="1627"/>
      <c r="D133" s="1817"/>
      <c r="E133" s="1513">
        <f t="shared" si="17"/>
        <v>0</v>
      </c>
      <c r="F133" s="1866">
        <f t="shared" si="6"/>
        <v>0</v>
      </c>
      <c r="G133" s="1766">
        <f t="shared" si="18"/>
        <v>0</v>
      </c>
    </row>
    <row r="134" spans="1:7" x14ac:dyDescent="0.25">
      <c r="A134" s="1626"/>
      <c r="B134" s="1640"/>
      <c r="C134" s="1627"/>
      <c r="D134" s="1817"/>
      <c r="E134" s="1513">
        <f t="shared" si="17"/>
        <v>0</v>
      </c>
      <c r="F134" s="1866">
        <f t="shared" si="6"/>
        <v>0</v>
      </c>
      <c r="G134" s="1766">
        <f t="shared" si="18"/>
        <v>0</v>
      </c>
    </row>
    <row r="135" spans="1:7" x14ac:dyDescent="0.25">
      <c r="A135" s="1626"/>
      <c r="B135" s="1640"/>
      <c r="C135" s="1627"/>
      <c r="D135" s="1817"/>
      <c r="E135" s="1513">
        <f t="shared" ref="E135:E139" si="19">IF(D135&lt;=25000,D135,IF(D135&gt;25000,25000,0))</f>
        <v>0</v>
      </c>
      <c r="F135" s="1866">
        <f t="shared" si="6"/>
        <v>0</v>
      </c>
      <c r="G135" s="1766">
        <f t="shared" ref="G135:G139" si="20">IF(F135=0,0,D135-F135)</f>
        <v>0</v>
      </c>
    </row>
    <row r="136" spans="1:7" x14ac:dyDescent="0.25">
      <c r="A136" s="1626"/>
      <c r="B136" s="1640"/>
      <c r="C136" s="1627"/>
      <c r="D136" s="1817"/>
      <c r="E136" s="1513">
        <f t="shared" si="19"/>
        <v>0</v>
      </c>
      <c r="F136" s="1866">
        <f t="shared" si="6"/>
        <v>0</v>
      </c>
      <c r="G136" s="1766">
        <f t="shared" si="20"/>
        <v>0</v>
      </c>
    </row>
    <row r="137" spans="1:7" x14ac:dyDescent="0.25">
      <c r="A137" s="1626"/>
      <c r="B137" s="1640"/>
      <c r="C137" s="1627"/>
      <c r="D137" s="1817"/>
      <c r="E137" s="1513">
        <f t="shared" si="19"/>
        <v>0</v>
      </c>
      <c r="F137" s="1866">
        <f t="shared" si="6"/>
        <v>0</v>
      </c>
      <c r="G137" s="1766">
        <f t="shared" si="20"/>
        <v>0</v>
      </c>
    </row>
    <row r="138" spans="1:7" x14ac:dyDescent="0.25">
      <c r="A138" s="1626"/>
      <c r="B138" s="1640"/>
      <c r="C138" s="1627"/>
      <c r="D138" s="1817"/>
      <c r="E138" s="1513">
        <f t="shared" si="19"/>
        <v>0</v>
      </c>
      <c r="F138" s="1866">
        <f t="shared" si="6"/>
        <v>0</v>
      </c>
      <c r="G138" s="1766">
        <f t="shared" si="20"/>
        <v>0</v>
      </c>
    </row>
    <row r="139" spans="1:7" x14ac:dyDescent="0.25">
      <c r="A139" s="1626"/>
      <c r="B139" s="1640"/>
      <c r="C139" s="1627"/>
      <c r="D139" s="1817"/>
      <c r="E139" s="1513">
        <f t="shared" si="19"/>
        <v>0</v>
      </c>
      <c r="F139" s="1866">
        <f t="shared" si="6"/>
        <v>0</v>
      </c>
      <c r="G139" s="1766">
        <f t="shared" si="20"/>
        <v>0</v>
      </c>
    </row>
    <row r="140" spans="1:7" x14ac:dyDescent="0.25">
      <c r="A140" s="1626"/>
      <c r="B140" s="1639"/>
      <c r="C140" s="1627"/>
      <c r="D140" s="1817"/>
      <c r="E140" s="1513">
        <f t="shared" si="2"/>
        <v>0</v>
      </c>
      <c r="F140" s="1866">
        <f t="shared" si="6"/>
        <v>0</v>
      </c>
      <c r="G140" s="1766">
        <f t="shared" si="3"/>
        <v>0</v>
      </c>
    </row>
    <row r="141" spans="1:7" x14ac:dyDescent="0.25">
      <c r="A141" s="1769" t="s">
        <v>156</v>
      </c>
      <c r="B141" s="1770"/>
      <c r="C141" s="1771"/>
      <c r="D141" s="1767">
        <f>SUM(D17:D140)</f>
        <v>11889854.309999999</v>
      </c>
      <c r="E141" s="1514">
        <f t="shared" si="0"/>
        <v>25000</v>
      </c>
      <c r="F141" s="1867">
        <f>SUM(F17:F140)</f>
        <v>1861379.0799999998</v>
      </c>
      <c r="G141" s="1768">
        <f>SUM(G17:G140)</f>
        <v>10028475.229999999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election activeCell="N17" sqref="N1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7" t="s">
        <v>1115</v>
      </c>
      <c r="B1" s="1608"/>
      <c r="C1" s="1609"/>
    </row>
    <row r="2" spans="1:9" x14ac:dyDescent="0.2">
      <c r="A2" s="925" t="s">
        <v>1116</v>
      </c>
      <c r="B2" s="926"/>
      <c r="C2" s="926"/>
      <c r="D2" s="926"/>
      <c r="E2" s="927"/>
      <c r="F2" s="927"/>
      <c r="G2" s="928"/>
    </row>
    <row r="3" spans="1:9" ht="12" customHeight="1" x14ac:dyDescent="0.2">
      <c r="A3" s="929" t="s">
        <v>1356</v>
      </c>
      <c r="B3" s="930"/>
      <c r="C3" s="930"/>
      <c r="D3" s="930"/>
      <c r="E3" s="931"/>
      <c r="F3" s="931"/>
      <c r="G3" s="932"/>
    </row>
    <row r="4" spans="1:9" x14ac:dyDescent="0.2">
      <c r="A4" s="933" t="s">
        <v>755</v>
      </c>
      <c r="B4" s="934"/>
      <c r="C4" s="934"/>
      <c r="D4" s="934"/>
      <c r="E4" s="935"/>
      <c r="F4" s="936"/>
      <c r="G4" s="937"/>
      <c r="H4" s="252"/>
      <c r="I4" s="252"/>
    </row>
    <row r="5" spans="1:9" s="343" customFormat="1" ht="57" customHeight="1" x14ac:dyDescent="0.2">
      <c r="A5" s="2335" t="s">
        <v>1648</v>
      </c>
      <c r="B5" s="2336"/>
      <c r="C5" s="2336"/>
      <c r="D5" s="2336"/>
      <c r="E5" s="2336"/>
      <c r="F5" s="2336"/>
      <c r="G5" s="2337"/>
      <c r="H5" s="252"/>
      <c r="I5" s="586"/>
    </row>
    <row r="6" spans="1:9" s="643" customFormat="1" x14ac:dyDescent="0.2">
      <c r="A6" s="1610" t="s">
        <v>205</v>
      </c>
      <c r="B6" s="939"/>
      <c r="C6" s="939"/>
      <c r="D6" s="940"/>
      <c r="E6" s="940"/>
      <c r="F6" s="941"/>
      <c r="G6" s="942"/>
      <c r="H6" s="162"/>
      <c r="I6" s="162"/>
    </row>
    <row r="7" spans="1:9" s="643" customFormat="1" ht="12" customHeight="1" x14ac:dyDescent="0.2">
      <c r="A7" s="943" t="s">
        <v>908</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1893</v>
      </c>
      <c r="B10" s="944"/>
      <c r="C10" s="949"/>
      <c r="D10" s="945"/>
      <c r="E10" s="946">
        <v>3704880</v>
      </c>
      <c r="F10" s="947"/>
      <c r="G10" s="948"/>
      <c r="H10" s="162"/>
      <c r="I10" s="162"/>
    </row>
    <row r="11" spans="1:9" s="643" customFormat="1" ht="22.5" customHeight="1" x14ac:dyDescent="0.2">
      <c r="A11" s="2340" t="s">
        <v>1937</v>
      </c>
      <c r="B11" s="2341"/>
      <c r="C11" s="2341"/>
      <c r="D11" s="2342"/>
      <c r="E11" s="950">
        <v>547279</v>
      </c>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371</v>
      </c>
      <c r="B15" s="940"/>
      <c r="C15" s="940"/>
      <c r="D15" s="940"/>
      <c r="E15" s="940"/>
      <c r="F15" s="940"/>
      <c r="G15" s="954"/>
      <c r="H15" s="162"/>
      <c r="I15" s="162"/>
    </row>
    <row r="16" spans="1:9" s="643" customFormat="1" x14ac:dyDescent="0.2">
      <c r="A16" s="955" t="s">
        <v>1376</v>
      </c>
      <c r="B16" s="956"/>
      <c r="C16" s="957"/>
      <c r="D16" s="936"/>
      <c r="E16" s="931"/>
      <c r="F16" s="931"/>
      <c r="G16" s="932"/>
      <c r="H16" s="162"/>
      <c r="I16" s="162"/>
    </row>
    <row r="17" spans="1:9" s="643" customFormat="1" ht="12" customHeight="1" x14ac:dyDescent="0.2">
      <c r="A17" s="958"/>
      <c r="B17" s="959"/>
      <c r="C17" s="329"/>
      <c r="D17" s="1611" t="s">
        <v>532</v>
      </c>
      <c r="E17" s="1612"/>
      <c r="F17" s="1611" t="s">
        <v>433</v>
      </c>
      <c r="G17" s="1613"/>
      <c r="H17" s="162"/>
      <c r="I17" s="162"/>
    </row>
    <row r="18" spans="1:9" s="259" customFormat="1" ht="11.25" x14ac:dyDescent="0.2">
      <c r="A18" s="961"/>
      <c r="C18" s="962" t="s">
        <v>434</v>
      </c>
      <c r="D18" s="1614" t="s">
        <v>435</v>
      </c>
      <c r="E18" s="1614" t="s">
        <v>53</v>
      </c>
      <c r="F18" s="1614" t="s">
        <v>435</v>
      </c>
      <c r="G18" s="1614" t="s">
        <v>53</v>
      </c>
      <c r="H18" s="178"/>
      <c r="I18" s="178"/>
    </row>
    <row r="19" spans="1:9" s="643" customFormat="1" ht="12" customHeight="1" x14ac:dyDescent="0.2">
      <c r="A19" s="963" t="s">
        <v>456</v>
      </c>
      <c r="B19" s="964"/>
      <c r="C19" s="965" t="s">
        <v>570</v>
      </c>
      <c r="D19" s="1772"/>
      <c r="E19" s="1773">
        <f>'Expenditures 15-22'!K33-SUM('Expenditures 15-22'!G33,'Expenditures 15-22'!I33)+'Expenditures 15-22'!D229</f>
        <v>80499923</v>
      </c>
      <c r="F19" s="1772"/>
      <c r="G19" s="1774">
        <f>'Expenditures 15-22'!K33-SUM('Expenditures 15-22'!G33,'Expenditures 15-22'!I33)+'Expenditures 15-22'!D229</f>
        <v>80499923</v>
      </c>
      <c r="H19" s="960"/>
      <c r="I19" s="162"/>
    </row>
    <row r="20" spans="1:9" s="643" customFormat="1" ht="12" customHeight="1" x14ac:dyDescent="0.2">
      <c r="A20" s="963" t="s">
        <v>54</v>
      </c>
      <c r="B20" s="964"/>
      <c r="C20" s="966"/>
      <c r="D20" s="1775"/>
      <c r="E20" s="1775"/>
      <c r="F20" s="1775"/>
      <c r="G20" s="1776"/>
      <c r="H20" s="960"/>
      <c r="I20" s="162"/>
    </row>
    <row r="21" spans="1:9" s="643" customFormat="1" ht="12" customHeight="1" x14ac:dyDescent="0.2">
      <c r="A21" s="967" t="s">
        <v>401</v>
      </c>
      <c r="B21" s="968"/>
      <c r="C21" s="966">
        <v>2100</v>
      </c>
      <c r="D21" s="1775"/>
      <c r="E21" s="1777">
        <f>'Expenditures 15-22'!K42-SUM('Expenditures 15-22'!G42,'Expenditures 15-22'!I42)+'Expenditures 15-22'!K120-SUM('Expenditures 15-22'!G120,'Expenditures 15-22'!I120)+'Expenditures 15-22'!K180-SUM('Expenditures 15-22'!G180,'Expenditures 15-22'!I180)+'Expenditures 15-22'!D238</f>
        <v>12039590</v>
      </c>
      <c r="F21" s="1775"/>
      <c r="G21" s="1778">
        <f>'Expenditures 15-22'!K42-SUM('Expenditures 15-22'!G42,'Expenditures 15-22'!I42)+'Expenditures 15-22'!K120-SUM('Expenditures 15-22'!G120,'Expenditures 15-22'!I120)+'Expenditures 15-22'!K180-SUM('Expenditures 15-22'!G180,'Expenditures 15-22'!I180)+'Expenditures 15-22'!D238</f>
        <v>12039590</v>
      </c>
      <c r="H21" s="960"/>
      <c r="I21" s="162"/>
    </row>
    <row r="22" spans="1:9" s="643" customFormat="1" ht="12" customHeight="1" x14ac:dyDescent="0.2">
      <c r="A22" s="967" t="s">
        <v>564</v>
      </c>
      <c r="B22" s="968"/>
      <c r="C22" s="966">
        <v>2200</v>
      </c>
      <c r="D22" s="1775"/>
      <c r="E22" s="1777">
        <f>'Expenditures 15-22'!K47-SUM('Expenditures 15-22'!G47,'Expenditures 15-22'!I47)+'Expenditures 15-22'!D243</f>
        <v>10089775</v>
      </c>
      <c r="F22" s="1775"/>
      <c r="G22" s="1778">
        <f>'Expenditures 15-22'!K47-SUM('Expenditures 15-22'!G47,'Expenditures 15-22'!I47)+'Expenditures 15-22'!D243</f>
        <v>10089775</v>
      </c>
      <c r="H22" s="960"/>
      <c r="I22" s="162"/>
    </row>
    <row r="23" spans="1:9" s="643" customFormat="1" ht="12" customHeight="1" x14ac:dyDescent="0.2">
      <c r="A23" s="967" t="s">
        <v>565</v>
      </c>
      <c r="B23" s="968"/>
      <c r="C23" s="966">
        <v>2300</v>
      </c>
      <c r="D23" s="1775"/>
      <c r="E23" s="1777">
        <f>'Expenditures 15-22'!K53-SUM('Expenditures 15-22'!G53,'Expenditures 15-22'!I53)+'Expenditures 15-22'!D257+'Expenditures 15-22'!K330-SUM('Expenditures 15-22'!G330,'Expenditures 15-22'!I330)</f>
        <v>5426923</v>
      </c>
      <c r="F23" s="1775"/>
      <c r="G23" s="1777">
        <f>'Expenditures 15-22'!K53-SUM('Expenditures 15-22'!G53,'Expenditures 15-22'!I53)+'Expenditures 15-22'!D257+'Expenditures 15-22'!K330-SUM('Expenditures 15-22'!G330,'Expenditures 15-22'!I330)</f>
        <v>5426923</v>
      </c>
      <c r="H23" s="960"/>
      <c r="I23" s="162"/>
    </row>
    <row r="24" spans="1:9" s="643" customFormat="1" ht="12" customHeight="1" x14ac:dyDescent="0.2">
      <c r="A24" s="967" t="s">
        <v>566</v>
      </c>
      <c r="B24" s="968"/>
      <c r="C24" s="966">
        <v>2400</v>
      </c>
      <c r="D24" s="1775"/>
      <c r="E24" s="1777">
        <f>'Expenditures 15-22'!K57-SUM('Expenditures 15-22'!G57,'Expenditures 15-22'!I57)+'Expenditures 15-22'!D261</f>
        <v>7629936</v>
      </c>
      <c r="F24" s="1775"/>
      <c r="G24" s="1778">
        <f>'Expenditures 15-22'!K57-SUM('Expenditures 15-22'!G57,'Expenditures 15-22'!I57)+'Expenditures 15-22'!D261</f>
        <v>7629936</v>
      </c>
      <c r="H24" s="960"/>
      <c r="I24" s="162"/>
    </row>
    <row r="25" spans="1:9" s="643" customFormat="1" ht="12" customHeight="1" x14ac:dyDescent="0.2">
      <c r="A25" s="963" t="s">
        <v>567</v>
      </c>
      <c r="B25" s="969"/>
      <c r="C25" s="966"/>
      <c r="D25" s="1775"/>
      <c r="E25" s="1777"/>
      <c r="F25" s="1775"/>
      <c r="G25" s="1778"/>
      <c r="H25" s="960"/>
      <c r="I25" s="162"/>
    </row>
    <row r="26" spans="1:9" s="643" customFormat="1" ht="12" customHeight="1" x14ac:dyDescent="0.2">
      <c r="A26" s="967" t="s">
        <v>515</v>
      </c>
      <c r="B26" s="970"/>
      <c r="C26" s="966">
        <v>2510</v>
      </c>
      <c r="D26" s="1777">
        <f>'Expenditures 15-22'!K59-SUM('Expenditures 15-22'!G59,'Expenditures 15-22'!I59)+'Expenditures 15-22'!D263-E7</f>
        <v>425266</v>
      </c>
      <c r="E26" s="1777">
        <f>'Expenditures 15-22'!K122-SUM('Expenditures 15-22'!G122,'Expenditures 15-22'!I122)+E7</f>
        <v>0</v>
      </c>
      <c r="F26" s="1777">
        <f>'Expenditures 15-22'!K59-SUM('Expenditures 15-22'!G59,'Expenditures 15-22'!I59)+'Expenditures 15-22'!D263-E7</f>
        <v>425266</v>
      </c>
      <c r="G26" s="1778">
        <f>'Expenditures 15-22'!K122-SUM('Expenditures 15-22'!G122,'Expenditures 15-22'!I122)+E7</f>
        <v>0</v>
      </c>
      <c r="H26" s="960"/>
      <c r="I26" s="162"/>
    </row>
    <row r="27" spans="1:9" s="643" customFormat="1" ht="12" customHeight="1" x14ac:dyDescent="0.2">
      <c r="A27" s="967" t="s">
        <v>463</v>
      </c>
      <c r="B27" s="970"/>
      <c r="C27" s="966">
        <v>2520</v>
      </c>
      <c r="D27" s="1777">
        <f>'Expenditures 15-22'!K60-SUM('Expenditures 15-22'!G60,'Expenditures 15-22'!I60)+'Expenditures 15-22'!D264-E8</f>
        <v>895773</v>
      </c>
      <c r="E27" s="1777">
        <f>E8</f>
        <v>0</v>
      </c>
      <c r="F27" s="1777">
        <f>'Expenditures 15-22'!K60-SUM('Expenditures 15-22'!G60,'Expenditures 15-22'!I60)+'Expenditures 15-22'!D264-E8</f>
        <v>895773</v>
      </c>
      <c r="G27" s="1778">
        <f>E8</f>
        <v>0</v>
      </c>
      <c r="H27" s="960"/>
      <c r="I27" s="162"/>
    </row>
    <row r="28" spans="1:9" s="643" customFormat="1" ht="12" customHeight="1" x14ac:dyDescent="0.2">
      <c r="A28" s="967" t="s">
        <v>516</v>
      </c>
      <c r="B28" s="970"/>
      <c r="C28" s="966">
        <v>2540</v>
      </c>
      <c r="D28" s="1779"/>
      <c r="E28" s="1777">
        <f>'Expenditures 15-22'!K61-SUM('Expenditures 15-22'!G61,'Expenditures 15-22'!I61)+'Expenditures 15-22'!K124-SUM('Expenditures 15-22'!G124,'Expenditures 15-22'!I124)+'Expenditures 15-22'!D266</f>
        <v>11618295</v>
      </c>
      <c r="F28" s="1779">
        <f>'Expenditures 15-22'!K61-SUM('Expenditures 15-22'!G61,'Expenditures 15-22'!I61)+'Expenditures 15-22'!K124-SUM('Expenditures 15-22'!G124,'Expenditures 15-22'!I124)+'Expenditures 15-22'!D266-E9</f>
        <v>11618295</v>
      </c>
      <c r="G28" s="1778">
        <f>E9</f>
        <v>0</v>
      </c>
      <c r="H28" s="960"/>
      <c r="I28" s="162"/>
    </row>
    <row r="29" spans="1:9" ht="12" customHeight="1" x14ac:dyDescent="0.2">
      <c r="A29" s="967" t="s">
        <v>517</v>
      </c>
      <c r="B29" s="970"/>
      <c r="C29" s="966">
        <v>2550</v>
      </c>
      <c r="D29" s="1775"/>
      <c r="E29" s="1777">
        <f>'Expenditures 15-22'!K62-SUM('Expenditures 15-22'!G62,'Expenditures 15-22'!I62)+'Expenditures 15-22'!K125-SUM('Expenditures 15-22'!G125,'Expenditures 15-22'!I125)+'Expenditures 15-22'!K182-SUM('Expenditures 15-22'!G182,'Expenditures 15-22'!I182)+'Expenditures 15-22'!D267</f>
        <v>4932863</v>
      </c>
      <c r="F29" s="1775"/>
      <c r="G29" s="1778">
        <f>'Expenditures 15-22'!K62-SUM('Expenditures 15-22'!G62,'Expenditures 15-22'!I62)+'Expenditures 15-22'!K125-SUM('Expenditures 15-22'!G125,'Expenditures 15-22'!I125)+'Expenditures 15-22'!K182-SUM('Expenditures 15-22'!G182,'Expenditures 15-22'!I182)+'Expenditures 15-22'!D267</f>
        <v>4932863</v>
      </c>
      <c r="H29" s="958"/>
    </row>
    <row r="30" spans="1:9" ht="12" customHeight="1" x14ac:dyDescent="0.2">
      <c r="A30" s="967" t="s">
        <v>100</v>
      </c>
      <c r="B30" s="970"/>
      <c r="C30" s="966">
        <v>2560</v>
      </c>
      <c r="D30" s="1775"/>
      <c r="E30" s="1777">
        <f>'Expenditures 15-22'!K63-SUM('Expenditures 15-22'!G63,'Expenditures 15-22'!I63)+'Expenditures 15-22'!D268-E10</f>
        <v>1698560</v>
      </c>
      <c r="F30" s="1775"/>
      <c r="G30" s="1777">
        <f>'Expenditures 15-22'!K63-SUM('Expenditures 15-22'!G63,'Expenditures 15-22'!I63)+'Expenditures 15-22'!D268-E10</f>
        <v>1698560</v>
      </c>
    </row>
    <row r="31" spans="1:9" ht="12" customHeight="1" x14ac:dyDescent="0.2">
      <c r="A31" s="967" t="s">
        <v>101</v>
      </c>
      <c r="B31" s="970"/>
      <c r="C31" s="966">
        <v>2570</v>
      </c>
      <c r="D31" s="1777">
        <f>'Expenditures 15-22'!K64-SUM('Expenditures 15-22'!G64,'Expenditures 15-22'!I64)+'Expenditures 15-22'!D269-E12</f>
        <v>0</v>
      </c>
      <c r="E31" s="1777">
        <f>E12</f>
        <v>0</v>
      </c>
      <c r="F31" s="1777">
        <f>'Expenditures 15-22'!K64-SUM('Expenditures 15-22'!G64,'Expenditures 15-22'!I64)+'Expenditures 15-22'!D269-E12</f>
        <v>0</v>
      </c>
      <c r="G31" s="1777">
        <f>E12</f>
        <v>0</v>
      </c>
    </row>
    <row r="32" spans="1:9" ht="12" customHeight="1" x14ac:dyDescent="0.2">
      <c r="A32" s="963" t="s">
        <v>518</v>
      </c>
      <c r="B32" s="969"/>
      <c r="C32" s="966"/>
      <c r="D32" s="1775"/>
      <c r="E32" s="1775"/>
      <c r="F32" s="1775"/>
      <c r="G32" s="1775"/>
    </row>
    <row r="33" spans="1:7" ht="12" customHeight="1" x14ac:dyDescent="0.2">
      <c r="A33" s="967" t="s">
        <v>519</v>
      </c>
      <c r="B33" s="970"/>
      <c r="C33" s="966">
        <v>2610</v>
      </c>
      <c r="D33" s="1775"/>
      <c r="E33" s="1777">
        <f>'Expenditures 15-22'!K67-SUM('Expenditures 15-22'!G67,'Expenditures 15-22'!I67)+'Expenditures 15-22'!D272</f>
        <v>0</v>
      </c>
      <c r="F33" s="1775"/>
      <c r="G33" s="1777">
        <f>'Expenditures 15-22'!K67-SUM('Expenditures 15-22'!G67,'Expenditures 15-22'!I67)+'Expenditures 15-22'!D272</f>
        <v>0</v>
      </c>
    </row>
    <row r="34" spans="1:7" ht="12" customHeight="1" x14ac:dyDescent="0.2">
      <c r="A34" s="967" t="s">
        <v>520</v>
      </c>
      <c r="B34" s="970"/>
      <c r="C34" s="966">
        <v>2620</v>
      </c>
      <c r="D34" s="1775"/>
      <c r="E34" s="1777">
        <f>'Expenditures 15-22'!K68-SUM('Expenditures 15-22'!G68,'Expenditures 15-22'!I68)+'Expenditures 15-22'!D273</f>
        <v>85600</v>
      </c>
      <c r="F34" s="1775"/>
      <c r="G34" s="1777">
        <f>'Expenditures 15-22'!K68-SUM('Expenditures 15-22'!G68,'Expenditures 15-22'!I68)+'Expenditures 15-22'!D273</f>
        <v>85600</v>
      </c>
    </row>
    <row r="35" spans="1:7" ht="12" customHeight="1" x14ac:dyDescent="0.2">
      <c r="A35" s="967" t="s">
        <v>1061</v>
      </c>
      <c r="B35" s="970"/>
      <c r="C35" s="966">
        <v>2630</v>
      </c>
      <c r="D35" s="1775"/>
      <c r="E35" s="1777">
        <f>'Expenditures 15-22'!K69-SUM('Expenditures 15-22'!G69,'Expenditures 15-22'!I69)+'Expenditures 15-22'!D274</f>
        <v>5588</v>
      </c>
      <c r="F35" s="1775"/>
      <c r="G35" s="1777">
        <f>'Expenditures 15-22'!K69-SUM('Expenditures 15-22'!G69,'Expenditures 15-22'!I69)+'Expenditures 15-22'!D274</f>
        <v>5588</v>
      </c>
    </row>
    <row r="36" spans="1:7" ht="12" customHeight="1" x14ac:dyDescent="0.2">
      <c r="A36" s="967" t="s">
        <v>403</v>
      </c>
      <c r="B36" s="970"/>
      <c r="C36" s="966">
        <v>2640</v>
      </c>
      <c r="D36" s="1777">
        <f>'Expenditures 15-22'!K70-SUM('Expenditures 15-22'!G70,'Expenditures 15-22'!I70)+'Expenditures 15-22'!D275-E13</f>
        <v>1167459</v>
      </c>
      <c r="E36" s="1777">
        <f>E13</f>
        <v>0</v>
      </c>
      <c r="F36" s="1777">
        <f>'Expenditures 15-22'!K70-SUM('Expenditures 15-22'!G70,'Expenditures 15-22'!I70)+'Expenditures 15-22'!D275-E13</f>
        <v>1167459</v>
      </c>
      <c r="G36" s="1777">
        <f>E13</f>
        <v>0</v>
      </c>
    </row>
    <row r="37" spans="1:7" ht="12" customHeight="1" x14ac:dyDescent="0.2">
      <c r="A37" s="967" t="s">
        <v>404</v>
      </c>
      <c r="B37" s="970"/>
      <c r="C37" s="966">
        <v>2660</v>
      </c>
      <c r="D37" s="1777">
        <f>'Expenditures 15-22'!K71-SUM('Expenditures 15-22'!G71,'Expenditures 15-22'!I71)+'Expenditures 15-22'!D276-E14</f>
        <v>65637</v>
      </c>
      <c r="E37" s="1777">
        <f>E14</f>
        <v>0</v>
      </c>
      <c r="F37" s="1777">
        <f>'Expenditures 15-22'!K71-SUM('Expenditures 15-22'!G71,'Expenditures 15-22'!I71)+'Expenditures 15-22'!D276-E14</f>
        <v>65637</v>
      </c>
      <c r="G37" s="1777">
        <f>E14</f>
        <v>0</v>
      </c>
    </row>
    <row r="38" spans="1:7" ht="12" customHeight="1" x14ac:dyDescent="0.2">
      <c r="A38" s="963" t="s">
        <v>521</v>
      </c>
      <c r="B38" s="964"/>
      <c r="C38" s="966">
        <v>2900</v>
      </c>
      <c r="D38" s="1775"/>
      <c r="E38" s="1777">
        <f>'Expenditures 15-22'!K73-SUM('Expenditures 15-22'!G73,'Expenditures 15-22'!I73)+'Expenditures 15-22'!K128-SUM('Expenditures 15-22'!G128,'Expenditures 15-22'!I128)+'Expenditures 15-22'!K183-SUM('Expenditures 15-22'!G183,'Expenditures 15-22'!I183)+'Expenditures 15-22'!D278</f>
        <v>3278</v>
      </c>
      <c r="F38" s="1775"/>
      <c r="G38" s="1777">
        <f>'Expenditures 15-22'!K73-SUM('Expenditures 15-22'!G73,'Expenditures 15-22'!I73)+'Expenditures 15-22'!K128-SUM('Expenditures 15-22'!G128,'Expenditures 15-22'!I128)+'Expenditures 15-22'!K183-SUM('Expenditures 15-22'!G183,'Expenditures 15-22'!I183)+'Expenditures 15-22'!D278</f>
        <v>3278</v>
      </c>
    </row>
    <row r="39" spans="1:7" ht="12" customHeight="1" x14ac:dyDescent="0.2">
      <c r="A39" s="963" t="s">
        <v>449</v>
      </c>
      <c r="B39" s="964"/>
      <c r="C39" s="966">
        <v>3000</v>
      </c>
      <c r="D39" s="1775"/>
      <c r="E39" s="1777">
        <f>'Expenditures 15-22'!K75-SUM('Expenditures 15-22'!G75,'Expenditures 15-22'!I75)+'Expenditures 15-22'!K130-SUM('Expenditures 15-22'!G130,'Expenditures 15-22'!I130)+'Expenditures 15-22'!K185-SUM('Expenditures 15-22'!G185,'Expenditures 15-22'!I185)+'Expenditures 15-22'!D280</f>
        <v>934433</v>
      </c>
      <c r="F39" s="1775"/>
      <c r="G39" s="1777">
        <f>'Expenditures 15-22'!K75-SUM('Expenditures 15-22'!G75,'Expenditures 15-22'!I75)+'Expenditures 15-22'!K130-SUM('Expenditures 15-22'!G130,'Expenditures 15-22'!I130)+'Expenditures 15-22'!K185-SUM('Expenditures 15-22'!G185,'Expenditures 15-22'!I185)+'Expenditures 15-22'!D280</f>
        <v>934433</v>
      </c>
    </row>
    <row r="40" spans="1:7" ht="12" customHeight="1" x14ac:dyDescent="0.2">
      <c r="A40" s="963" t="s">
        <v>1785</v>
      </c>
      <c r="B40" s="964"/>
      <c r="C40" s="966"/>
      <c r="D40" s="1775"/>
      <c r="E40" s="1779">
        <f>-'Contracts Paid in CY 29'!G141</f>
        <v>-10028475.229999999</v>
      </c>
      <c r="F40" s="1775"/>
      <c r="G40" s="1779">
        <f>-'Contracts Paid in CY 29'!G141</f>
        <v>-10028475.229999999</v>
      </c>
    </row>
    <row r="41" spans="1:7" ht="12" customHeight="1" x14ac:dyDescent="0.2">
      <c r="A41" s="971" t="s">
        <v>156</v>
      </c>
      <c r="B41" s="972"/>
      <c r="C41" s="973"/>
      <c r="D41" s="1779">
        <f>SUM(D19:D39)</f>
        <v>2554135</v>
      </c>
      <c r="E41" s="1779">
        <f>SUM(E19:E40)</f>
        <v>124936288.77</v>
      </c>
      <c r="F41" s="1779">
        <f>SUM(F19:F39)</f>
        <v>14172430</v>
      </c>
      <c r="G41" s="1779">
        <f>SUM(G19:G40)</f>
        <v>113317993.77</v>
      </c>
    </row>
    <row r="42" spans="1:7" x14ac:dyDescent="0.2">
      <c r="A42" s="960"/>
      <c r="B42" s="162"/>
      <c r="C42" s="974"/>
      <c r="D42" s="2338" t="s">
        <v>522</v>
      </c>
      <c r="E42" s="2339"/>
      <c r="F42" s="975" t="s">
        <v>523</v>
      </c>
      <c r="G42" s="976"/>
    </row>
    <row r="43" spans="1:7" ht="12" customHeight="1" x14ac:dyDescent="0.2">
      <c r="A43" s="960"/>
      <c r="B43" s="162"/>
      <c r="C43" s="974"/>
      <c r="D43" s="1780" t="s">
        <v>473</v>
      </c>
      <c r="E43" s="1781">
        <f>D41</f>
        <v>2554135</v>
      </c>
      <c r="F43" s="1780" t="s">
        <v>473</v>
      </c>
      <c r="G43" s="1781">
        <f>F41</f>
        <v>14172430</v>
      </c>
    </row>
    <row r="44" spans="1:7" ht="12" customHeight="1" x14ac:dyDescent="0.2">
      <c r="A44" s="960"/>
      <c r="B44" s="162"/>
      <c r="C44" s="974"/>
      <c r="D44" s="1780" t="s">
        <v>474</v>
      </c>
      <c r="E44" s="1781">
        <f>E41</f>
        <v>124936288.77</v>
      </c>
      <c r="F44" s="1780" t="s">
        <v>474</v>
      </c>
      <c r="G44" s="1781">
        <f>G41</f>
        <v>113317993.77</v>
      </c>
    </row>
    <row r="45" spans="1:7" ht="12" customHeight="1" x14ac:dyDescent="0.2">
      <c r="A45" s="960"/>
      <c r="B45" s="162"/>
      <c r="C45" s="162"/>
      <c r="D45" s="1782" t="s">
        <v>1006</v>
      </c>
      <c r="E45" s="1783">
        <f>(E43/E44)</f>
        <v>2.0443499844164614E-2</v>
      </c>
      <c r="F45" s="1782" t="s">
        <v>1006</v>
      </c>
      <c r="G45" s="1783">
        <f>(G43/G44)</f>
        <v>0.12506778075126876</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P24" sqref="P24:P25"/>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405</v>
      </c>
      <c r="G1" s="986"/>
    </row>
    <row r="2" spans="1:17" ht="11.85" customHeight="1" x14ac:dyDescent="0.2">
      <c r="A2" s="981"/>
      <c r="B2" s="982"/>
      <c r="E2" s="984"/>
      <c r="F2" s="987" t="s">
        <v>290</v>
      </c>
      <c r="G2" s="986"/>
    </row>
    <row r="3" spans="1:17" ht="11.85" customHeight="1" x14ac:dyDescent="0.2">
      <c r="E3" s="984"/>
      <c r="F3" s="987" t="s">
        <v>406</v>
      </c>
      <c r="G3" s="984"/>
    </row>
    <row r="4" spans="1:17" ht="11.85" customHeight="1" x14ac:dyDescent="0.2">
      <c r="E4" s="984"/>
      <c r="F4" s="987" t="s">
        <v>868</v>
      </c>
      <c r="G4" s="984"/>
    </row>
    <row r="5" spans="1:17" ht="12.2" customHeight="1" x14ac:dyDescent="0.2">
      <c r="F5" s="987"/>
    </row>
    <row r="6" spans="1:17" x14ac:dyDescent="0.2">
      <c r="A6" s="1827" t="s">
        <v>672</v>
      </c>
      <c r="B6" s="1615"/>
      <c r="C6" s="1615"/>
      <c r="D6" s="1615"/>
      <c r="E6" s="1616"/>
      <c r="F6" s="988"/>
      <c r="G6" s="982"/>
      <c r="H6" s="989" t="s">
        <v>1028</v>
      </c>
      <c r="I6" s="2348" t="str">
        <f>COVER!A17</f>
        <v>Cicero SD 99</v>
      </c>
      <c r="J6" s="2349"/>
      <c r="Q6" s="1637"/>
    </row>
    <row r="7" spans="1:17" x14ac:dyDescent="0.2">
      <c r="A7" s="2350" t="s">
        <v>869</v>
      </c>
      <c r="B7" s="2351"/>
      <c r="C7" s="2351"/>
      <c r="D7" s="2351"/>
      <c r="E7" s="2352"/>
      <c r="F7" s="990"/>
      <c r="G7" s="982"/>
      <c r="H7" s="989" t="s">
        <v>372</v>
      </c>
      <c r="I7" s="2353">
        <f>COVER!A13</f>
        <v>6016099002</v>
      </c>
      <c r="J7" s="2353"/>
    </row>
    <row r="8" spans="1:17" ht="8.25" customHeight="1" x14ac:dyDescent="0.2">
      <c r="A8" s="1617"/>
      <c r="B8" s="1618"/>
      <c r="C8" s="1618"/>
      <c r="D8" s="1618"/>
      <c r="E8" s="1619"/>
      <c r="F8" s="991"/>
      <c r="G8" s="992"/>
      <c r="H8" s="992"/>
      <c r="I8" s="992"/>
      <c r="J8" s="992"/>
    </row>
    <row r="9" spans="1:17" ht="13.5" customHeight="1" x14ac:dyDescent="0.2">
      <c r="A9" s="993"/>
      <c r="B9" s="994"/>
      <c r="C9" s="994"/>
      <c r="D9" s="995"/>
      <c r="E9" s="1828" t="s">
        <v>1938</v>
      </c>
      <c r="F9" s="996"/>
      <c r="G9" s="996"/>
      <c r="H9" s="1829" t="s">
        <v>1939</v>
      </c>
      <c r="I9" s="996"/>
      <c r="J9" s="997"/>
    </row>
    <row r="10" spans="1:17" s="1005" customFormat="1" ht="13.5" customHeight="1" x14ac:dyDescent="0.2">
      <c r="A10" s="998"/>
      <c r="B10" s="999"/>
      <c r="C10" s="1000"/>
      <c r="D10" s="1001"/>
      <c r="E10" s="1002" t="s">
        <v>425</v>
      </c>
      <c r="F10" s="1003" t="s">
        <v>426</v>
      </c>
      <c r="G10" s="1004"/>
      <c r="H10" s="1003" t="s">
        <v>425</v>
      </c>
      <c r="I10" s="1003" t="s">
        <v>426</v>
      </c>
      <c r="J10" s="1003"/>
    </row>
    <row r="11" spans="1:17" s="1005" customFormat="1" ht="22.5" x14ac:dyDescent="0.2">
      <c r="A11" s="2354" t="s">
        <v>481</v>
      </c>
      <c r="B11" s="2355"/>
      <c r="C11" s="2356"/>
      <c r="D11" s="1006" t="s">
        <v>871</v>
      </c>
      <c r="E11" s="1006" t="s">
        <v>64</v>
      </c>
      <c r="F11" s="1006" t="s">
        <v>6</v>
      </c>
      <c r="G11" s="1007" t="s">
        <v>156</v>
      </c>
      <c r="H11" s="1007" t="s">
        <v>64</v>
      </c>
      <c r="I11" s="1006" t="s">
        <v>6</v>
      </c>
      <c r="J11" s="1007" t="s">
        <v>156</v>
      </c>
    </row>
    <row r="12" spans="1:17" ht="15" customHeight="1" x14ac:dyDescent="0.2">
      <c r="A12" s="1008">
        <v>1</v>
      </c>
      <c r="B12" s="1009" t="s">
        <v>818</v>
      </c>
      <c r="C12" s="1010"/>
      <c r="D12" s="1011">
        <v>2320</v>
      </c>
      <c r="E12" s="1784">
        <f>'Expenditures 15-22'!K50</f>
        <v>1128767</v>
      </c>
      <c r="F12" s="1012"/>
      <c r="G12" s="1784">
        <f t="shared" ref="G12:G18" si="0">SUM(E12:F12)</f>
        <v>1128767</v>
      </c>
      <c r="H12" s="1013">
        <v>1158693</v>
      </c>
      <c r="I12" s="1012"/>
      <c r="J12" s="1784">
        <f t="shared" ref="J12:J18" si="1">SUM(H12:I12)</f>
        <v>1158693</v>
      </c>
    </row>
    <row r="13" spans="1:17" ht="15" customHeight="1" x14ac:dyDescent="0.2">
      <c r="A13" s="1008">
        <v>2</v>
      </c>
      <c r="B13" s="1009" t="s">
        <v>42</v>
      </c>
      <c r="C13" s="1010"/>
      <c r="D13" s="1011">
        <v>2330</v>
      </c>
      <c r="E13" s="1784">
        <f>'Expenditures 15-22'!K51</f>
        <v>1399648</v>
      </c>
      <c r="F13" s="1012"/>
      <c r="G13" s="1784">
        <f t="shared" si="0"/>
        <v>1399648</v>
      </c>
      <c r="H13" s="1013">
        <v>1563212</v>
      </c>
      <c r="I13" s="1012"/>
      <c r="J13" s="1784">
        <f t="shared" si="1"/>
        <v>1563212</v>
      </c>
    </row>
    <row r="14" spans="1:17" ht="15" customHeight="1" x14ac:dyDescent="0.2">
      <c r="A14" s="1008">
        <v>3</v>
      </c>
      <c r="B14" s="1009" t="s">
        <v>43</v>
      </c>
      <c r="C14" s="1010"/>
      <c r="D14" s="1014">
        <v>2490</v>
      </c>
      <c r="E14" s="1784">
        <f>'Expenditures 15-22'!K56</f>
        <v>0</v>
      </c>
      <c r="F14" s="1012"/>
      <c r="G14" s="1784">
        <f t="shared" si="0"/>
        <v>0</v>
      </c>
      <c r="H14" s="1013"/>
      <c r="I14" s="1012"/>
      <c r="J14" s="1784">
        <f t="shared" si="1"/>
        <v>0</v>
      </c>
    </row>
    <row r="15" spans="1:17" ht="15" customHeight="1" x14ac:dyDescent="0.2">
      <c r="A15" s="1008">
        <v>4</v>
      </c>
      <c r="B15" s="1009" t="s">
        <v>1068</v>
      </c>
      <c r="C15" s="1010"/>
      <c r="D15" s="1011">
        <v>2510</v>
      </c>
      <c r="E15" s="1784">
        <f>'Expenditures 15-22'!K59</f>
        <v>389882</v>
      </c>
      <c r="F15" s="1784">
        <f>'Expenditures 15-22'!K122</f>
        <v>0</v>
      </c>
      <c r="G15" s="1784">
        <f t="shared" si="0"/>
        <v>389882</v>
      </c>
      <c r="H15" s="1013">
        <v>319851</v>
      </c>
      <c r="I15" s="1013"/>
      <c r="J15" s="1784">
        <f t="shared" si="1"/>
        <v>319851</v>
      </c>
    </row>
    <row r="16" spans="1:17" ht="15" customHeight="1" x14ac:dyDescent="0.2">
      <c r="A16" s="1008">
        <v>5</v>
      </c>
      <c r="B16" s="1009" t="s">
        <v>101</v>
      </c>
      <c r="C16" s="1010"/>
      <c r="D16" s="1011">
        <v>2570</v>
      </c>
      <c r="E16" s="1784">
        <f>'Expenditures 15-22'!K64</f>
        <v>0</v>
      </c>
      <c r="F16" s="1012"/>
      <c r="G16" s="1784">
        <f t="shared" si="0"/>
        <v>0</v>
      </c>
      <c r="H16" s="1013"/>
      <c r="I16" s="1012"/>
      <c r="J16" s="1784">
        <f t="shared" si="1"/>
        <v>0</v>
      </c>
    </row>
    <row r="17" spans="1:10" ht="15" customHeight="1" x14ac:dyDescent="0.2">
      <c r="A17" s="1008">
        <v>6</v>
      </c>
      <c r="B17" s="1009" t="s">
        <v>1060</v>
      </c>
      <c r="C17" s="1010"/>
      <c r="D17" s="1011">
        <v>2610</v>
      </c>
      <c r="E17" s="1784">
        <f>'Expenditures 15-22'!K67</f>
        <v>0</v>
      </c>
      <c r="F17" s="1012"/>
      <c r="G17" s="1784">
        <f t="shared" si="0"/>
        <v>0</v>
      </c>
      <c r="H17" s="1013"/>
      <c r="I17" s="1012"/>
      <c r="J17" s="1784">
        <f t="shared" si="1"/>
        <v>0</v>
      </c>
    </row>
    <row r="18" spans="1:10" ht="22.5" customHeight="1" x14ac:dyDescent="0.2">
      <c r="A18" s="1015">
        <v>7</v>
      </c>
      <c r="B18" s="2357" t="s">
        <v>7</v>
      </c>
      <c r="C18" s="2358"/>
      <c r="D18" s="2359"/>
      <c r="E18" s="1016"/>
      <c r="F18" s="1016"/>
      <c r="G18" s="1785">
        <f t="shared" si="0"/>
        <v>0</v>
      </c>
      <c r="H18" s="1013"/>
      <c r="I18" s="1013"/>
      <c r="J18" s="1784">
        <f t="shared" si="1"/>
        <v>0</v>
      </c>
    </row>
    <row r="19" spans="1:10" ht="12.75" customHeight="1" thickBot="1" x14ac:dyDescent="0.25">
      <c r="A19" s="1008">
        <v>8</v>
      </c>
      <c r="B19" s="1017" t="s">
        <v>1161</v>
      </c>
      <c r="D19" s="1018"/>
      <c r="E19" s="1786">
        <f t="shared" ref="E19:J19" si="2">SUM(E12:E17)-E18</f>
        <v>2918297</v>
      </c>
      <c r="F19" s="1786">
        <f t="shared" si="2"/>
        <v>0</v>
      </c>
      <c r="G19" s="1786">
        <f t="shared" si="2"/>
        <v>2918297</v>
      </c>
      <c r="H19" s="1786">
        <f t="shared" si="2"/>
        <v>3041756</v>
      </c>
      <c r="I19" s="1786">
        <f t="shared" si="2"/>
        <v>0</v>
      </c>
      <c r="J19" s="1786">
        <f t="shared" si="2"/>
        <v>3041756</v>
      </c>
    </row>
    <row r="20" spans="1:10" ht="13.5" thickTop="1" x14ac:dyDescent="0.2">
      <c r="A20" s="1008">
        <v>9</v>
      </c>
      <c r="B20" s="2360" t="s">
        <v>1940</v>
      </c>
      <c r="C20" s="2360"/>
      <c r="D20" s="2361"/>
      <c r="E20" s="1019"/>
      <c r="F20" s="1019"/>
      <c r="G20" s="1019"/>
      <c r="H20" s="1019"/>
      <c r="I20" s="1019"/>
      <c r="J20" s="1787">
        <f>IF(AND(G19&gt;0,J19&gt;0),(((J19-G19)/G19)),"Enter Budget Data")</f>
        <v>4.2305152628399373E-2</v>
      </c>
    </row>
    <row r="21" spans="1:10" ht="9" customHeight="1" x14ac:dyDescent="0.2">
      <c r="B21" s="1020"/>
    </row>
    <row r="22" spans="1:10" x14ac:dyDescent="0.2">
      <c r="A22" s="1021" t="s">
        <v>133</v>
      </c>
      <c r="B22" s="1020"/>
    </row>
    <row r="23" spans="1:10" x14ac:dyDescent="0.2">
      <c r="A23" s="984" t="s">
        <v>1941</v>
      </c>
      <c r="B23" s="1020"/>
    </row>
    <row r="24" spans="1:10" x14ac:dyDescent="0.2">
      <c r="A24" s="984" t="s">
        <v>1954</v>
      </c>
      <c r="B24" s="1020"/>
    </row>
    <row r="25" spans="1:10" x14ac:dyDescent="0.2">
      <c r="A25" s="1022"/>
      <c r="B25" s="1020"/>
    </row>
    <row r="26" spans="1:10" ht="20.100000000000001" customHeight="1" x14ac:dyDescent="0.2">
      <c r="B26" s="1020"/>
      <c r="C26" s="2366"/>
      <c r="D26" s="2366"/>
      <c r="E26" s="1023"/>
      <c r="F26" s="2365"/>
      <c r="G26" s="2365"/>
    </row>
    <row r="27" spans="1:10" x14ac:dyDescent="0.2">
      <c r="B27" s="1020"/>
      <c r="C27" s="1024" t="s">
        <v>1033</v>
      </c>
      <c r="D27" s="1025"/>
      <c r="E27" s="1026"/>
      <c r="F27" s="2362" t="s">
        <v>1495</v>
      </c>
      <c r="G27" s="2362"/>
    </row>
    <row r="28" spans="1:10" ht="28.5" customHeight="1" x14ac:dyDescent="0.2">
      <c r="B28" s="1020"/>
      <c r="C28" s="2364"/>
      <c r="D28" s="2364"/>
      <c r="E28" s="1027"/>
      <c r="F28" s="2364"/>
      <c r="G28" s="2364"/>
    </row>
    <row r="29" spans="1:10" x14ac:dyDescent="0.2">
      <c r="B29" s="1020"/>
      <c r="C29" s="1028" t="s">
        <v>1530</v>
      </c>
      <c r="E29" s="1029"/>
      <c r="F29" s="2363" t="s">
        <v>1496</v>
      </c>
      <c r="G29" s="2363"/>
    </row>
    <row r="30" spans="1:10" ht="9" customHeight="1" x14ac:dyDescent="0.2">
      <c r="B30" s="1020"/>
      <c r="C30" s="1030"/>
      <c r="E30" s="1031"/>
      <c r="F30" s="1032"/>
      <c r="G30" s="1032"/>
    </row>
    <row r="31" spans="1:10" ht="15" customHeight="1" x14ac:dyDescent="0.2">
      <c r="A31" s="984"/>
      <c r="B31" s="1033" t="s">
        <v>1034</v>
      </c>
    </row>
    <row r="32" spans="1:10" ht="9" customHeight="1" x14ac:dyDescent="0.2">
      <c r="A32" s="984"/>
      <c r="B32" s="1021"/>
    </row>
    <row r="33" spans="1:10" ht="12.75" customHeight="1" x14ac:dyDescent="0.2">
      <c r="A33" s="984"/>
      <c r="B33" s="1034"/>
      <c r="C33" s="2345" t="s">
        <v>132</v>
      </c>
      <c r="D33" s="2346"/>
      <c r="E33" s="2346"/>
      <c r="F33" s="2346"/>
      <c r="G33" s="2346"/>
      <c r="H33" s="2346"/>
      <c r="I33" s="2346"/>
    </row>
    <row r="34" spans="1:10" ht="10.35" customHeight="1" x14ac:dyDescent="0.2">
      <c r="C34" s="2346"/>
      <c r="D34" s="2346"/>
      <c r="E34" s="2346"/>
      <c r="F34" s="2346"/>
      <c r="G34" s="2346"/>
      <c r="H34" s="2346"/>
      <c r="I34" s="2346"/>
    </row>
    <row r="35" spans="1:10" ht="7.5" customHeight="1" x14ac:dyDescent="0.2">
      <c r="C35" s="1035"/>
    </row>
    <row r="36" spans="1:10" ht="13.5" customHeight="1" x14ac:dyDescent="0.2">
      <c r="B36" s="1034"/>
      <c r="C36" s="2347" t="s">
        <v>1942</v>
      </c>
      <c r="D36" s="2346"/>
      <c r="E36" s="2346"/>
      <c r="F36" s="2346"/>
      <c r="G36" s="2346"/>
      <c r="H36" s="2346"/>
      <c r="I36" s="2346"/>
      <c r="J36" s="1036"/>
    </row>
    <row r="37" spans="1:10" ht="22.5" customHeight="1" x14ac:dyDescent="0.2">
      <c r="C37" s="2346"/>
      <c r="D37" s="2346"/>
      <c r="E37" s="2346"/>
      <c r="F37" s="2346"/>
      <c r="G37" s="2346"/>
      <c r="H37" s="2346"/>
      <c r="I37" s="2346"/>
      <c r="J37" s="1036"/>
    </row>
    <row r="38" spans="1:10" ht="7.5" customHeight="1" x14ac:dyDescent="0.2">
      <c r="C38" s="1035"/>
      <c r="D38" s="1037"/>
      <c r="E38" s="1038"/>
      <c r="F38" s="1039"/>
      <c r="G38" s="1038"/>
    </row>
    <row r="39" spans="1:10" ht="13.5" customHeight="1" x14ac:dyDescent="0.2">
      <c r="B39" s="1034"/>
      <c r="C39" s="2343" t="s">
        <v>882</v>
      </c>
      <c r="D39" s="2344"/>
      <c r="E39" s="2344"/>
      <c r="F39" s="2344"/>
      <c r="G39" s="2344"/>
      <c r="H39" s="2344"/>
      <c r="I39" s="2344"/>
    </row>
    <row r="40" spans="1:10" ht="13.35" customHeight="1" x14ac:dyDescent="0.2">
      <c r="A40" s="984"/>
      <c r="C40" s="1040"/>
      <c r="D40" s="1040"/>
      <c r="E40" s="1040"/>
      <c r="F40" s="1040"/>
      <c r="G40" s="1040"/>
      <c r="H40" s="1040"/>
      <c r="I40" s="104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C65"/>
  <sheetViews>
    <sheetView showGridLines="0" zoomScale="110" zoomScaleNormal="110" workbookViewId="0">
      <selection activeCell="B22" sqref="B22"/>
    </sheetView>
  </sheetViews>
  <sheetFormatPr defaultRowHeight="12.75" x14ac:dyDescent="0.2"/>
  <cols>
    <col min="1" max="1" width="3" style="329" customWidth="1"/>
    <col min="2" max="2" width="58.85546875" style="329" customWidth="1"/>
    <col min="3" max="3" width="61.85546875" style="329" bestFit="1" customWidth="1"/>
    <col min="4" max="16384" width="9.140625" style="329"/>
  </cols>
  <sheetData>
    <row r="2" spans="1:3" x14ac:dyDescent="0.2">
      <c r="A2" s="389" t="s">
        <v>258</v>
      </c>
    </row>
    <row r="3" spans="1:3" x14ac:dyDescent="0.2">
      <c r="A3" s="329" t="s">
        <v>259</v>
      </c>
    </row>
    <row r="5" spans="1:3" x14ac:dyDescent="0.2">
      <c r="A5" s="1041">
        <v>1</v>
      </c>
      <c r="B5" s="1966" t="s">
        <v>2105</v>
      </c>
      <c r="C5" s="329" t="s">
        <v>2106</v>
      </c>
    </row>
    <row r="6" spans="1:3" x14ac:dyDescent="0.2">
      <c r="A6" s="1041">
        <v>2</v>
      </c>
      <c r="B6" s="1969" t="s">
        <v>2088</v>
      </c>
      <c r="C6" s="1969" t="s">
        <v>2089</v>
      </c>
    </row>
    <row r="7" spans="1:3" x14ac:dyDescent="0.2">
      <c r="A7" s="1041">
        <v>3</v>
      </c>
      <c r="B7" s="1969" t="s">
        <v>2224</v>
      </c>
      <c r="C7" s="1969" t="s">
        <v>2099</v>
      </c>
    </row>
    <row r="8" spans="1:3" x14ac:dyDescent="0.2">
      <c r="A8" s="1970">
        <v>4</v>
      </c>
      <c r="B8" s="1969" t="s">
        <v>2100</v>
      </c>
      <c r="C8" s="1969" t="s">
        <v>2101</v>
      </c>
    </row>
    <row r="9" spans="1:3" x14ac:dyDescent="0.2">
      <c r="A9" s="1970">
        <v>5</v>
      </c>
      <c r="B9" s="1969" t="s">
        <v>2090</v>
      </c>
      <c r="C9" s="1969" t="s">
        <v>2091</v>
      </c>
    </row>
    <row r="10" spans="1:3" x14ac:dyDescent="0.2">
      <c r="A10" s="1970">
        <v>6</v>
      </c>
      <c r="B10" s="1969" t="s">
        <v>2092</v>
      </c>
      <c r="C10" s="1969" t="s">
        <v>2102</v>
      </c>
    </row>
    <row r="11" spans="1:3" x14ac:dyDescent="0.2">
      <c r="A11" s="1970">
        <v>7</v>
      </c>
      <c r="B11" s="1969" t="s">
        <v>2093</v>
      </c>
      <c r="C11" s="1969" t="s">
        <v>2094</v>
      </c>
    </row>
    <row r="12" spans="1:3" x14ac:dyDescent="0.2">
      <c r="A12" s="1970">
        <v>8</v>
      </c>
      <c r="B12" s="1969" t="s">
        <v>2095</v>
      </c>
      <c r="C12" s="1969" t="s">
        <v>2096</v>
      </c>
    </row>
    <row r="13" spans="1:3" x14ac:dyDescent="0.2">
      <c r="A13" s="1970">
        <v>9</v>
      </c>
      <c r="B13" s="1969" t="s">
        <v>2097</v>
      </c>
      <c r="C13" s="1969" t="s">
        <v>2098</v>
      </c>
    </row>
    <row r="14" spans="1:3" x14ac:dyDescent="0.2">
      <c r="A14" s="1970">
        <v>10</v>
      </c>
      <c r="B14" s="329" t="s">
        <v>2103</v>
      </c>
      <c r="C14" s="329" t="s">
        <v>2104</v>
      </c>
    </row>
    <row r="15" spans="1:3" x14ac:dyDescent="0.2">
      <c r="A15" s="1970">
        <v>11</v>
      </c>
      <c r="B15" s="329" t="s">
        <v>2225</v>
      </c>
      <c r="C15" s="329" t="s">
        <v>2226</v>
      </c>
    </row>
    <row r="16" spans="1:3" x14ac:dyDescent="0.2">
      <c r="A16" s="1042"/>
      <c r="C16" s="329" t="s">
        <v>2227</v>
      </c>
    </row>
    <row r="17" spans="1:3" x14ac:dyDescent="0.2">
      <c r="A17" s="1042"/>
      <c r="C17" s="329" t="s">
        <v>2228</v>
      </c>
    </row>
    <row r="18" spans="1:3" x14ac:dyDescent="0.2">
      <c r="A18" s="1042"/>
      <c r="C18" s="329" t="s">
        <v>2229</v>
      </c>
    </row>
    <row r="19" spans="1:3" x14ac:dyDescent="0.2">
      <c r="A19" s="1042"/>
    </row>
    <row r="20" spans="1:3" x14ac:dyDescent="0.2">
      <c r="A20" s="1042"/>
    </row>
    <row r="21" spans="1:3" x14ac:dyDescent="0.2">
      <c r="A21" s="1042"/>
    </row>
    <row r="22" spans="1:3" x14ac:dyDescent="0.2">
      <c r="A22" s="1042"/>
    </row>
    <row r="23" spans="1:3" x14ac:dyDescent="0.2">
      <c r="A23" s="1042"/>
    </row>
    <row r="24" spans="1:3" x14ac:dyDescent="0.2">
      <c r="A24" s="1042"/>
    </row>
    <row r="25" spans="1:3" x14ac:dyDescent="0.2">
      <c r="A25" s="1042"/>
    </row>
    <row r="26" spans="1:3" x14ac:dyDescent="0.2">
      <c r="A26" s="1042"/>
    </row>
    <row r="27" spans="1:3" x14ac:dyDescent="0.2">
      <c r="A27" s="1042"/>
    </row>
    <row r="28" spans="1:3" x14ac:dyDescent="0.2">
      <c r="A28" s="1042"/>
    </row>
    <row r="29" spans="1:3" x14ac:dyDescent="0.2">
      <c r="A29" s="1042"/>
    </row>
    <row r="30" spans="1:3" x14ac:dyDescent="0.2">
      <c r="A30" s="1042"/>
    </row>
    <row r="31" spans="1:3" x14ac:dyDescent="0.2">
      <c r="A31" s="1042"/>
    </row>
    <row r="32" spans="1:3" x14ac:dyDescent="0.2">
      <c r="A32" s="1042"/>
    </row>
    <row r="33" spans="1:1" x14ac:dyDescent="0.2">
      <c r="A33" s="1042"/>
    </row>
    <row r="34" spans="1:1" x14ac:dyDescent="0.2">
      <c r="A34" s="1042"/>
    </row>
    <row r="35" spans="1:1" x14ac:dyDescent="0.2">
      <c r="A35" s="1042"/>
    </row>
    <row r="36" spans="1:1" x14ac:dyDescent="0.2">
      <c r="A36" s="1042"/>
    </row>
    <row r="37" spans="1:1" x14ac:dyDescent="0.2">
      <c r="A37" s="1042"/>
    </row>
    <row r="38" spans="1:1" x14ac:dyDescent="0.2">
      <c r="A38" s="1042"/>
    </row>
    <row r="39" spans="1:1" x14ac:dyDescent="0.2">
      <c r="A39" s="1042"/>
    </row>
    <row r="40" spans="1:1" x14ac:dyDescent="0.2">
      <c r="A40" s="1042"/>
    </row>
    <row r="41" spans="1:1" x14ac:dyDescent="0.2">
      <c r="A41" s="1042"/>
    </row>
    <row r="42" spans="1:1" x14ac:dyDescent="0.2">
      <c r="A42" s="1042"/>
    </row>
    <row r="43" spans="1:1" x14ac:dyDescent="0.2">
      <c r="A43" s="1042"/>
    </row>
    <row r="44" spans="1:1" x14ac:dyDescent="0.2">
      <c r="A44" s="1042"/>
    </row>
    <row r="45" spans="1:1" x14ac:dyDescent="0.2">
      <c r="A45" s="1042"/>
    </row>
    <row r="46" spans="1:1" x14ac:dyDescent="0.2">
      <c r="A46" s="1042"/>
    </row>
    <row r="47" spans="1:1" x14ac:dyDescent="0.2">
      <c r="A47" s="1042"/>
    </row>
    <row r="48" spans="1:1" x14ac:dyDescent="0.2">
      <c r="A48" s="1042"/>
    </row>
    <row r="49" spans="1:2" x14ac:dyDescent="0.2">
      <c r="A49" s="1042"/>
    </row>
    <row r="50" spans="1:2" x14ac:dyDescent="0.2">
      <c r="A50" s="1042"/>
    </row>
    <row r="51" spans="1:2" x14ac:dyDescent="0.2">
      <c r="A51" s="1042"/>
    </row>
    <row r="52" spans="1:2" x14ac:dyDescent="0.2">
      <c r="A52" s="1042"/>
    </row>
    <row r="53" spans="1:2" x14ac:dyDescent="0.2">
      <c r="A53" s="1042"/>
    </row>
    <row r="54" spans="1:2" x14ac:dyDescent="0.2">
      <c r="A54" s="1042"/>
    </row>
    <row r="55" spans="1:2" x14ac:dyDescent="0.2">
      <c r="A55" s="1042"/>
    </row>
    <row r="56" spans="1:2" x14ac:dyDescent="0.2">
      <c r="A56" s="1042"/>
    </row>
    <row r="57" spans="1:2" x14ac:dyDescent="0.2">
      <c r="A57" s="1042"/>
    </row>
    <row r="58" spans="1:2" x14ac:dyDescent="0.2">
      <c r="A58" s="1042"/>
    </row>
    <row r="59" spans="1:2" x14ac:dyDescent="0.2">
      <c r="A59" s="1042"/>
    </row>
    <row r="60" spans="1:2" x14ac:dyDescent="0.2">
      <c r="A60" s="1042"/>
    </row>
    <row r="61" spans="1:2" x14ac:dyDescent="0.2">
      <c r="A61" s="1042"/>
    </row>
    <row r="62" spans="1:2" x14ac:dyDescent="0.2">
      <c r="A62" s="1042"/>
    </row>
    <row r="63" spans="1:2" x14ac:dyDescent="0.2">
      <c r="A63" s="1042"/>
    </row>
    <row r="64" spans="1:2" x14ac:dyDescent="0.2">
      <c r="A64" s="1042"/>
      <c r="B64" s="258" t="str">
        <f>COVER!A17</f>
        <v>Cicero SD 99</v>
      </c>
    </row>
    <row r="65" spans="2:2" x14ac:dyDescent="0.2">
      <c r="B65" s="1043">
        <f>COVER!A13</f>
        <v>6016099002</v>
      </c>
    </row>
  </sheetData>
  <phoneticPr fontId="20"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AF22" sqref="AF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1400</v>
      </c>
      <c r="D6" s="24"/>
    </row>
    <row r="7" spans="1:4" ht="13.5" customHeight="1" x14ac:dyDescent="0.2">
      <c r="A7" s="23"/>
      <c r="B7" s="25"/>
      <c r="C7" s="65" t="s">
        <v>1401</v>
      </c>
      <c r="D7" s="24"/>
    </row>
    <row r="8" spans="1:4" ht="13.5" customHeight="1" x14ac:dyDescent="0.2">
      <c r="A8" s="23"/>
      <c r="B8" s="146" t="s">
        <v>943</v>
      </c>
      <c r="C8" s="65" t="s">
        <v>1386</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1385</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20"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13" zoomScale="110" zoomScaleNormal="110" workbookViewId="0">
      <selection activeCell="AF22" sqref="AF2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1821</v>
      </c>
      <c r="C4" s="162" t="s">
        <v>1169</v>
      </c>
      <c r="D4" s="169" t="s">
        <v>10</v>
      </c>
      <c r="E4" s="170" t="s">
        <v>22</v>
      </c>
    </row>
    <row r="5" spans="1:5" x14ac:dyDescent="0.2">
      <c r="A5" s="168" t="s">
        <v>1823</v>
      </c>
      <c r="C5" s="162" t="s">
        <v>1169</v>
      </c>
      <c r="D5" s="169" t="s">
        <v>10</v>
      </c>
      <c r="E5" s="170" t="s">
        <v>22</v>
      </c>
    </row>
    <row r="6" spans="1:5" x14ac:dyDescent="0.2">
      <c r="A6" s="168" t="s">
        <v>1822</v>
      </c>
      <c r="C6" s="162" t="s">
        <v>1169</v>
      </c>
      <c r="D6" s="167" t="s">
        <v>11</v>
      </c>
      <c r="E6" s="170" t="s">
        <v>941</v>
      </c>
    </row>
    <row r="7" spans="1:5" x14ac:dyDescent="0.2">
      <c r="A7" s="168" t="s">
        <v>1824</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1825</v>
      </c>
      <c r="C11" s="162" t="s">
        <v>1169</v>
      </c>
      <c r="D11" s="169" t="s">
        <v>14</v>
      </c>
      <c r="E11" s="170" t="s">
        <v>1156</v>
      </c>
    </row>
    <row r="12" spans="1:5" x14ac:dyDescent="0.2">
      <c r="B12" s="169" t="s">
        <v>1826</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1827</v>
      </c>
      <c r="C15" s="162" t="s">
        <v>1169</v>
      </c>
      <c r="D15" s="169" t="s">
        <v>17</v>
      </c>
      <c r="E15" s="170" t="s">
        <v>636</v>
      </c>
    </row>
    <row r="16" spans="1:5" x14ac:dyDescent="0.2">
      <c r="A16" s="172"/>
      <c r="B16" s="162" t="s">
        <v>1828</v>
      </c>
      <c r="C16" s="162" t="s">
        <v>1169</v>
      </c>
      <c r="D16" s="169" t="s">
        <v>681</v>
      </c>
      <c r="E16" s="170" t="s">
        <v>1040</v>
      </c>
    </row>
    <row r="17" spans="1:5" x14ac:dyDescent="0.2">
      <c r="B17" s="167" t="s">
        <v>988</v>
      </c>
      <c r="C17" s="162" t="s">
        <v>1169</v>
      </c>
    </row>
    <row r="18" spans="1:5" x14ac:dyDescent="0.2">
      <c r="B18" s="167" t="s">
        <v>1834</v>
      </c>
      <c r="D18" s="169" t="s">
        <v>18</v>
      </c>
      <c r="E18" s="170" t="s">
        <v>1041</v>
      </c>
    </row>
    <row r="19" spans="1:5" x14ac:dyDescent="0.2">
      <c r="A19" s="168" t="s">
        <v>1099</v>
      </c>
      <c r="C19" s="162" t="s">
        <v>1169</v>
      </c>
      <c r="D19" s="169"/>
      <c r="E19" s="171"/>
    </row>
    <row r="20" spans="1:5" x14ac:dyDescent="0.2">
      <c r="B20" s="167" t="s">
        <v>1829</v>
      </c>
      <c r="C20" s="162" t="s">
        <v>1169</v>
      </c>
      <c r="D20" s="169" t="s">
        <v>19</v>
      </c>
      <c r="E20" s="170" t="s">
        <v>51</v>
      </c>
    </row>
    <row r="21" spans="1:5" x14ac:dyDescent="0.2">
      <c r="B21" s="167" t="s">
        <v>1830</v>
      </c>
      <c r="C21" s="162" t="s">
        <v>1169</v>
      </c>
      <c r="D21" s="169" t="s">
        <v>20</v>
      </c>
      <c r="E21" s="170" t="s">
        <v>1579</v>
      </c>
    </row>
    <row r="22" spans="1:5" x14ac:dyDescent="0.2">
      <c r="A22" s="168"/>
      <c r="B22" s="162" t="s">
        <v>1818</v>
      </c>
      <c r="C22" s="162" t="s">
        <v>1169</v>
      </c>
      <c r="D22" s="167" t="s">
        <v>1820</v>
      </c>
      <c r="E22" s="1809" t="s">
        <v>1580</v>
      </c>
    </row>
    <row r="23" spans="1:5" x14ac:dyDescent="0.2">
      <c r="A23" s="168"/>
      <c r="B23" s="162" t="s">
        <v>1819</v>
      </c>
      <c r="D23" s="167" t="s">
        <v>637</v>
      </c>
      <c r="E23" s="1809" t="s">
        <v>959</v>
      </c>
    </row>
    <row r="24" spans="1:5" x14ac:dyDescent="0.2">
      <c r="A24" s="168" t="s">
        <v>1578</v>
      </c>
      <c r="C24" s="162" t="s">
        <v>1169</v>
      </c>
      <c r="D24" s="167" t="s">
        <v>1379</v>
      </c>
      <c r="E24" s="170" t="s">
        <v>960</v>
      </c>
    </row>
    <row r="25" spans="1:5" x14ac:dyDescent="0.2">
      <c r="A25" s="168" t="s">
        <v>1831</v>
      </c>
      <c r="C25" s="162" t="s">
        <v>1169</v>
      </c>
      <c r="D25" s="169" t="s">
        <v>21</v>
      </c>
      <c r="E25" s="170" t="s">
        <v>1042</v>
      </c>
    </row>
    <row r="26" spans="1:5" x14ac:dyDescent="0.2">
      <c r="A26" s="168" t="s">
        <v>1832</v>
      </c>
      <c r="C26" s="162" t="s">
        <v>1169</v>
      </c>
      <c r="D26" s="169" t="s">
        <v>563</v>
      </c>
      <c r="E26" s="170" t="s">
        <v>1043</v>
      </c>
    </row>
    <row r="27" spans="1:5" x14ac:dyDescent="0.2">
      <c r="A27" s="168" t="s">
        <v>1833</v>
      </c>
      <c r="C27" s="162" t="s">
        <v>1169</v>
      </c>
      <c r="D27" s="169" t="s">
        <v>557</v>
      </c>
      <c r="E27" s="170" t="s">
        <v>683</v>
      </c>
    </row>
    <row r="28" spans="1:5" x14ac:dyDescent="0.2">
      <c r="A28" s="168" t="s">
        <v>1835</v>
      </c>
      <c r="D28" s="169" t="s">
        <v>684</v>
      </c>
      <c r="E28" s="170" t="s">
        <v>1366</v>
      </c>
    </row>
    <row r="29" spans="1:5" x14ac:dyDescent="0.2">
      <c r="A29" s="168" t="s">
        <v>1836</v>
      </c>
      <c r="D29" s="169" t="s">
        <v>1380</v>
      </c>
      <c r="E29" s="170" t="s">
        <v>1375</v>
      </c>
    </row>
    <row r="30" spans="1:5" x14ac:dyDescent="0.2">
      <c r="A30" s="173" t="s">
        <v>1837</v>
      </c>
      <c r="C30" s="162" t="s">
        <v>1169</v>
      </c>
      <c r="D30" s="169" t="s">
        <v>40</v>
      </c>
      <c r="E30" s="170" t="s">
        <v>982</v>
      </c>
    </row>
    <row r="31" spans="1:5" x14ac:dyDescent="0.2">
      <c r="A31" s="168" t="s">
        <v>1507</v>
      </c>
      <c r="C31" s="162" t="s">
        <v>1169</v>
      </c>
      <c r="D31" s="167"/>
      <c r="E31" s="171"/>
    </row>
    <row r="32" spans="1:5" x14ac:dyDescent="0.2">
      <c r="B32" s="167" t="s">
        <v>1838</v>
      </c>
      <c r="C32" s="162" t="s">
        <v>1169</v>
      </c>
      <c r="D32" s="169" t="s">
        <v>1508</v>
      </c>
      <c r="E32" s="170" t="s">
        <v>1381</v>
      </c>
    </row>
    <row r="33" spans="1:5" x14ac:dyDescent="0.2">
      <c r="A33" s="172"/>
      <c r="D33" s="169"/>
      <c r="E33" s="171"/>
    </row>
    <row r="34" spans="1:5" x14ac:dyDescent="0.2">
      <c r="A34" s="172"/>
      <c r="D34" s="169"/>
      <c r="E34" s="171"/>
    </row>
    <row r="35" spans="1:5" ht="15.75" customHeight="1" thickBot="1" x14ac:dyDescent="0.25">
      <c r="A35" s="2106" t="s">
        <v>1065</v>
      </c>
      <c r="B35" s="2106"/>
      <c r="C35" s="2106"/>
      <c r="D35" s="2106"/>
      <c r="E35" s="210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3" t="s">
        <v>691</v>
      </c>
      <c r="B40" s="2103"/>
      <c r="C40" s="2103"/>
      <c r="D40" s="2103"/>
      <c r="E40" s="2103"/>
    </row>
    <row r="41" spans="1:5" x14ac:dyDescent="0.2">
      <c r="A41" s="2104" t="s">
        <v>1577</v>
      </c>
      <c r="B41" s="2104"/>
      <c r="C41" s="2104"/>
      <c r="D41" s="2104"/>
      <c r="E41" s="2104"/>
    </row>
    <row r="42" spans="1:5" ht="12.75" customHeight="1" x14ac:dyDescent="0.2">
      <c r="A42" s="2105" t="s">
        <v>1022</v>
      </c>
      <c r="B42" s="2105"/>
      <c r="C42" s="2105"/>
      <c r="D42" s="2105"/>
      <c r="E42" s="2105"/>
    </row>
    <row r="43" spans="1:5" ht="6.75" customHeight="1" x14ac:dyDescent="0.2">
      <c r="A43" s="167"/>
      <c r="B43" s="176"/>
    </row>
    <row r="44" spans="1:5" x14ac:dyDescent="0.2">
      <c r="A44" s="185" t="s">
        <v>983</v>
      </c>
      <c r="B44" s="186" t="s">
        <v>1864</v>
      </c>
    </row>
    <row r="45" spans="1:5" ht="6.75" customHeight="1" x14ac:dyDescent="0.2">
      <c r="A45" s="187"/>
      <c r="B45" s="186"/>
    </row>
    <row r="46" spans="1:5" x14ac:dyDescent="0.2">
      <c r="A46" s="185" t="s">
        <v>984</v>
      </c>
      <c r="B46" s="169" t="s">
        <v>1582</v>
      </c>
    </row>
    <row r="47" spans="1:5" ht="9.75" customHeight="1" x14ac:dyDescent="0.2">
      <c r="A47" s="189"/>
      <c r="B47" s="188"/>
    </row>
    <row r="48" spans="1:5" x14ac:dyDescent="0.2">
      <c r="A48" s="169" t="s">
        <v>1581</v>
      </c>
      <c r="B48" s="169" t="s">
        <v>1586</v>
      </c>
      <c r="C48" s="177"/>
    </row>
    <row r="49" spans="1:3" ht="9.75" customHeight="1" x14ac:dyDescent="0.2">
      <c r="A49" s="188"/>
      <c r="B49" s="188"/>
      <c r="C49" s="177"/>
    </row>
    <row r="50" spans="1:3" x14ac:dyDescent="0.2">
      <c r="A50" s="200" t="s">
        <v>1583</v>
      </c>
      <c r="B50" s="198" t="s">
        <v>1587</v>
      </c>
    </row>
    <row r="51" spans="1:3" x14ac:dyDescent="0.2">
      <c r="B51" s="169" t="s">
        <v>1733</v>
      </c>
    </row>
    <row r="52" spans="1:3" x14ac:dyDescent="0.2">
      <c r="A52" s="190"/>
      <c r="B52" s="188" t="s">
        <v>1753</v>
      </c>
    </row>
    <row r="53" spans="1:3" ht="4.5" customHeight="1" x14ac:dyDescent="0.2">
      <c r="A53" s="190"/>
      <c r="B53" s="190"/>
    </row>
    <row r="54" spans="1:3" x14ac:dyDescent="0.2">
      <c r="A54" s="190"/>
      <c r="B54" s="201" t="s">
        <v>1584</v>
      </c>
    </row>
    <row r="55" spans="1:3" ht="8.25" customHeight="1" x14ac:dyDescent="0.2">
      <c r="A55" s="190"/>
      <c r="B55" s="191"/>
    </row>
    <row r="56" spans="1:3" x14ac:dyDescent="0.2">
      <c r="A56" s="192"/>
      <c r="B56" s="169" t="s">
        <v>1734</v>
      </c>
    </row>
    <row r="57" spans="1:3" x14ac:dyDescent="0.2">
      <c r="A57" s="193"/>
      <c r="B57" s="190" t="s">
        <v>1736</v>
      </c>
    </row>
    <row r="58" spans="1:3" x14ac:dyDescent="0.2">
      <c r="A58" s="194"/>
      <c r="B58" s="190" t="s">
        <v>1737</v>
      </c>
    </row>
    <row r="59" spans="1:3" x14ac:dyDescent="0.2">
      <c r="A59" s="195"/>
      <c r="B59" s="1458" t="s">
        <v>1738</v>
      </c>
    </row>
    <row r="60" spans="1:3" x14ac:dyDescent="0.2">
      <c r="A60" s="196"/>
      <c r="B60" s="1458" t="s">
        <v>1739</v>
      </c>
    </row>
    <row r="61" spans="1:3" ht="6" customHeight="1" x14ac:dyDescent="0.2">
      <c r="A61" s="197"/>
      <c r="B61" s="189"/>
    </row>
    <row r="62" spans="1:3" x14ac:dyDescent="0.2">
      <c r="A62" s="169" t="s">
        <v>1585</v>
      </c>
      <c r="B62" s="198" t="s">
        <v>1735</v>
      </c>
    </row>
    <row r="63" spans="1:3" x14ac:dyDescent="0.2">
      <c r="A63" s="188"/>
      <c r="B63" s="169" t="s">
        <v>1750</v>
      </c>
    </row>
    <row r="64" spans="1:3" x14ac:dyDescent="0.2">
      <c r="A64" s="195"/>
      <c r="B64" s="1460" t="s">
        <v>1740</v>
      </c>
    </row>
    <row r="65" spans="1:9" x14ac:dyDescent="0.2">
      <c r="A65" s="188"/>
      <c r="B65" s="169" t="s">
        <v>1751</v>
      </c>
    </row>
    <row r="66" spans="1:9" x14ac:dyDescent="0.2">
      <c r="A66" s="190"/>
      <c r="B66" s="190" t="s">
        <v>1741</v>
      </c>
    </row>
    <row r="67" spans="1:9" ht="12" customHeight="1" x14ac:dyDescent="0.2">
      <c r="A67" s="188"/>
      <c r="B67" s="169" t="s">
        <v>1752</v>
      </c>
    </row>
    <row r="68" spans="1:9" x14ac:dyDescent="0.2">
      <c r="A68" s="189"/>
      <c r="B68" s="190" t="s">
        <v>1742</v>
      </c>
    </row>
    <row r="69" spans="1:9" x14ac:dyDescent="0.2">
      <c r="A69" s="190"/>
      <c r="B69" s="188" t="s">
        <v>1743</v>
      </c>
    </row>
    <row r="70" spans="1:9" ht="13.5" customHeight="1" x14ac:dyDescent="0.2">
      <c r="A70" s="190"/>
      <c r="B70" s="188" t="s">
        <v>1744</v>
      </c>
    </row>
    <row r="71" spans="1:9" ht="12" customHeight="1" x14ac:dyDescent="0.2">
      <c r="A71" s="192"/>
      <c r="B71" s="1459" t="s">
        <v>1588</v>
      </c>
    </row>
    <row r="72" spans="1:9" ht="9" customHeight="1" x14ac:dyDescent="0.2">
      <c r="A72" s="192"/>
      <c r="B72" s="199"/>
    </row>
    <row r="73" spans="1:9" x14ac:dyDescent="0.2">
      <c r="A73" s="189" t="s">
        <v>1589</v>
      </c>
      <c r="B73" s="169" t="s">
        <v>1746</v>
      </c>
    </row>
    <row r="74" spans="1:9" x14ac:dyDescent="0.2">
      <c r="A74" s="189"/>
      <c r="B74" s="169" t="s">
        <v>1745</v>
      </c>
    </row>
    <row r="75" spans="1:9" ht="8.25" customHeight="1" x14ac:dyDescent="0.2">
      <c r="A75" s="189"/>
      <c r="B75" s="189"/>
    </row>
    <row r="76" spans="1:9" ht="12.2" customHeight="1" x14ac:dyDescent="0.2">
      <c r="A76" s="189" t="s">
        <v>1590</v>
      </c>
      <c r="B76" s="198" t="s">
        <v>1747</v>
      </c>
    </row>
    <row r="77" spans="1:9" ht="12.2" customHeight="1" x14ac:dyDescent="0.2">
      <c r="A77" s="190"/>
      <c r="B77" s="169" t="s">
        <v>1591</v>
      </c>
      <c r="C77" s="179"/>
      <c r="D77" s="180"/>
      <c r="E77" s="181"/>
      <c r="F77" s="181"/>
      <c r="G77" s="181"/>
      <c r="H77" s="181"/>
      <c r="I77" s="181"/>
    </row>
    <row r="78" spans="1:9" ht="11.25" customHeight="1" x14ac:dyDescent="0.2">
      <c r="A78" s="190"/>
      <c r="B78" s="190" t="s">
        <v>1749</v>
      </c>
      <c r="C78" s="179"/>
      <c r="D78" s="182"/>
      <c r="E78" s="182"/>
      <c r="F78" s="182"/>
      <c r="G78" s="182"/>
      <c r="H78" s="182"/>
      <c r="I78" s="181"/>
    </row>
    <row r="79" spans="1:9" ht="12.2" customHeight="1" x14ac:dyDescent="0.2">
      <c r="A79" s="190"/>
      <c r="B79" s="169" t="s">
        <v>1592</v>
      </c>
      <c r="C79" s="179"/>
      <c r="D79" s="182"/>
      <c r="E79" s="182"/>
      <c r="F79" s="182"/>
      <c r="G79" s="182"/>
      <c r="H79" s="182"/>
      <c r="I79" s="181"/>
    </row>
    <row r="80" spans="1:9" ht="11.25" customHeight="1" x14ac:dyDescent="0.2">
      <c r="A80" s="189"/>
      <c r="B80" s="190" t="s">
        <v>1748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I22" sqref="I2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44"/>
      <c r="C11" s="1044"/>
      <c r="D11" s="1044"/>
      <c r="E11" s="1044"/>
      <c r="F11" s="1044"/>
    </row>
    <row r="13" spans="1:6" x14ac:dyDescent="0.2">
      <c r="A13" s="1045" t="s">
        <v>1479</v>
      </c>
    </row>
    <row r="15" spans="1:6" x14ac:dyDescent="0.2">
      <c r="A15" s="389" t="s">
        <v>857</v>
      </c>
    </row>
    <row r="16" spans="1:6" s="1044" customFormat="1" ht="45" customHeight="1" x14ac:dyDescent="0.2">
      <c r="A16" s="1046"/>
      <c r="B16" s="1046" t="s">
        <v>1649</v>
      </c>
    </row>
    <row r="17" spans="1:2" ht="6" customHeight="1" x14ac:dyDescent="0.2"/>
    <row r="18" spans="1:2" ht="24.75" customHeight="1" x14ac:dyDescent="0.2">
      <c r="A18" s="2367" t="s">
        <v>1650</v>
      </c>
      <c r="B18" s="2367"/>
    </row>
  </sheetData>
  <sheetProtection selectLockedCells="1"/>
  <mergeCells count="1">
    <mergeCell ref="A18:B18"/>
  </mergeCells>
  <phoneticPr fontId="20"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171450</xdr:colOff>
                <xdr:row>3</xdr:row>
                <xdr:rowOff>123825</xdr:rowOff>
              </from>
              <to>
                <xdr:col>1</xdr:col>
                <xdr:colOff>1123950</xdr:colOff>
                <xdr:row>8</xdr:row>
                <xdr:rowOff>114300</xdr:rowOff>
              </to>
            </anchor>
          </objectPr>
        </oleObject>
      </mc:Choice>
      <mc:Fallback>
        <oleObject progId="Acrobat Document" dvAspect="DVASPECT_ICON" shapeId="36865" r:id="rId4"/>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F22" sqref="AF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8" t="s">
        <v>1655</v>
      </c>
      <c r="B1" s="2369"/>
      <c r="C1" s="2369"/>
      <c r="D1" s="2369"/>
      <c r="E1" s="2369"/>
      <c r="F1" s="2370"/>
    </row>
    <row r="2" spans="1:8" ht="45" customHeight="1" x14ac:dyDescent="0.2">
      <c r="A2" s="2378" t="s">
        <v>1946</v>
      </c>
      <c r="B2" s="2379"/>
      <c r="C2" s="2379"/>
      <c r="D2" s="2379"/>
      <c r="E2" s="2379"/>
      <c r="F2" s="2380"/>
      <c r="G2" s="1047"/>
      <c r="H2" s="1047"/>
    </row>
    <row r="3" spans="1:8" ht="57" customHeight="1" x14ac:dyDescent="0.2">
      <c r="A3" s="2381" t="s">
        <v>1651</v>
      </c>
      <c r="B3" s="2382"/>
      <c r="C3" s="2382"/>
      <c r="D3" s="2382"/>
      <c r="E3" s="2382"/>
      <c r="F3" s="2383"/>
      <c r="G3" s="1047"/>
      <c r="H3" s="1047"/>
    </row>
    <row r="4" spans="1:8" ht="14.25" customHeight="1" x14ac:dyDescent="0.2">
      <c r="A4" s="2387" t="s">
        <v>1947</v>
      </c>
      <c r="B4" s="2388"/>
      <c r="C4" s="2388"/>
      <c r="D4" s="2388"/>
      <c r="E4" s="2388"/>
      <c r="F4" s="2389"/>
      <c r="G4" s="1047"/>
      <c r="H4" s="1047"/>
    </row>
    <row r="5" spans="1:8" ht="14.25" customHeight="1" x14ac:dyDescent="0.2">
      <c r="A5" s="2390" t="s">
        <v>1943</v>
      </c>
      <c r="B5" s="2391"/>
      <c r="C5" s="2391"/>
      <c r="D5" s="2391"/>
      <c r="E5" s="2391"/>
      <c r="F5" s="2392"/>
      <c r="G5" s="1047"/>
      <c r="H5" s="1047"/>
    </row>
    <row r="6" spans="1:8" s="1048" customFormat="1" ht="41.25" customHeight="1" x14ac:dyDescent="0.2">
      <c r="A6" s="2384" t="s">
        <v>1656</v>
      </c>
      <c r="B6" s="2385"/>
      <c r="C6" s="2385"/>
      <c r="D6" s="2385"/>
      <c r="E6" s="2385"/>
      <c r="F6" s="2386"/>
    </row>
    <row r="7" spans="1:8" ht="42" customHeight="1" x14ac:dyDescent="0.2">
      <c r="A7" s="1049" t="s">
        <v>481</v>
      </c>
      <c r="B7" s="1050" t="s">
        <v>1482</v>
      </c>
      <c r="C7" s="1050" t="s">
        <v>1483</v>
      </c>
      <c r="D7" s="1050" t="s">
        <v>1481</v>
      </c>
      <c r="E7" s="1050" t="s">
        <v>1484</v>
      </c>
      <c r="F7" s="1050" t="s">
        <v>1367</v>
      </c>
    </row>
    <row r="8" spans="1:8" s="1052" customFormat="1" ht="14.25" customHeight="1" x14ac:dyDescent="0.2">
      <c r="A8" s="1051" t="s">
        <v>1368</v>
      </c>
      <c r="B8" s="1788">
        <f>'Acct Summary 7-8'!C8</f>
        <v>145967320</v>
      </c>
      <c r="C8" s="1788">
        <f>'Acct Summary 7-8'!D8</f>
        <v>12635462</v>
      </c>
      <c r="D8" s="1788">
        <f>'Acct Summary 7-8'!F8</f>
        <v>3826393</v>
      </c>
      <c r="E8" s="1788">
        <f>'Acct Summary 7-8'!I8</f>
        <v>95956</v>
      </c>
      <c r="F8" s="1788">
        <f>SUM(B8:E8)</f>
        <v>162525131</v>
      </c>
    </row>
    <row r="9" spans="1:8" s="1052" customFormat="1" ht="14.25" customHeight="1" thickBot="1" x14ac:dyDescent="0.25">
      <c r="A9" s="1051" t="s">
        <v>1369</v>
      </c>
      <c r="B9" s="1789">
        <f>'Acct Summary 7-8'!C17</f>
        <v>123644281</v>
      </c>
      <c r="C9" s="1789">
        <f>'Acct Summary 7-8'!D17</f>
        <v>10253431</v>
      </c>
      <c r="D9" s="1789">
        <f>'Acct Summary 7-8'!F17</f>
        <v>4554629</v>
      </c>
      <c r="E9" s="1788"/>
      <c r="F9" s="1788">
        <f>SUM(B9:E9)</f>
        <v>138452341</v>
      </c>
    </row>
    <row r="10" spans="1:8" s="1052" customFormat="1" ht="14.25" thickTop="1" thickBot="1" x14ac:dyDescent="0.25">
      <c r="A10" s="1053" t="s">
        <v>1370</v>
      </c>
      <c r="B10" s="1790">
        <f>(B8-B9)</f>
        <v>22323039</v>
      </c>
      <c r="C10" s="1790">
        <f>(C8-C9)</f>
        <v>2382031</v>
      </c>
      <c r="D10" s="1790">
        <f>(D8-D9)</f>
        <v>-728236</v>
      </c>
      <c r="E10" s="1789">
        <f>(E8-E9)</f>
        <v>95956</v>
      </c>
      <c r="F10" s="1791">
        <f>SUM(F8-F9)</f>
        <v>24072790</v>
      </c>
    </row>
    <row r="11" spans="1:8" s="1052" customFormat="1" ht="14.25" thickTop="1" thickBot="1" x14ac:dyDescent="0.25">
      <c r="A11" s="1054" t="s">
        <v>1944</v>
      </c>
      <c r="B11" s="1792">
        <f>'Acct Summary 7-8'!C81</f>
        <v>149598848</v>
      </c>
      <c r="C11" s="1792">
        <f>'Acct Summary 7-8'!D81</f>
        <v>14381339</v>
      </c>
      <c r="D11" s="1792">
        <f>'Acct Summary 7-8'!F81</f>
        <v>4721080</v>
      </c>
      <c r="E11" s="1792">
        <f>'Acct Summary 7-8'!I81</f>
        <v>5320756</v>
      </c>
      <c r="F11" s="1793">
        <f>SUM(B11:E11)</f>
        <v>174022023</v>
      </c>
    </row>
    <row r="12" spans="1:8" ht="16.5" customHeight="1" thickTop="1" x14ac:dyDescent="0.2">
      <c r="A12" s="1055"/>
      <c r="B12" s="1056"/>
      <c r="C12" s="2372" t="str">
        <f>IF(AND(F10&lt;0,F11&gt;=0,ABS(F10*3)&gt;ABS(F11)),A16,IF(AND(F10&lt;0,F11&gt;0,ABS(F10*3)&lt;=ABS(F11)),A17,IF(AND(F10&lt;0,F11&lt;0),A16,IF(F11=0,A19,A18))))</f>
        <v>Balanced - no deficit reduction plan is required.</v>
      </c>
      <c r="D12" s="2373"/>
      <c r="E12" s="2373"/>
      <c r="F12" s="2374"/>
    </row>
    <row r="13" spans="1:8" ht="19.5" customHeight="1" x14ac:dyDescent="0.2">
      <c r="A13" s="1057"/>
      <c r="B13" s="1058"/>
      <c r="C13" s="2372"/>
      <c r="D13" s="2373"/>
      <c r="E13" s="2373"/>
      <c r="F13" s="2374"/>
      <c r="H13" s="1047"/>
    </row>
    <row r="14" spans="1:8" ht="19.5" customHeight="1" x14ac:dyDescent="0.2">
      <c r="A14" s="1057"/>
      <c r="B14" s="1058"/>
      <c r="C14" s="2372"/>
      <c r="D14" s="2373"/>
      <c r="E14" s="2373"/>
      <c r="F14" s="2374"/>
      <c r="H14" s="1047"/>
    </row>
    <row r="15" spans="1:8" ht="17.25" customHeight="1" x14ac:dyDescent="0.2">
      <c r="A15" s="1057"/>
      <c r="B15" s="1058"/>
      <c r="C15" s="2375"/>
      <c r="D15" s="2376"/>
      <c r="E15" s="2376"/>
      <c r="F15" s="2377"/>
      <c r="H15" s="1047"/>
    </row>
    <row r="16" spans="1:8" s="310" customFormat="1" ht="51.75" hidden="1" customHeight="1" x14ac:dyDescent="0.2">
      <c r="A16" s="2371" t="s">
        <v>1652</v>
      </c>
      <c r="B16" s="2371"/>
      <c r="C16" s="2371"/>
      <c r="D16" s="2371"/>
      <c r="E16" s="2371"/>
      <c r="F16" s="310" t="s">
        <v>1371</v>
      </c>
    </row>
    <row r="17" spans="1:6" hidden="1" x14ac:dyDescent="0.2">
      <c r="A17" s="316" t="s">
        <v>1653</v>
      </c>
      <c r="F17" s="1059" t="s">
        <v>1372</v>
      </c>
    </row>
    <row r="18" spans="1:6" hidden="1" x14ac:dyDescent="0.2">
      <c r="A18" s="316" t="s">
        <v>1654</v>
      </c>
      <c r="F18" s="316" t="s">
        <v>1396</v>
      </c>
    </row>
    <row r="19" spans="1:6" hidden="1" x14ac:dyDescent="0.2">
      <c r="A19" s="316" t="s">
        <v>1395</v>
      </c>
      <c r="F19" s="316" t="s">
        <v>1374</v>
      </c>
    </row>
    <row r="20" spans="1:6" ht="14.25" customHeight="1" x14ac:dyDescent="0.2"/>
    <row r="21" spans="1:6" x14ac:dyDescent="0.2">
      <c r="B21" s="1060"/>
    </row>
    <row r="48" spans="3:3" x14ac:dyDescent="0.2">
      <c r="C48" s="105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6" colorId="8" zoomScale="110" zoomScaleNormal="110" workbookViewId="0">
      <selection activeCell="D55" sqref="D55"/>
    </sheetView>
  </sheetViews>
  <sheetFormatPr defaultColWidth="9.140625" defaultRowHeight="12" x14ac:dyDescent="0.2"/>
  <cols>
    <col min="1" max="1" width="2.7109375" style="1106" customWidth="1"/>
    <col min="2" max="2" width="3.140625" style="1106" customWidth="1"/>
    <col min="3" max="3" width="96.140625" style="1046" customWidth="1"/>
    <col min="4" max="4" width="42.140625" style="242" customWidth="1"/>
    <col min="5" max="5" width="2.7109375" style="1065" customWidth="1"/>
    <col min="6" max="6" width="1" style="1065" customWidth="1"/>
    <col min="7" max="16384" width="9.140625" style="1065"/>
  </cols>
  <sheetData>
    <row r="1" spans="1:4" ht="4.5" customHeight="1" thickBot="1" x14ac:dyDescent="0.25">
      <c r="A1" s="1061"/>
      <c r="B1" s="1062"/>
      <c r="C1" s="1063"/>
      <c r="D1" s="1064"/>
    </row>
    <row r="2" spans="1:4" ht="7.5" customHeight="1" thickTop="1" x14ac:dyDescent="0.2">
      <c r="A2" s="1830"/>
      <c r="B2" s="1831"/>
      <c r="C2" s="1832"/>
      <c r="D2" s="1833"/>
    </row>
    <row r="3" spans="1:4" ht="36" customHeight="1" x14ac:dyDescent="0.2">
      <c r="A3" s="2393" t="s">
        <v>665</v>
      </c>
      <c r="B3" s="2394"/>
      <c r="C3" s="2394"/>
      <c r="D3" s="2395"/>
    </row>
    <row r="4" spans="1:4" x14ac:dyDescent="0.2">
      <c r="A4" s="1125" t="s">
        <v>1657</v>
      </c>
      <c r="B4" s="1126"/>
      <c r="C4" s="1127"/>
      <c r="D4" s="1128"/>
    </row>
    <row r="5" spans="1:4" ht="21" customHeight="1" x14ac:dyDescent="0.2">
      <c r="A5" s="1121"/>
      <c r="B5" s="1122">
        <v>1</v>
      </c>
      <c r="C5" s="1123" t="s">
        <v>1797</v>
      </c>
      <c r="D5" s="1124"/>
    </row>
    <row r="6" spans="1:4" s="643" customFormat="1" ht="14.25" customHeight="1" x14ac:dyDescent="0.2">
      <c r="A6" s="1111"/>
      <c r="B6" s="1066">
        <f t="shared" ref="B6:B13" si="0">B5+1</f>
        <v>2</v>
      </c>
      <c r="C6" s="1067" t="s">
        <v>864</v>
      </c>
      <c r="D6" s="1068"/>
    </row>
    <row r="7" spans="1:4" s="643" customFormat="1" ht="12.75" x14ac:dyDescent="0.2">
      <c r="A7" s="1111"/>
      <c r="B7" s="1066">
        <f t="shared" si="0"/>
        <v>3</v>
      </c>
      <c r="C7" s="2404" t="s">
        <v>1490</v>
      </c>
      <c r="D7" s="2405"/>
    </row>
    <row r="8" spans="1:4" s="643" customFormat="1" ht="12.75" x14ac:dyDescent="0.2">
      <c r="A8" s="1111"/>
      <c r="B8" s="1066"/>
      <c r="C8" s="1069" t="s">
        <v>1489</v>
      </c>
      <c r="D8" s="1070"/>
    </row>
    <row r="9" spans="1:4" s="643" customFormat="1" ht="14.25" customHeight="1" x14ac:dyDescent="0.2">
      <c r="A9" s="1111"/>
      <c r="B9" s="1066">
        <f>B7+1</f>
        <v>4</v>
      </c>
      <c r="C9" s="1067" t="s">
        <v>1873</v>
      </c>
      <c r="D9" s="1068"/>
    </row>
    <row r="10" spans="1:4" s="643" customFormat="1" ht="14.25" customHeight="1" x14ac:dyDescent="0.2">
      <c r="A10" s="1111"/>
      <c r="B10" s="1066">
        <f t="shared" si="0"/>
        <v>5</v>
      </c>
      <c r="C10" s="1067" t="s">
        <v>639</v>
      </c>
      <c r="D10" s="1068"/>
    </row>
    <row r="11" spans="1:4" s="643" customFormat="1" ht="14.25" customHeight="1" x14ac:dyDescent="0.2">
      <c r="A11" s="1111"/>
      <c r="B11" s="1066">
        <f t="shared" si="0"/>
        <v>6</v>
      </c>
      <c r="C11" s="1067" t="s">
        <v>778</v>
      </c>
      <c r="D11" s="1068"/>
    </row>
    <row r="12" spans="1:4" s="643" customFormat="1" ht="14.25" customHeight="1" x14ac:dyDescent="0.2">
      <c r="A12" s="1111"/>
      <c r="B12" s="1066">
        <f t="shared" si="0"/>
        <v>7</v>
      </c>
      <c r="C12" s="1067" t="s">
        <v>1062</v>
      </c>
      <c r="D12" s="1068"/>
    </row>
    <row r="13" spans="1:4" s="643" customFormat="1" ht="14.25" customHeight="1" x14ac:dyDescent="0.2">
      <c r="A13" s="1111"/>
      <c r="B13" s="1066">
        <f t="shared" si="0"/>
        <v>8</v>
      </c>
      <c r="C13" s="1107" t="s">
        <v>779</v>
      </c>
      <c r="D13" s="1068"/>
    </row>
    <row r="14" spans="1:4" s="643" customFormat="1" ht="14.25" customHeight="1" x14ac:dyDescent="0.2">
      <c r="A14" s="1111"/>
      <c r="B14" s="1108">
        <v>9</v>
      </c>
      <c r="C14" s="1109" t="s">
        <v>1491</v>
      </c>
      <c r="D14" s="1110"/>
    </row>
    <row r="15" spans="1:4" s="643" customFormat="1" ht="21.75" customHeight="1" x14ac:dyDescent="0.2">
      <c r="A15" s="2396" t="s">
        <v>1008</v>
      </c>
      <c r="B15" s="2397"/>
      <c r="C15" s="2397"/>
      <c r="D15" s="2398"/>
    </row>
    <row r="16" spans="1:4" s="643" customFormat="1" ht="24" customHeight="1" x14ac:dyDescent="0.2">
      <c r="A16" s="2399" t="s">
        <v>663</v>
      </c>
      <c r="B16" s="2400"/>
      <c r="C16" s="2400"/>
      <c r="D16" s="2401"/>
    </row>
    <row r="17" spans="1:10" s="643" customFormat="1" ht="12.75" customHeight="1" x14ac:dyDescent="0.2">
      <c r="A17" s="1129" t="s">
        <v>1658</v>
      </c>
      <c r="B17" s="1130"/>
      <c r="C17" s="1131"/>
      <c r="D17" s="1132"/>
    </row>
    <row r="18" spans="1:10" s="643" customFormat="1" ht="12.75" customHeight="1" x14ac:dyDescent="0.2">
      <c r="A18" s="1133" t="s">
        <v>1659</v>
      </c>
      <c r="B18" s="1134"/>
      <c r="C18" s="1135"/>
      <c r="D18" s="1136"/>
    </row>
    <row r="19" spans="1:10" ht="6.75" customHeight="1" thickBot="1" x14ac:dyDescent="0.25">
      <c r="A19" s="1137"/>
      <c r="B19" s="1138"/>
      <c r="C19" s="1139"/>
      <c r="D19" s="1140"/>
    </row>
    <row r="20" spans="1:10" s="1144" customFormat="1" ht="12.75" thickTop="1" x14ac:dyDescent="0.2">
      <c r="A20" s="1141"/>
      <c r="B20" s="1142" t="s">
        <v>1660</v>
      </c>
      <c r="C20" s="1143"/>
      <c r="D20" s="1146" t="s">
        <v>710</v>
      </c>
    </row>
    <row r="21" spans="1:10" x14ac:dyDescent="0.2">
      <c r="A21" s="1071"/>
      <c r="B21" s="1072">
        <v>1</v>
      </c>
      <c r="C21" s="2408" t="s">
        <v>314</v>
      </c>
      <c r="D21" s="2409"/>
    </row>
    <row r="22" spans="1:10" ht="12.75" x14ac:dyDescent="0.2">
      <c r="A22" s="1112"/>
      <c r="B22" s="1113">
        <v>2</v>
      </c>
      <c r="C22" s="2406" t="s">
        <v>1510</v>
      </c>
      <c r="D22" s="2407"/>
    </row>
    <row r="23" spans="1:10" ht="12.2" customHeight="1" x14ac:dyDescent="0.2">
      <c r="A23" s="1112"/>
      <c r="B23" s="1113"/>
      <c r="C23" s="1114" t="s">
        <v>954</v>
      </c>
      <c r="D23" s="1115" t="str">
        <f>IF(COVER!O11="X","CASH",IF(COVER!O12="X","ACCRUAL ","PLEASE CHECK AN ACCOUNTING BASIS."))</f>
        <v>CASH</v>
      </c>
    </row>
    <row r="24" spans="1:10" ht="12.2" customHeight="1" x14ac:dyDescent="0.2">
      <c r="A24" s="1112"/>
      <c r="B24" s="1113"/>
      <c r="C24" s="1114" t="s">
        <v>1332</v>
      </c>
      <c r="D24" s="1115" t="str">
        <f>IF(COVER!O11="X","OK",IF(AND('Aud Quest 2'!J90=0,'Aud Quest 2'!I77&lt;DATE(2017,12,31)),"ENTER ACCOUNTING INFO",IF(AND('Aud Quest 2'!J90&gt;0,'Aud Quest 2'!I77&lt;DATE(2017,12,31)),"OK")))</f>
        <v>OK</v>
      </c>
    </row>
    <row r="25" spans="1:10" x14ac:dyDescent="0.2">
      <c r="A25" s="1073"/>
      <c r="B25" s="1074"/>
      <c r="C25" s="1075" t="s">
        <v>1512</v>
      </c>
      <c r="D25" s="1076" t="str">
        <f>IF(AND(COVER!J29="X",COVER!J30="X",COVER!L30&lt;&gt;"X"),"OK",IF(AND(COVER!J29="X",COVER!J30&lt;&gt;"X",COVER!L30="X"),"OK",IF(AND(COVER!L29="X",COVER!J30&lt;&gt;"X"),"OK","PLEASE CHECK YES or NO.")))</f>
        <v>OK</v>
      </c>
    </row>
    <row r="26" spans="1:10" x14ac:dyDescent="0.2">
      <c r="A26" s="1073"/>
      <c r="B26" s="1116"/>
      <c r="C26" s="1077" t="s">
        <v>1511</v>
      </c>
      <c r="D26" s="1078" t="str">
        <f>IF(AND(COVER!J29="X",COVER!J30="X",COVER!L29&lt;&gt;"X"),"OK",IF(AND(COVER!J29="X",COVER!J30&lt;&gt;"X",COVER!L30="X"),"SENDING AN A-133 SEPERATELY!",IF(AND(COVER!L29="X",COVER!J30&lt;&gt;"X"),"OK","PLEASE CHECK YES or NO.")))</f>
        <v>OK</v>
      </c>
    </row>
    <row r="27" spans="1:10" ht="12" hidden="1" customHeight="1" x14ac:dyDescent="0.2">
      <c r="A27" s="1079"/>
      <c r="B27" s="1116"/>
      <c r="C27" s="1075" t="s">
        <v>975</v>
      </c>
      <c r="D27" s="1078" t="str">
        <f>IF(AND(COVER!J29="X",COVER!J31="X",COVER!L29&lt;&gt;"X"),"OK",IF(AND(COVER!J29="X",COVER!J31&lt;&gt;"X",COVER!L31="X"),"NO FINDINGS WERE ISSUED",IF(AND(COVER!L29="X",COVER!J31&lt;&gt;"X"),"OK","PLEASE CHECK YES or NO.")))</f>
        <v>OK</v>
      </c>
    </row>
    <row r="28" spans="1:10" ht="24" hidden="1" customHeight="1" x14ac:dyDescent="0.2">
      <c r="A28" s="1079"/>
      <c r="B28" s="1116"/>
      <c r="C28" s="1075" t="s">
        <v>842</v>
      </c>
      <c r="D28" s="1080" t="str">
        <f>IF('Aud Quest 2'!B53="X",IF('Aud Quest 2'!F53&gt;"00/00/00 ","Enter Effective Date","ok"))</f>
        <v>ok</v>
      </c>
    </row>
    <row r="29" spans="1:10" x14ac:dyDescent="0.2">
      <c r="A29" s="1073"/>
      <c r="B29" s="1116"/>
      <c r="C29" s="1077" t="s">
        <v>1373</v>
      </c>
      <c r="D29" s="107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1"/>
      <c r="B30" s="1113">
        <f>B22+1</f>
        <v>3</v>
      </c>
      <c r="C30" s="1081" t="s">
        <v>825</v>
      </c>
      <c r="D30" s="1082"/>
    </row>
    <row r="31" spans="1:10" x14ac:dyDescent="0.2">
      <c r="A31" s="1073"/>
      <c r="B31" s="1083"/>
      <c r="C31" s="1117" t="s">
        <v>253</v>
      </c>
      <c r="D31" s="1084" t="str">
        <f>IF(SUM('FP Info 3'!J10:L10)&lt;=0.0999999,"OK","CORRECT THE TAX RATES BY MOVING THE DECIMAL TWO PLACES TO THE LEFT.")</f>
        <v>OK</v>
      </c>
      <c r="E31" s="359"/>
      <c r="F31" s="359"/>
      <c r="G31" s="359"/>
      <c r="H31" s="359"/>
      <c r="I31" s="359"/>
      <c r="J31" s="359"/>
    </row>
    <row r="32" spans="1:10" x14ac:dyDescent="0.2">
      <c r="A32" s="1073"/>
      <c r="B32" s="1118"/>
      <c r="C32" s="1085" t="s">
        <v>978</v>
      </c>
      <c r="D32" s="1076" t="str">
        <f>IF(OR(COVER!B6="x",'FP Info 3'!B31="X",'FP Info 3'!B32="X"),"OK","ENTRY IS REQUIRED!")</f>
        <v>OK</v>
      </c>
    </row>
    <row r="33" spans="1:12" s="1089" customFormat="1" ht="12.75" customHeight="1" x14ac:dyDescent="0.2">
      <c r="A33" s="1086"/>
      <c r="B33" s="1113">
        <f>B30+1</f>
        <v>4</v>
      </c>
      <c r="C33" s="1087" t="s">
        <v>780</v>
      </c>
      <c r="D33" s="1088"/>
    </row>
    <row r="34" spans="1:12" s="1089" customFormat="1" x14ac:dyDescent="0.2">
      <c r="A34" s="1090"/>
      <c r="B34" s="1113"/>
      <c r="C34" s="1091" t="s">
        <v>826</v>
      </c>
      <c r="D34" s="1076" t="str">
        <f>IF('Assets-Liab 5-6'!C4&lt;-0.49, "ERROR!","OK")</f>
        <v>OK</v>
      </c>
    </row>
    <row r="35" spans="1:12" x14ac:dyDescent="0.2">
      <c r="A35" s="1090"/>
      <c r="B35" s="1113"/>
      <c r="C35" s="1091" t="s">
        <v>306</v>
      </c>
      <c r="D35" s="1076" t="str">
        <f>IF('Assets-Liab 5-6'!D4&lt;-0.49, "ERROR!","OK")</f>
        <v>OK</v>
      </c>
      <c r="L35" s="1145"/>
    </row>
    <row r="36" spans="1:12" x14ac:dyDescent="0.2">
      <c r="A36" s="1090"/>
      <c r="B36" s="1113"/>
      <c r="C36" s="1091" t="s">
        <v>781</v>
      </c>
      <c r="D36" s="1076" t="str">
        <f>IF('Assets-Liab 5-6'!E4&lt;-0.49, "ERROR!","OK")</f>
        <v>OK</v>
      </c>
    </row>
    <row r="37" spans="1:12" x14ac:dyDescent="0.2">
      <c r="A37" s="1090"/>
      <c r="B37" s="1113"/>
      <c r="C37" s="1091" t="s">
        <v>307</v>
      </c>
      <c r="D37" s="1076" t="str">
        <f>IF('Assets-Liab 5-6'!F4&lt;-0.49, "ERROR!","OK")</f>
        <v>OK</v>
      </c>
    </row>
    <row r="38" spans="1:12" x14ac:dyDescent="0.2">
      <c r="A38" s="1090"/>
      <c r="B38" s="1113"/>
      <c r="C38" s="1091" t="s">
        <v>308</v>
      </c>
      <c r="D38" s="1076" t="str">
        <f>IF('Assets-Liab 5-6'!G4&lt;-0.49, "ERROR!","OK")</f>
        <v>OK</v>
      </c>
    </row>
    <row r="39" spans="1:12" x14ac:dyDescent="0.2">
      <c r="A39" s="1090"/>
      <c r="B39" s="1113"/>
      <c r="C39" s="1091" t="s">
        <v>782</v>
      </c>
      <c r="D39" s="1076" t="str">
        <f>IF('Assets-Liab 5-6'!H4&lt;-0.49, "ERROR!","OK")</f>
        <v>OK</v>
      </c>
    </row>
    <row r="40" spans="1:12" x14ac:dyDescent="0.2">
      <c r="A40" s="1090"/>
      <c r="B40" s="1113"/>
      <c r="C40" s="1091" t="s">
        <v>309</v>
      </c>
      <c r="D40" s="1076" t="str">
        <f>IF('Assets-Liab 5-6'!I4&lt;-0.49, "ERROR!","OK")</f>
        <v>OK</v>
      </c>
    </row>
    <row r="41" spans="1:12" x14ac:dyDescent="0.2">
      <c r="A41" s="1090"/>
      <c r="B41" s="1113"/>
      <c r="C41" s="1091" t="s">
        <v>783</v>
      </c>
      <c r="D41" s="1076" t="str">
        <f>IF('Assets-Liab 5-6'!J4&lt;-0.49, "ERROR!","OK")</f>
        <v>OK</v>
      </c>
    </row>
    <row r="42" spans="1:12" x14ac:dyDescent="0.2">
      <c r="A42" s="1090"/>
      <c r="B42" s="1113"/>
      <c r="C42" s="1091" t="s">
        <v>310</v>
      </c>
      <c r="D42" s="1076" t="str">
        <f>IF('Assets-Liab 5-6'!K4&lt;-0.49, "ERROR!","OK")</f>
        <v>OK</v>
      </c>
    </row>
    <row r="43" spans="1:12" x14ac:dyDescent="0.2">
      <c r="A43" s="1092"/>
      <c r="B43" s="1093">
        <f>B33+1</f>
        <v>5</v>
      </c>
      <c r="C43" s="2410" t="s">
        <v>536</v>
      </c>
      <c r="D43" s="2411"/>
    </row>
    <row r="44" spans="1:12" x14ac:dyDescent="0.2">
      <c r="A44" s="1092"/>
      <c r="B44" s="1094"/>
      <c r="C44" s="1095" t="s">
        <v>1335</v>
      </c>
      <c r="D44" s="1096" t="str">
        <f>IF(SUM('Assets-Liab 5-6'!C13)&lt;&gt;SUM('Assets-Liab 5-6'!C41),"ERROR!","OK")</f>
        <v>OK</v>
      </c>
    </row>
    <row r="45" spans="1:12" x14ac:dyDescent="0.2">
      <c r="A45" s="1092"/>
      <c r="B45" s="1094"/>
      <c r="C45" s="1095" t="s">
        <v>1336</v>
      </c>
      <c r="D45" s="1096" t="str">
        <f>IF(SUM('Assets-Liab 5-6'!D13)&lt;&gt;SUM('Assets-Liab 5-6'!D41),"ERROR!","OK")</f>
        <v>OK</v>
      </c>
    </row>
    <row r="46" spans="1:12" x14ac:dyDescent="0.2">
      <c r="A46" s="1092"/>
      <c r="B46" s="1094"/>
      <c r="C46" s="1095" t="s">
        <v>1337</v>
      </c>
      <c r="D46" s="1096" t="str">
        <f>IF(SUM('Assets-Liab 5-6'!E13)&lt;&gt;SUM('Assets-Liab 5-6'!E41),"ERROR!","OK")</f>
        <v>OK</v>
      </c>
    </row>
    <row r="47" spans="1:12" x14ac:dyDescent="0.2">
      <c r="A47" s="1092"/>
      <c r="B47" s="1094"/>
      <c r="C47" s="1095" t="s">
        <v>1338</v>
      </c>
      <c r="D47" s="1096" t="str">
        <f>IF(SUM('Assets-Liab 5-6'!F13)&lt;&gt;SUM('Assets-Liab 5-6'!F41),"ERROR!","OK")</f>
        <v>OK</v>
      </c>
    </row>
    <row r="48" spans="1:12" x14ac:dyDescent="0.2">
      <c r="A48" s="1092"/>
      <c r="B48" s="1094"/>
      <c r="C48" s="1095" t="s">
        <v>1339</v>
      </c>
      <c r="D48" s="1096" t="str">
        <f>IF(SUM('Assets-Liab 5-6'!G13)&lt;&gt;SUM('Assets-Liab 5-6'!G41),"ERROR!","OK")</f>
        <v>OK</v>
      </c>
    </row>
    <row r="49" spans="1:4" x14ac:dyDescent="0.2">
      <c r="A49" s="1092"/>
      <c r="B49" s="1094"/>
      <c r="C49" s="1095" t="s">
        <v>1340</v>
      </c>
      <c r="D49" s="1096" t="str">
        <f>IF(SUM('Assets-Liab 5-6'!H13)&lt;&gt;SUM('Assets-Liab 5-6'!H41),"ERROR!","OK")</f>
        <v>OK</v>
      </c>
    </row>
    <row r="50" spans="1:4" x14ac:dyDescent="0.2">
      <c r="A50" s="1092"/>
      <c r="B50" s="1094"/>
      <c r="C50" s="1095" t="s">
        <v>1341</v>
      </c>
      <c r="D50" s="1096" t="str">
        <f>IF(SUM('Assets-Liab 5-6'!I13)&lt;&gt;SUM('Assets-Liab 5-6'!I41),"ERROR!","OK")</f>
        <v>OK</v>
      </c>
    </row>
    <row r="51" spans="1:4" x14ac:dyDescent="0.2">
      <c r="A51" s="1092"/>
      <c r="B51" s="1094"/>
      <c r="C51" s="1095" t="s">
        <v>1342</v>
      </c>
      <c r="D51" s="1096" t="str">
        <f>IF(SUM('Assets-Liab 5-6'!J13)&lt;&gt;SUM('Assets-Liab 5-6'!J41),"ERROR!","OK")</f>
        <v>OK</v>
      </c>
    </row>
    <row r="52" spans="1:4" x14ac:dyDescent="0.2">
      <c r="A52" s="1092"/>
      <c r="B52" s="1094"/>
      <c r="C52" s="1095" t="s">
        <v>1343</v>
      </c>
      <c r="D52" s="1096" t="str">
        <f>IF(SUM('Assets-Liab 5-6'!K13)&lt;&gt;SUM('Assets-Liab 5-6'!K41),"ERROR!","OK")</f>
        <v>OK</v>
      </c>
    </row>
    <row r="53" spans="1:4" x14ac:dyDescent="0.2">
      <c r="A53" s="1092"/>
      <c r="B53" s="1094"/>
      <c r="C53" s="1095" t="s">
        <v>1344</v>
      </c>
      <c r="D53" s="1096" t="str">
        <f>IF(SUM('Assets-Liab 5-6'!L13)&lt;&gt;('Assets-Liab 5-6'!L41),"ERROR!","OK")</f>
        <v>OK</v>
      </c>
    </row>
    <row r="54" spans="1:4" x14ac:dyDescent="0.2">
      <c r="A54" s="1092"/>
      <c r="B54" s="1094"/>
      <c r="C54" s="1095" t="s">
        <v>1345</v>
      </c>
      <c r="D54" s="1096" t="str">
        <f>IF(SUM('Assets-Liab 5-6'!M23)&lt;&gt;('Assets-Liab 5-6'!M41),"ERROR!","OK")</f>
        <v>OK</v>
      </c>
    </row>
    <row r="55" spans="1:4" x14ac:dyDescent="0.2">
      <c r="A55" s="1092"/>
      <c r="B55" s="1094"/>
      <c r="C55" s="1095" t="s">
        <v>1346</v>
      </c>
      <c r="D55" s="1096" t="str">
        <f>IF(SUM('Assets-Liab 5-6'!N23)&lt;&gt;('Assets-Liab 5-6'!N41),"ERROR!","OK")</f>
        <v>OK</v>
      </c>
    </row>
    <row r="56" spans="1:4" x14ac:dyDescent="0.2">
      <c r="A56" s="1073"/>
      <c r="B56" s="1093">
        <f>B43+1</f>
        <v>6</v>
      </c>
      <c r="C56" s="2402" t="s">
        <v>784</v>
      </c>
      <c r="D56" s="2403"/>
    </row>
    <row r="57" spans="1:4" s="1089" customFormat="1" x14ac:dyDescent="0.2">
      <c r="A57" s="1073"/>
      <c r="B57" s="1083"/>
      <c r="C57" s="1091" t="s">
        <v>1347</v>
      </c>
      <c r="D57" s="1097" t="str">
        <f>IF('Assets-Liab 5-6'!C38+'Assets-Liab 5-6'!C39='Acct Summary 7-8'!C81,"OK","ERROR!")</f>
        <v>OK</v>
      </c>
    </row>
    <row r="58" spans="1:4" x14ac:dyDescent="0.2">
      <c r="A58" s="1073"/>
      <c r="B58" s="1083"/>
      <c r="C58" s="1091" t="s">
        <v>1348</v>
      </c>
      <c r="D58" s="1097" t="str">
        <f>IF((('Assets-Liab 5-6'!D38+'Assets-Liab 5-6'!D39) ='Acct Summary 7-8'!D81), "OK", "ERROR!" )</f>
        <v>OK</v>
      </c>
    </row>
    <row r="59" spans="1:4" s="1089" customFormat="1" x14ac:dyDescent="0.2">
      <c r="A59" s="1073"/>
      <c r="B59" s="1083"/>
      <c r="C59" s="1091" t="s">
        <v>1349</v>
      </c>
      <c r="D59" s="1097" t="str">
        <f>IF((('Assets-Liab 5-6'!E38 + 'Assets-Liab 5-6'!E39) ='Acct Summary 7-8'!E81), "OK", "ERROR!" )</f>
        <v>OK</v>
      </c>
    </row>
    <row r="60" spans="1:4" x14ac:dyDescent="0.2">
      <c r="A60" s="1073"/>
      <c r="B60" s="1083"/>
      <c r="C60" s="1091" t="s">
        <v>1350</v>
      </c>
      <c r="D60" s="1097" t="str">
        <f>IF((('Assets-Liab 5-6'!F38 + 'Assets-Liab 5-6'!F39) ='Acct Summary 7-8'!F81), "OK", "ERROR!" )</f>
        <v>OK</v>
      </c>
    </row>
    <row r="61" spans="1:4" ht="12.75" customHeight="1" x14ac:dyDescent="0.2">
      <c r="A61" s="1073"/>
      <c r="B61" s="1083"/>
      <c r="C61" s="1091" t="s">
        <v>1363</v>
      </c>
      <c r="D61" s="1097" t="str">
        <f>IF((('Assets-Liab 5-6'!G38 + 'Assets-Liab 5-6'!G39) ='Acct Summary 7-8'!G81), "OK", "ERROR!" )</f>
        <v>OK</v>
      </c>
    </row>
    <row r="62" spans="1:4" x14ac:dyDescent="0.2">
      <c r="A62" s="1073"/>
      <c r="B62" s="1083"/>
      <c r="C62" s="1091" t="s">
        <v>1351</v>
      </c>
      <c r="D62" s="1097" t="str">
        <f>IF((('Assets-Liab 5-6'!H38 + 'Assets-Liab 5-6'!H39) ='Acct Summary 7-8'!H81), "OK", "ERROR!" )</f>
        <v>OK</v>
      </c>
    </row>
    <row r="63" spans="1:4" ht="12.75" customHeight="1" x14ac:dyDescent="0.2">
      <c r="A63" s="1073"/>
      <c r="B63" s="1083"/>
      <c r="C63" s="1091" t="s">
        <v>1352</v>
      </c>
      <c r="D63" s="1097" t="str">
        <f>IF((('Assets-Liab 5-6'!I38 + 'Assets-Liab 5-6'!I39) ='Acct Summary 7-8'!I81), "OK", "ERROR!" )</f>
        <v>OK</v>
      </c>
    </row>
    <row r="64" spans="1:4" x14ac:dyDescent="0.2">
      <c r="A64" s="1073"/>
      <c r="B64" s="1083"/>
      <c r="C64" s="1091" t="s">
        <v>1353</v>
      </c>
      <c r="D64" s="1097" t="str">
        <f>IF((('Assets-Liab 5-6'!J38 + 'Assets-Liab 5-6'!J39) ='Acct Summary 7-8'!J81), "OK", "ERROR!" )</f>
        <v>OK</v>
      </c>
    </row>
    <row r="65" spans="1:4" x14ac:dyDescent="0.2">
      <c r="A65" s="1090"/>
      <c r="B65" s="1083"/>
      <c r="C65" s="1091" t="s">
        <v>1364</v>
      </c>
      <c r="D65" s="1097" t="str">
        <f>IF((('Assets-Liab 5-6'!K38 + 'Assets-Liab 5-6'!K39) ='Acct Summary 7-8'!K81), "OK", "ERROR!" )</f>
        <v>OK</v>
      </c>
    </row>
    <row r="66" spans="1:4" x14ac:dyDescent="0.2">
      <c r="A66" s="1071"/>
      <c r="B66" s="1113">
        <f>B56+1+1</f>
        <v>8</v>
      </c>
      <c r="C66" s="1119" t="s">
        <v>1874</v>
      </c>
      <c r="D66" s="1098"/>
    </row>
    <row r="67" spans="1:4" x14ac:dyDescent="0.2">
      <c r="A67" s="1092"/>
      <c r="B67" s="1113"/>
      <c r="C67" s="1120" t="s">
        <v>1021</v>
      </c>
      <c r="D67" s="1098"/>
    </row>
    <row r="68" spans="1:4" x14ac:dyDescent="0.2">
      <c r="A68" s="1073"/>
      <c r="B68" s="1083"/>
      <c r="C68" s="1075" t="s">
        <v>1875</v>
      </c>
      <c r="D68" s="1097" t="str">
        <f>IF('Short-Term Long-Term Debt 24'!F49=SUM(,'Acct Summary 7-8'!C33:K33),"OK","ERROR!")</f>
        <v>OK</v>
      </c>
    </row>
    <row r="69" spans="1:4" x14ac:dyDescent="0.2">
      <c r="A69" s="1073"/>
      <c r="B69" s="1083"/>
      <c r="C69" s="1075" t="s">
        <v>1876</v>
      </c>
      <c r="D69" s="1097" t="str">
        <f>IF('Expenditures 15-22'!H170&lt;&gt;'Short-Term Long-Term Debt 24'!H49,"ERROR!","OK")</f>
        <v>OK</v>
      </c>
    </row>
    <row r="70" spans="1:4" x14ac:dyDescent="0.2">
      <c r="A70" s="1071"/>
      <c r="B70" s="1093">
        <f>B66+1</f>
        <v>9</v>
      </c>
      <c r="C70" s="2402" t="s">
        <v>1661</v>
      </c>
      <c r="D70" s="2403"/>
    </row>
    <row r="71" spans="1:4" x14ac:dyDescent="0.2">
      <c r="A71" s="1071"/>
      <c r="B71" s="1093"/>
      <c r="C71" s="1075" t="s">
        <v>1354</v>
      </c>
      <c r="D71" s="1099" t="str">
        <f>IF(SUM('Acct Summary 7-8'!C27:K27) =SUM( 'Acct Summary 7-8'!C49:K49),"OK", "ERROR")</f>
        <v>OK</v>
      </c>
    </row>
    <row r="72" spans="1:4" x14ac:dyDescent="0.2">
      <c r="A72" s="1073"/>
      <c r="B72" s="1083"/>
      <c r="C72" s="1091" t="s">
        <v>1355</v>
      </c>
      <c r="D72" s="1097" t="str">
        <f>IF(SUM('Acct Summary 7-8'!C28:K28)=SUM('Acct Summary 7-8'!C50:K50),"OK","ERROR!")</f>
        <v>OK</v>
      </c>
    </row>
    <row r="73" spans="1:4" ht="24" x14ac:dyDescent="0.2">
      <c r="A73" s="1100"/>
      <c r="B73" s="1083"/>
      <c r="C73" s="1091" t="s">
        <v>1662</v>
      </c>
      <c r="D73" s="1099" t="str">
        <f>IF(SUM('Acct Summary 7-8'!C42:K42)&gt;=SUM( 'Acct Summary 7-8'!C74:K74),"OK", "ERROR")</f>
        <v>OK</v>
      </c>
    </row>
    <row r="74" spans="1:4" x14ac:dyDescent="0.2">
      <c r="A74" s="1071"/>
      <c r="B74" s="1093">
        <f>B70+1</f>
        <v>10</v>
      </c>
      <c r="C74" s="1087" t="s">
        <v>1877</v>
      </c>
      <c r="D74" s="1101"/>
    </row>
    <row r="75" spans="1:4" x14ac:dyDescent="0.2">
      <c r="A75" s="1073"/>
      <c r="B75" s="1083"/>
      <c r="C75" s="1091" t="s">
        <v>1377</v>
      </c>
      <c r="D75" s="1097" t="str">
        <f>IF(SUM('Assets-Liab 5-6'!C38:H38)&gt;=SUM('Rest Tax Levies-Tort Im 25'!G25:K25),"OK","ERROR")</f>
        <v>OK</v>
      </c>
    </row>
    <row r="76" spans="1:4" x14ac:dyDescent="0.2">
      <c r="A76" s="1073"/>
      <c r="B76" s="1083"/>
      <c r="C76" s="1091" t="s">
        <v>1404</v>
      </c>
      <c r="D76" s="1097" t="str">
        <f>IF(SUM('Assets-Liab 5-6'!C39:K39)&gt;0,"OK","ENTRY IS REQUIRED!")</f>
        <v>OK</v>
      </c>
    </row>
    <row r="77" spans="1:4" x14ac:dyDescent="0.2">
      <c r="A77" s="1073"/>
      <c r="B77" s="1102">
        <f>B74+1</f>
        <v>11</v>
      </c>
      <c r="C77" s="1147" t="s">
        <v>1378</v>
      </c>
      <c r="D77" s="1097"/>
    </row>
    <row r="78" spans="1:4" x14ac:dyDescent="0.2">
      <c r="A78" s="1073"/>
      <c r="B78" s="1083"/>
      <c r="C78" s="1091" t="s">
        <v>1878</v>
      </c>
      <c r="D78" s="1097" t="str">
        <f>IF(ISNUMBER('Acct Summary 7-8'!C9),"OK","ENTRY IS REQUIRED!")</f>
        <v>OK</v>
      </c>
    </row>
    <row r="79" spans="1:4" x14ac:dyDescent="0.2">
      <c r="A79" s="1092"/>
      <c r="B79" s="1093">
        <f>B74+1+1</f>
        <v>12</v>
      </c>
      <c r="C79" s="1103" t="s">
        <v>1865</v>
      </c>
      <c r="D79" s="1104" t="str">
        <f>IF(OR(COVER!$B$6="X",'PCTC-OEPP 27-28'!F78&gt;0),"OK","PLEASE ENTER 9 MO ADA.")</f>
        <v>OK</v>
      </c>
    </row>
    <row r="80" spans="1:4" x14ac:dyDescent="0.2">
      <c r="A80" s="1071"/>
      <c r="B80" s="1093">
        <v>13</v>
      </c>
      <c r="C80" s="1103" t="s">
        <v>1879</v>
      </c>
      <c r="D80" s="1104" t="str">
        <f>IF('Contracts Paid in CY 29'!D141&gt;0,"OK","PLEASE ENTER CONTRACTS PAID IN CURRENT YEAR.")</f>
        <v>OK</v>
      </c>
    </row>
    <row r="81" spans="1:4" x14ac:dyDescent="0.2">
      <c r="A81" s="1071"/>
      <c r="B81" s="1093">
        <v>14</v>
      </c>
      <c r="C81" s="1103" t="s">
        <v>1410</v>
      </c>
      <c r="D81" s="1096" t="str">
        <f>IF('[1]Shared Outsourced Services 31'!B8="X","OK",IF('[1]Shared Outsourced Services 31'!K34&gt;0,"OK","ENTRY REQUIRED!"))</f>
        <v>OK</v>
      </c>
    </row>
    <row r="82" spans="1:4" x14ac:dyDescent="0.2">
      <c r="A82" s="1092"/>
      <c r="B82" s="1093">
        <v>15</v>
      </c>
      <c r="C82" s="1103" t="s">
        <v>1409</v>
      </c>
      <c r="D82" s="110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20"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6016099002</v>
      </c>
    </row>
    <row r="3" spans="1:2" x14ac:dyDescent="0.2">
      <c r="A3" t="s">
        <v>956</v>
      </c>
      <c r="B3" s="138" t="str">
        <f>COVER!A15</f>
        <v>COOK</v>
      </c>
    </row>
    <row r="4" spans="1:2" x14ac:dyDescent="0.2">
      <c r="A4" t="s">
        <v>1007</v>
      </c>
      <c r="B4" s="138" t="str">
        <f>COVER!A17</f>
        <v>Cicero SD 99</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1513</v>
      </c>
      <c r="B12" s="138" t="str">
        <f>IF(COVER!J29="x","Yes",IF(COVER!L29="X","No",0))</f>
        <v>Yes</v>
      </c>
    </row>
    <row r="13" spans="1:2" x14ac:dyDescent="0.2">
      <c r="A13" s="1" t="s">
        <v>1514</v>
      </c>
      <c r="B13" s="138" t="str">
        <f>IF(COVER!J30="x","Yes",IF(COVER!L30="x","No",0))</f>
        <v>Yes</v>
      </c>
    </row>
    <row r="14" spans="1:2" x14ac:dyDescent="0.2">
      <c r="A14" t="s">
        <v>476</v>
      </c>
      <c r="B14" s="138" t="str">
        <f>IF(COVER!J31="x","Yes",IF(COVER!L31="x","No",0))</f>
        <v>Yes</v>
      </c>
    </row>
    <row r="15" spans="1:2" x14ac:dyDescent="0.2">
      <c r="A15" t="s">
        <v>577</v>
      </c>
      <c r="B15" s="138" t="str">
        <f>COVER!T23</f>
        <v>066-005142</v>
      </c>
    </row>
    <row r="16" spans="1:2" x14ac:dyDescent="0.2">
      <c r="A16" t="s">
        <v>422</v>
      </c>
      <c r="B16" s="138" t="str">
        <f>COVER!T13</f>
        <v>EDER, CASELLA &amp; CO.</v>
      </c>
    </row>
    <row r="17" spans="1:2" x14ac:dyDescent="0.2">
      <c r="A17" t="s">
        <v>884</v>
      </c>
      <c r="B17" s="138" t="str">
        <f>COVER!T15</f>
        <v>KEVIN SMITH</v>
      </c>
    </row>
    <row r="18" spans="1:2" x14ac:dyDescent="0.2">
      <c r="A18" t="s">
        <v>1150</v>
      </c>
      <c r="B18" s="138" t="str">
        <f>COVER!T17</f>
        <v>5400 WEST ELM STREET, SUITE 203</v>
      </c>
    </row>
    <row r="19" spans="1:2" x14ac:dyDescent="0.2">
      <c r="A19" t="s">
        <v>886</v>
      </c>
      <c r="B19" s="138" t="str">
        <f>COVER!T25</f>
        <v>CPAS@EDERCASELLA.COM</v>
      </c>
    </row>
    <row r="20" spans="1:2" x14ac:dyDescent="0.2">
      <c r="A20" t="s">
        <v>887</v>
      </c>
      <c r="B20" s="138" t="str">
        <f>COVER!T19</f>
        <v>MCHENRY</v>
      </c>
    </row>
    <row r="21" spans="1:2" x14ac:dyDescent="0.2">
      <c r="A21" t="s">
        <v>479</v>
      </c>
      <c r="B21" s="138" t="str">
        <f>COVER!X19</f>
        <v>IL</v>
      </c>
    </row>
    <row r="22" spans="1:2" x14ac:dyDescent="0.2">
      <c r="A22" t="s">
        <v>888</v>
      </c>
      <c r="B22" s="138">
        <f>COVER!Z19</f>
        <v>60050</v>
      </c>
    </row>
    <row r="23" spans="1:2" x14ac:dyDescent="0.2">
      <c r="A23" t="s">
        <v>1152</v>
      </c>
      <c r="B23" s="138" t="str">
        <f>COVER!T21</f>
        <v>815-344-1300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1467</v>
      </c>
      <c r="B49" s="138" t="str">
        <f>IF('Aud Quest 2'!B53="x","Yes",IF('Aud Quest 2'!B53&lt;&gt;"x","0"))</f>
        <v>Yes</v>
      </c>
    </row>
    <row r="50" spans="1:4" x14ac:dyDescent="0.2">
      <c r="A50" s="1" t="s">
        <v>1466</v>
      </c>
      <c r="B50" s="150">
        <f>'Aud Quest 2'!H53</f>
        <v>34335</v>
      </c>
    </row>
    <row r="51" spans="1:4" x14ac:dyDescent="0.2">
      <c r="A51" s="1" t="s">
        <v>1468</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140268784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149808308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209460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209460</v>
      </c>
      <c r="C91" s="2" t="s">
        <v>573</v>
      </c>
      <c r="D91" s="2" t="str">
        <f t="shared" si="0"/>
        <v>Error?</v>
      </c>
    </row>
    <row r="92" spans="1:4" x14ac:dyDescent="0.2">
      <c r="A92" s="5">
        <v>31</v>
      </c>
      <c r="B92" s="138">
        <f>'Assets-Liab 5-6'!C39</f>
        <v>149598848</v>
      </c>
      <c r="D92" s="2" t="str">
        <f t="shared" si="0"/>
        <v>Error?</v>
      </c>
    </row>
    <row r="93" spans="1:4" x14ac:dyDescent="0.2">
      <c r="A93" s="5">
        <v>32</v>
      </c>
      <c r="B93" s="138">
        <f>'Assets-Liab 5-6'!C41</f>
        <v>149808308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14381339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14381339</v>
      </c>
      <c r="D123" s="2" t="str">
        <f t="shared" si="0"/>
        <v>Error?</v>
      </c>
    </row>
    <row r="124" spans="1:4" x14ac:dyDescent="0.2">
      <c r="A124" s="5">
        <v>63</v>
      </c>
      <c r="B124" s="138">
        <f>'Assets-Liab 5-6'!D41</f>
        <v>14381339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3994868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3994868</v>
      </c>
      <c r="D140" s="2" t="str">
        <f t="shared" si="1"/>
        <v>Error?</v>
      </c>
    </row>
    <row r="141" spans="1:4" x14ac:dyDescent="0.2">
      <c r="A141" s="5">
        <v>80</v>
      </c>
      <c r="B141" s="138">
        <f>'Assets-Liab 5-6'!E41</f>
        <v>3994868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4721080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4721080</v>
      </c>
      <c r="D170" s="2" t="str">
        <f t="shared" si="1"/>
        <v>Error?</v>
      </c>
    </row>
    <row r="171" spans="1:4" x14ac:dyDescent="0.2">
      <c r="A171" s="5">
        <v>110</v>
      </c>
      <c r="B171" s="138">
        <f>'Assets-Liab 5-6'!F41</f>
        <v>4721080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3479015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3479015</v>
      </c>
      <c r="D189" s="2" t="str">
        <f t="shared" si="1"/>
        <v>Error?</v>
      </c>
    </row>
    <row r="190" spans="1:4" x14ac:dyDescent="0.2">
      <c r="A190" s="5">
        <v>129</v>
      </c>
      <c r="B190" s="138">
        <f>'Assets-Liab 5-6'!G41</f>
        <v>3479015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4840851</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8249630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8249630</v>
      </c>
      <c r="D212" s="2" t="str">
        <f t="shared" si="2"/>
        <v>Error?</v>
      </c>
    </row>
    <row r="213" spans="1:4" x14ac:dyDescent="0.2">
      <c r="A213" s="12">
        <v>152</v>
      </c>
      <c r="B213" s="138">
        <f>'Assets-Liab 5-6'!H41</f>
        <v>8249630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11943510</v>
      </c>
      <c r="D273" s="2" t="str">
        <f t="shared" si="3"/>
        <v>Error?</v>
      </c>
    </row>
    <row r="274" spans="1:4" x14ac:dyDescent="0.2">
      <c r="A274" s="5">
        <v>213</v>
      </c>
      <c r="B274" s="138">
        <f>'Assets-Liab 5-6'!M17</f>
        <v>261553036</v>
      </c>
      <c r="D274" s="2" t="str">
        <f t="shared" si="3"/>
        <v>Error?</v>
      </c>
    </row>
    <row r="275" spans="1:4" x14ac:dyDescent="0.2">
      <c r="A275" s="5">
        <v>214</v>
      </c>
      <c r="B275" s="138">
        <f>'Assets-Liab 5-6'!M18</f>
        <v>6049462</v>
      </c>
      <c r="D275" s="2" t="str">
        <f t="shared" si="3"/>
        <v>Error?</v>
      </c>
    </row>
    <row r="276" spans="1:4" x14ac:dyDescent="0.2">
      <c r="A276" s="5">
        <v>215</v>
      </c>
      <c r="B276" s="138">
        <f>'Assets-Liab 5-6'!M19</f>
        <v>29393274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337666058</v>
      </c>
      <c r="C279" s="2" t="s">
        <v>573</v>
      </c>
      <c r="D279" s="2" t="str">
        <f t="shared" si="3"/>
        <v>Error?</v>
      </c>
    </row>
    <row r="280" spans="1:4" x14ac:dyDescent="0.2">
      <c r="A280" s="5">
        <v>219</v>
      </c>
      <c r="B280" s="138">
        <f>'Assets-Liab 5-6'!M40</f>
        <v>337666058</v>
      </c>
      <c r="D280" s="2" t="str">
        <f t="shared" si="3"/>
        <v>Error?</v>
      </c>
    </row>
    <row r="281" spans="1:4" x14ac:dyDescent="0.2">
      <c r="A281" s="5">
        <v>220</v>
      </c>
      <c r="B281" s="138">
        <f>'Assets-Liab 5-6'!M41</f>
        <v>337666058</v>
      </c>
      <c r="C281" s="2" t="s">
        <v>573</v>
      </c>
      <c r="D281" s="2" t="str">
        <f t="shared" si="3"/>
        <v>Error?</v>
      </c>
    </row>
    <row r="282" spans="1:4" x14ac:dyDescent="0.2">
      <c r="A282" s="5">
        <v>221</v>
      </c>
      <c r="B282" s="138">
        <f>'Assets-Liab 5-6'!N21</f>
        <v>3994868</v>
      </c>
      <c r="D282" s="2" t="str">
        <f t="shared" si="3"/>
        <v>Error?</v>
      </c>
    </row>
    <row r="283" spans="1:4" x14ac:dyDescent="0.2">
      <c r="A283" s="5">
        <v>222</v>
      </c>
      <c r="B283" s="138">
        <f>'Assets-Liab 5-6'!N22</f>
        <v>43132749</v>
      </c>
      <c r="D283" s="2" t="str">
        <f t="shared" si="3"/>
        <v>Error?</v>
      </c>
    </row>
    <row r="284" spans="1:4" x14ac:dyDescent="0.2">
      <c r="A284" s="5">
        <v>223</v>
      </c>
      <c r="B284" s="138">
        <f>'Assets-Liab 5-6'!N23</f>
        <v>47127617</v>
      </c>
      <c r="C284" s="2" t="s">
        <v>573</v>
      </c>
      <c r="D284" s="2" t="str">
        <f t="shared" si="3"/>
        <v>Error?</v>
      </c>
    </row>
    <row r="285" spans="1:4" x14ac:dyDescent="0.2">
      <c r="A285" s="5">
        <v>224</v>
      </c>
      <c r="B285" s="138">
        <f>'Assets-Liab 5-6'!N36</f>
        <v>47127617</v>
      </c>
      <c r="D285" s="2" t="str">
        <f t="shared" si="3"/>
        <v>Error?</v>
      </c>
    </row>
    <row r="286" spans="1:4" x14ac:dyDescent="0.2">
      <c r="A286" s="10">
        <v>225</v>
      </c>
      <c r="D286" s="2" t="str">
        <f t="shared" si="3"/>
        <v>OK</v>
      </c>
    </row>
    <row r="287" spans="1:4" x14ac:dyDescent="0.2">
      <c r="A287" s="5">
        <v>226</v>
      </c>
      <c r="B287" s="138">
        <f>'Assets-Liab 5-6'!N37</f>
        <v>47127617</v>
      </c>
      <c r="C287" s="2" t="s">
        <v>573</v>
      </c>
      <c r="D287" s="2" t="str">
        <f t="shared" si="3"/>
        <v>Error?</v>
      </c>
    </row>
    <row r="288" spans="1:4" x14ac:dyDescent="0.2">
      <c r="A288" s="5">
        <v>227</v>
      </c>
      <c r="B288" s="138">
        <f>'Assets-Liab 5-6'!N41</f>
        <v>47127617</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35506398</v>
      </c>
      <c r="D705" s="2" t="str">
        <f t="shared" si="10"/>
        <v>Error?</v>
      </c>
    </row>
    <row r="706" spans="1:4" x14ac:dyDescent="0.2">
      <c r="A706" s="5">
        <v>645</v>
      </c>
      <c r="B706" s="138">
        <f>'Expenditures 15-22'!C16</f>
        <v>148264</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11417620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231813</v>
      </c>
      <c r="D718" s="2" t="str">
        <f t="shared" si="10"/>
        <v>Error?</v>
      </c>
    </row>
    <row r="719" spans="1:4" x14ac:dyDescent="0.2">
      <c r="A719" s="5">
        <v>658</v>
      </c>
      <c r="B719" s="138">
        <f>'Expenditures 15-22'!C15</f>
        <v>211386</v>
      </c>
      <c r="D719" s="2" t="str">
        <f t="shared" si="10"/>
        <v>Error?</v>
      </c>
    </row>
    <row r="720" spans="1:4" x14ac:dyDescent="0.2">
      <c r="A720" s="5">
        <v>659</v>
      </c>
      <c r="B720" s="138">
        <f>'Expenditures 15-22'!C33</f>
        <v>61396424</v>
      </c>
      <c r="C720" s="2" t="s">
        <v>573</v>
      </c>
      <c r="D720" s="2" t="str">
        <f t="shared" si="10"/>
        <v>Error?</v>
      </c>
    </row>
    <row r="721" spans="1:4" x14ac:dyDescent="0.2">
      <c r="A721" s="5">
        <v>660</v>
      </c>
      <c r="B721" s="138">
        <f>'Expenditures 15-22'!C36</f>
        <v>1898316</v>
      </c>
      <c r="D721" s="2" t="str">
        <f t="shared" si="10"/>
        <v>Error?</v>
      </c>
    </row>
    <row r="722" spans="1:4" x14ac:dyDescent="0.2">
      <c r="A722" s="5">
        <v>661</v>
      </c>
      <c r="B722" s="138">
        <f>'Expenditures 15-22'!C37</f>
        <v>817603</v>
      </c>
      <c r="D722" s="2" t="str">
        <f t="shared" si="10"/>
        <v>Error?</v>
      </c>
    </row>
    <row r="723" spans="1:4" x14ac:dyDescent="0.2">
      <c r="A723" s="5">
        <v>662</v>
      </c>
      <c r="B723" s="138">
        <f>'Expenditures 15-22'!C38</f>
        <v>975612</v>
      </c>
      <c r="D723" s="2" t="str">
        <f t="shared" si="10"/>
        <v>Error?</v>
      </c>
    </row>
    <row r="724" spans="1:4" x14ac:dyDescent="0.2">
      <c r="A724" s="5">
        <v>663</v>
      </c>
      <c r="B724" s="138">
        <f>'Expenditures 15-22'!C39</f>
        <v>678748</v>
      </c>
      <c r="D724" s="2" t="str">
        <f t="shared" si="10"/>
        <v>Error?</v>
      </c>
    </row>
    <row r="725" spans="1:4" x14ac:dyDescent="0.2">
      <c r="A725" s="5">
        <v>664</v>
      </c>
      <c r="B725" s="138">
        <f>'Expenditures 15-22'!C40</f>
        <v>396481</v>
      </c>
      <c r="D725" s="2" t="str">
        <f t="shared" si="10"/>
        <v>Error?</v>
      </c>
    </row>
    <row r="726" spans="1:4" x14ac:dyDescent="0.2">
      <c r="A726" s="5">
        <v>665</v>
      </c>
      <c r="B726" s="138">
        <f>'Expenditures 15-22'!C41</f>
        <v>830583</v>
      </c>
      <c r="D726" s="2" t="str">
        <f t="shared" si="10"/>
        <v>Error?</v>
      </c>
    </row>
    <row r="727" spans="1:4" x14ac:dyDescent="0.2">
      <c r="A727" s="5">
        <v>666</v>
      </c>
      <c r="B727" s="138">
        <f>'Expenditures 15-22'!C42</f>
        <v>5597343</v>
      </c>
      <c r="C727" s="2" t="s">
        <v>573</v>
      </c>
      <c r="D727" s="2" t="str">
        <f t="shared" si="10"/>
        <v>Error?</v>
      </c>
    </row>
    <row r="728" spans="1:4" x14ac:dyDescent="0.2">
      <c r="A728" s="5">
        <v>667</v>
      </c>
      <c r="B728" s="138">
        <f>'Expenditures 15-22'!C44</f>
        <v>2668958</v>
      </c>
      <c r="D728" s="2" t="str">
        <f t="shared" si="10"/>
        <v>Error?</v>
      </c>
    </row>
    <row r="729" spans="1:4" x14ac:dyDescent="0.2">
      <c r="A729" s="5">
        <v>668</v>
      </c>
      <c r="B729" s="138">
        <f>'Expenditures 15-22'!C45</f>
        <v>1342714</v>
      </c>
      <c r="D729" s="2" t="str">
        <f t="shared" si="10"/>
        <v>Error?</v>
      </c>
    </row>
    <row r="730" spans="1:4" x14ac:dyDescent="0.2">
      <c r="A730" s="5">
        <v>669</v>
      </c>
      <c r="B730" s="138">
        <f>'Expenditures 15-22'!C46</f>
        <v>295003</v>
      </c>
      <c r="D730" s="2" t="str">
        <f t="shared" si="10"/>
        <v>Error?</v>
      </c>
    </row>
    <row r="731" spans="1:4" x14ac:dyDescent="0.2">
      <c r="A731" s="5">
        <v>670</v>
      </c>
      <c r="B731" s="138">
        <f>'Expenditures 15-22'!C47</f>
        <v>4306675</v>
      </c>
      <c r="C731" s="2" t="s">
        <v>573</v>
      </c>
      <c r="D731" s="2" t="str">
        <f t="shared" si="10"/>
        <v>Error?</v>
      </c>
    </row>
    <row r="732" spans="1:4" x14ac:dyDescent="0.2">
      <c r="A732" s="5">
        <v>671</v>
      </c>
      <c r="B732" s="138">
        <f>'Expenditures 15-22'!C49</f>
        <v>211641</v>
      </c>
      <c r="D732" s="2" t="str">
        <f t="shared" si="10"/>
        <v>Error?</v>
      </c>
    </row>
    <row r="733" spans="1:4" x14ac:dyDescent="0.2">
      <c r="A733" s="5">
        <v>672</v>
      </c>
      <c r="B733" s="138">
        <f>'Expenditures 15-22'!C50</f>
        <v>901005</v>
      </c>
      <c r="D733" s="2" t="str">
        <f t="shared" si="10"/>
        <v>Error?</v>
      </c>
    </row>
    <row r="734" spans="1:4" x14ac:dyDescent="0.2">
      <c r="A734" s="5">
        <v>673</v>
      </c>
      <c r="B734" s="138">
        <f>'Expenditures 15-22'!C53</f>
        <v>2208955</v>
      </c>
      <c r="C734" s="2" t="s">
        <v>573</v>
      </c>
      <c r="D734" s="2" t="str">
        <f t="shared" si="10"/>
        <v>Error?</v>
      </c>
    </row>
    <row r="735" spans="1:4" x14ac:dyDescent="0.2">
      <c r="A735" s="5">
        <v>674</v>
      </c>
      <c r="B735" s="138">
        <f>'Expenditures 15-22'!C55</f>
        <v>5548610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5548610</v>
      </c>
      <c r="C737" s="2" t="s">
        <v>573</v>
      </c>
      <c r="D737" s="2" t="str">
        <f t="shared" si="10"/>
        <v>Error?</v>
      </c>
    </row>
    <row r="738" spans="1:4" x14ac:dyDescent="0.2">
      <c r="A738" s="5">
        <v>677</v>
      </c>
      <c r="B738" s="138">
        <f>'Expenditures 15-22'!C59</f>
        <v>294533</v>
      </c>
      <c r="D738" s="2" t="str">
        <f t="shared" si="10"/>
        <v>Error?</v>
      </c>
    </row>
    <row r="739" spans="1:4" x14ac:dyDescent="0.2">
      <c r="A739" s="5">
        <v>678</v>
      </c>
      <c r="B739" s="138">
        <f>'Expenditures 15-22'!C60</f>
        <v>354928</v>
      </c>
      <c r="D739" s="2" t="str">
        <f t="shared" si="10"/>
        <v>Error?</v>
      </c>
    </row>
    <row r="740" spans="1:4" x14ac:dyDescent="0.2">
      <c r="A740" s="5">
        <v>679</v>
      </c>
      <c r="B740" s="138">
        <f>'Expenditures 15-22'!C61</f>
        <v>234400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1496496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2380357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728806</v>
      </c>
      <c r="D749" s="2" t="str">
        <f t="shared" si="10"/>
        <v>Error?</v>
      </c>
    </row>
    <row r="750" spans="1:4" x14ac:dyDescent="0.2">
      <c r="A750" s="10">
        <v>689</v>
      </c>
      <c r="D750" s="2" t="str">
        <f t="shared" si="10"/>
        <v>OK</v>
      </c>
    </row>
    <row r="751" spans="1:4" x14ac:dyDescent="0.2">
      <c r="A751" s="5">
        <v>690</v>
      </c>
      <c r="B751" s="138">
        <f>'Expenditures 15-22'!C71</f>
        <v>25385</v>
      </c>
      <c r="D751" s="2" t="str">
        <f t="shared" si="10"/>
        <v>Error?</v>
      </c>
    </row>
    <row r="752" spans="1:4" x14ac:dyDescent="0.2">
      <c r="A752" s="10">
        <v>691</v>
      </c>
      <c r="D752" s="2" t="str">
        <f t="shared" si="10"/>
        <v>OK</v>
      </c>
    </row>
    <row r="753" spans="1:4" x14ac:dyDescent="0.2">
      <c r="A753" s="5">
        <v>692</v>
      </c>
      <c r="B753" s="138">
        <f>'Expenditures 15-22'!C72</f>
        <v>754191</v>
      </c>
      <c r="C753" s="2" t="s">
        <v>573</v>
      </c>
      <c r="D753" s="2" t="str">
        <f t="shared" si="10"/>
        <v>Error?</v>
      </c>
    </row>
    <row r="754" spans="1:4" x14ac:dyDescent="0.2">
      <c r="A754" s="5">
        <v>693</v>
      </c>
      <c r="B754" s="138">
        <f>'Expenditures 15-22'!C73</f>
        <v>47</v>
      </c>
      <c r="D754" s="2" t="str">
        <f t="shared" si="10"/>
        <v>Error?</v>
      </c>
    </row>
    <row r="755" spans="1:4" x14ac:dyDescent="0.2">
      <c r="A755" s="5">
        <v>694</v>
      </c>
      <c r="B755" s="138">
        <f>'Expenditures 15-22'!C74</f>
        <v>20796178</v>
      </c>
      <c r="C755" s="2" t="s">
        <v>573</v>
      </c>
      <c r="D755" s="2" t="str">
        <f t="shared" si="10"/>
        <v>Error?</v>
      </c>
    </row>
    <row r="756" spans="1:4" x14ac:dyDescent="0.2">
      <c r="A756" s="5">
        <v>695</v>
      </c>
      <c r="B756" s="138">
        <f>'Expenditures 15-22'!C75</f>
        <v>353177</v>
      </c>
      <c r="D756" s="2" t="str">
        <f t="shared" si="10"/>
        <v>Error?</v>
      </c>
    </row>
    <row r="757" spans="1:4" x14ac:dyDescent="0.2">
      <c r="A757" s="5">
        <v>696</v>
      </c>
      <c r="B757" s="138">
        <f>'Expenditures 15-22'!C114</f>
        <v>82545779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6920446</v>
      </c>
      <c r="D763" s="2" t="str">
        <f t="shared" si="10"/>
        <v>Error?</v>
      </c>
    </row>
    <row r="764" spans="1:4" x14ac:dyDescent="0.2">
      <c r="A764" s="5">
        <v>703</v>
      </c>
      <c r="B764" s="138">
        <f>'Expenditures 15-22'!D16</f>
        <v>33749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2074182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3337</v>
      </c>
      <c r="D776" s="2" t="str">
        <f t="shared" si="11"/>
        <v>Error?</v>
      </c>
    </row>
    <row r="777" spans="1:4" x14ac:dyDescent="0.2">
      <c r="A777" s="5">
        <v>716</v>
      </c>
      <c r="B777" s="138">
        <f>'Expenditures 15-22'!D15</f>
        <v>2264</v>
      </c>
      <c r="D777" s="2" t="str">
        <f t="shared" si="11"/>
        <v>Error?</v>
      </c>
    </row>
    <row r="778" spans="1:4" x14ac:dyDescent="0.2">
      <c r="A778" s="5">
        <v>717</v>
      </c>
      <c r="B778" s="138">
        <f>'Expenditures 15-22'!D33</f>
        <v>11960576</v>
      </c>
      <c r="C778" s="2" t="s">
        <v>573</v>
      </c>
      <c r="D778" s="2" t="str">
        <f t="shared" si="11"/>
        <v>Error?</v>
      </c>
    </row>
    <row r="779" spans="1:4" x14ac:dyDescent="0.2">
      <c r="A779" s="5">
        <v>718</v>
      </c>
      <c r="B779" s="138">
        <f>'Expenditures 15-22'!D36</f>
        <v>305421</v>
      </c>
      <c r="D779" s="2" t="str">
        <f t="shared" si="11"/>
        <v>Error?</v>
      </c>
    </row>
    <row r="780" spans="1:4" x14ac:dyDescent="0.2">
      <c r="A780" s="5">
        <v>719</v>
      </c>
      <c r="B780" s="138">
        <f>'Expenditures 15-22'!D37</f>
        <v>194915</v>
      </c>
      <c r="D780" s="2" t="str">
        <f t="shared" si="11"/>
        <v>Error?</v>
      </c>
    </row>
    <row r="781" spans="1:4" x14ac:dyDescent="0.2">
      <c r="A781" s="5">
        <v>720</v>
      </c>
      <c r="B781" s="138">
        <f>'Expenditures 15-22'!D38</f>
        <v>168902</v>
      </c>
      <c r="D781" s="2" t="str">
        <f t="shared" si="11"/>
        <v>Error?</v>
      </c>
    </row>
    <row r="782" spans="1:4" x14ac:dyDescent="0.2">
      <c r="A782" s="5">
        <v>721</v>
      </c>
      <c r="B782" s="138">
        <f>'Expenditures 15-22'!D39</f>
        <v>157514</v>
      </c>
      <c r="D782" s="2" t="str">
        <f t="shared" si="11"/>
        <v>Error?</v>
      </c>
    </row>
    <row r="783" spans="1:4" x14ac:dyDescent="0.2">
      <c r="A783" s="5">
        <v>722</v>
      </c>
      <c r="B783" s="138">
        <f>'Expenditures 15-22'!D40</f>
        <v>65480</v>
      </c>
      <c r="D783" s="2" t="str">
        <f t="shared" si="11"/>
        <v>Error?</v>
      </c>
    </row>
    <row r="784" spans="1:4" x14ac:dyDescent="0.2">
      <c r="A784" s="5">
        <v>723</v>
      </c>
      <c r="B784" s="138">
        <f>'Expenditures 15-22'!D41</f>
        <v>93641</v>
      </c>
      <c r="D784" s="2" t="str">
        <f t="shared" si="11"/>
        <v>Error?</v>
      </c>
    </row>
    <row r="785" spans="1:4" x14ac:dyDescent="0.2">
      <c r="A785" s="5">
        <v>724</v>
      </c>
      <c r="B785" s="138">
        <f>'Expenditures 15-22'!D42</f>
        <v>985873</v>
      </c>
      <c r="C785" s="2" t="s">
        <v>573</v>
      </c>
      <c r="D785" s="2" t="str">
        <f t="shared" si="11"/>
        <v>Error?</v>
      </c>
    </row>
    <row r="786" spans="1:4" x14ac:dyDescent="0.2">
      <c r="A786" s="5">
        <v>725</v>
      </c>
      <c r="B786" s="138">
        <f>'Expenditures 15-22'!D44</f>
        <v>565490</v>
      </c>
      <c r="D786" s="2" t="str">
        <f t="shared" si="11"/>
        <v>Error?</v>
      </c>
    </row>
    <row r="787" spans="1:4" x14ac:dyDescent="0.2">
      <c r="A787" s="5">
        <v>726</v>
      </c>
      <c r="B787" s="138">
        <f>'Expenditures 15-22'!D45</f>
        <v>265785</v>
      </c>
      <c r="D787" s="2" t="str">
        <f t="shared" si="11"/>
        <v>Error?</v>
      </c>
    </row>
    <row r="788" spans="1:4" x14ac:dyDescent="0.2">
      <c r="A788" s="5">
        <v>727</v>
      </c>
      <c r="B788" s="138">
        <f>'Expenditures 15-22'!D46</f>
        <v>54837</v>
      </c>
      <c r="D788" s="2" t="str">
        <f t="shared" si="11"/>
        <v>Error?</v>
      </c>
    </row>
    <row r="789" spans="1:4" x14ac:dyDescent="0.2">
      <c r="A789" s="5">
        <v>728</v>
      </c>
      <c r="B789" s="138">
        <f>'Expenditures 15-22'!D47</f>
        <v>886112</v>
      </c>
      <c r="C789" s="2" t="s">
        <v>573</v>
      </c>
      <c r="D789" s="2" t="str">
        <f t="shared" si="11"/>
        <v>Error?</v>
      </c>
    </row>
    <row r="790" spans="1:4" x14ac:dyDescent="0.2">
      <c r="A790" s="5">
        <v>729</v>
      </c>
      <c r="B790" s="138">
        <f>'Expenditures 15-22'!D49</f>
        <v>322348</v>
      </c>
      <c r="D790" s="2" t="str">
        <f t="shared" si="11"/>
        <v>Error?</v>
      </c>
    </row>
    <row r="791" spans="1:4" x14ac:dyDescent="0.2">
      <c r="A791" s="5">
        <v>730</v>
      </c>
      <c r="B791" s="138">
        <f>'Expenditures 15-22'!D50</f>
        <v>201816</v>
      </c>
      <c r="D791" s="2" t="str">
        <f t="shared" si="11"/>
        <v>Error?</v>
      </c>
    </row>
    <row r="792" spans="1:4" x14ac:dyDescent="0.2">
      <c r="A792" s="5">
        <v>731</v>
      </c>
      <c r="B792" s="138">
        <f>'Expenditures 15-22'!D53</f>
        <v>800150</v>
      </c>
      <c r="C792" s="2" t="s">
        <v>573</v>
      </c>
      <c r="D792" s="2" t="str">
        <f t="shared" si="11"/>
        <v>Error?</v>
      </c>
    </row>
    <row r="793" spans="1:4" x14ac:dyDescent="0.2">
      <c r="A793" s="5">
        <v>732</v>
      </c>
      <c r="B793" s="138">
        <f>'Expenditures 15-22'!D55</f>
        <v>1367803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1367803</v>
      </c>
      <c r="C795" s="2" t="s">
        <v>573</v>
      </c>
      <c r="D795" s="2" t="str">
        <f t="shared" si="11"/>
        <v>Error?</v>
      </c>
    </row>
    <row r="796" spans="1:4" x14ac:dyDescent="0.2">
      <c r="A796" s="5">
        <v>735</v>
      </c>
      <c r="B796" s="138">
        <f>'Expenditures 15-22'!D59</f>
        <v>71464</v>
      </c>
      <c r="D796" s="2" t="str">
        <f t="shared" si="11"/>
        <v>Error?</v>
      </c>
    </row>
    <row r="797" spans="1:4" x14ac:dyDescent="0.2">
      <c r="A797" s="5">
        <v>736</v>
      </c>
      <c r="B797" s="138">
        <f>'Expenditures 15-22'!D60</f>
        <v>68727</v>
      </c>
      <c r="D797" s="2" t="str">
        <f t="shared" si="11"/>
        <v>Error?</v>
      </c>
    </row>
    <row r="798" spans="1:4" x14ac:dyDescent="0.2">
      <c r="A798" s="5">
        <v>737</v>
      </c>
      <c r="B798" s="138">
        <f>'Expenditures 15-22'!D61</f>
        <v>6751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34259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181201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102719</v>
      </c>
      <c r="D807" s="2" t="str">
        <f t="shared" si="11"/>
        <v>Error?</v>
      </c>
    </row>
    <row r="808" spans="1:4" x14ac:dyDescent="0.2">
      <c r="A808" s="10">
        <v>747</v>
      </c>
      <c r="D808" s="2" t="str">
        <f t="shared" si="11"/>
        <v>OK</v>
      </c>
    </row>
    <row r="809" spans="1:4" x14ac:dyDescent="0.2">
      <c r="A809" s="5">
        <v>748</v>
      </c>
      <c r="B809" s="138">
        <f>'Expenditures 15-22'!D71</f>
        <v>36000</v>
      </c>
      <c r="D809" s="2" t="str">
        <f t="shared" si="11"/>
        <v>Error?</v>
      </c>
    </row>
    <row r="810" spans="1:4" x14ac:dyDescent="0.2">
      <c r="A810" s="10">
        <v>749</v>
      </c>
      <c r="D810" s="2" t="str">
        <f t="shared" si="11"/>
        <v>OK</v>
      </c>
    </row>
    <row r="811" spans="1:4" x14ac:dyDescent="0.2">
      <c r="A811" s="5">
        <v>750</v>
      </c>
      <c r="B811" s="138">
        <f>'Expenditures 15-22'!D72</f>
        <v>138719</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4359858</v>
      </c>
      <c r="C813" s="2" t="s">
        <v>573</v>
      </c>
      <c r="D813" s="2" t="str">
        <f t="shared" si="11"/>
        <v>Error?</v>
      </c>
    </row>
    <row r="814" spans="1:4" x14ac:dyDescent="0.2">
      <c r="A814" s="5">
        <v>753</v>
      </c>
      <c r="B814" s="138">
        <f>'Expenditures 15-22'!D75</f>
        <v>60329</v>
      </c>
      <c r="D814" s="2" t="str">
        <f t="shared" si="11"/>
        <v>Error?</v>
      </c>
    </row>
    <row r="815" spans="1:4" x14ac:dyDescent="0.2">
      <c r="A815" s="5">
        <v>754</v>
      </c>
      <c r="B815" s="138">
        <f>'Expenditures 15-22'!D114</f>
        <v>16380763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27948</v>
      </c>
      <c r="D821" s="2" t="str">
        <f t="shared" si="11"/>
        <v>Error?</v>
      </c>
    </row>
    <row r="822" spans="1:4" x14ac:dyDescent="0.2">
      <c r="A822" s="5">
        <v>761</v>
      </c>
      <c r="B822" s="138">
        <f>'Expenditures 15-22'!E16</f>
        <v>11443</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5556</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7718</v>
      </c>
      <c r="D834" s="2" t="str">
        <f t="shared" si="12"/>
        <v>Error?</v>
      </c>
    </row>
    <row r="835" spans="1:4" x14ac:dyDescent="0.2">
      <c r="A835" s="5">
        <v>774</v>
      </c>
      <c r="B835" s="138">
        <f>'Expenditures 15-22'!E15</f>
        <v>119634</v>
      </c>
      <c r="D835" s="2" t="str">
        <f t="shared" si="12"/>
        <v>Error?</v>
      </c>
    </row>
    <row r="836" spans="1:4" x14ac:dyDescent="0.2">
      <c r="A836" s="5">
        <v>775</v>
      </c>
      <c r="B836" s="138">
        <f>'Expenditures 15-22'!E33</f>
        <v>967165</v>
      </c>
      <c r="C836" s="2" t="s">
        <v>573</v>
      </c>
      <c r="D836" s="2" t="str">
        <f t="shared" si="12"/>
        <v>Error?</v>
      </c>
    </row>
    <row r="837" spans="1:4" x14ac:dyDescent="0.2">
      <c r="A837" s="5">
        <v>776</v>
      </c>
      <c r="B837" s="138">
        <f>'Expenditures 15-22'!E36</f>
        <v>926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263875</v>
      </c>
      <c r="D839" s="2" t="str">
        <f t="shared" si="12"/>
        <v>Error?</v>
      </c>
    </row>
    <row r="840" spans="1:4" x14ac:dyDescent="0.2">
      <c r="A840" s="5">
        <v>779</v>
      </c>
      <c r="B840" s="138">
        <f>'Expenditures 15-22'!E39</f>
        <v>233968</v>
      </c>
      <c r="D840" s="2" t="str">
        <f t="shared" si="12"/>
        <v>Error?</v>
      </c>
    </row>
    <row r="841" spans="1:4" x14ac:dyDescent="0.2">
      <c r="A841" s="5">
        <v>780</v>
      </c>
      <c r="B841" s="138">
        <f>'Expenditures 15-22'!E40</f>
        <v>2684902</v>
      </c>
      <c r="D841" s="2" t="str">
        <f t="shared" si="12"/>
        <v>Error?</v>
      </c>
    </row>
    <row r="842" spans="1:4" x14ac:dyDescent="0.2">
      <c r="A842" s="5">
        <v>781</v>
      </c>
      <c r="B842" s="138">
        <f>'Expenditures 15-22'!E41</f>
        <v>1912030</v>
      </c>
      <c r="D842" s="2" t="str">
        <f t="shared" si="12"/>
        <v>Error?</v>
      </c>
    </row>
    <row r="843" spans="1:4" x14ac:dyDescent="0.2">
      <c r="A843" s="5">
        <v>782</v>
      </c>
      <c r="B843" s="138">
        <f>'Expenditures 15-22'!E42</f>
        <v>5095701</v>
      </c>
      <c r="C843" s="2" t="s">
        <v>573</v>
      </c>
      <c r="D843" s="2" t="str">
        <f t="shared" si="12"/>
        <v>Error?</v>
      </c>
    </row>
    <row r="844" spans="1:4" x14ac:dyDescent="0.2">
      <c r="A844" s="5">
        <v>783</v>
      </c>
      <c r="B844" s="138">
        <f>'Expenditures 15-22'!E44</f>
        <v>633380</v>
      </c>
      <c r="D844" s="2" t="str">
        <f t="shared" si="12"/>
        <v>Error?</v>
      </c>
    </row>
    <row r="845" spans="1:4" x14ac:dyDescent="0.2">
      <c r="A845" s="5">
        <v>784</v>
      </c>
      <c r="B845" s="138">
        <f>'Expenditures 15-22'!E45</f>
        <v>2530877</v>
      </c>
      <c r="D845" s="2" t="str">
        <f t="shared" si="12"/>
        <v>Error?</v>
      </c>
    </row>
    <row r="846" spans="1:4" x14ac:dyDescent="0.2">
      <c r="A846" s="5">
        <v>785</v>
      </c>
      <c r="B846" s="138">
        <f>'Expenditures 15-22'!E46</f>
        <v>728086</v>
      </c>
      <c r="D846" s="2" t="str">
        <f t="shared" si="12"/>
        <v>Error?</v>
      </c>
    </row>
    <row r="847" spans="1:4" x14ac:dyDescent="0.2">
      <c r="A847" s="5">
        <v>786</v>
      </c>
      <c r="B847" s="138">
        <f>'Expenditures 15-22'!E47</f>
        <v>3892343</v>
      </c>
      <c r="C847" s="2" t="s">
        <v>573</v>
      </c>
      <c r="D847" s="2" t="str">
        <f t="shared" si="12"/>
        <v>Error?</v>
      </c>
    </row>
    <row r="848" spans="1:4" x14ac:dyDescent="0.2">
      <c r="A848" s="5">
        <v>787</v>
      </c>
      <c r="B848" s="138">
        <f>'Expenditures 15-22'!E49</f>
        <v>616742</v>
      </c>
      <c r="D848" s="2" t="str">
        <f t="shared" si="12"/>
        <v>Error?</v>
      </c>
    </row>
    <row r="849" spans="1:4" x14ac:dyDescent="0.2">
      <c r="A849" s="5">
        <v>788</v>
      </c>
      <c r="B849" s="138">
        <f>'Expenditures 15-22'!E50</f>
        <v>24151</v>
      </c>
      <c r="D849" s="2" t="str">
        <f t="shared" si="12"/>
        <v>Error?</v>
      </c>
    </row>
    <row r="850" spans="1:4" x14ac:dyDescent="0.2">
      <c r="A850" s="5">
        <v>789</v>
      </c>
      <c r="B850" s="138">
        <f>'Expenditures 15-22'!E53</f>
        <v>641983</v>
      </c>
      <c r="C850" s="2" t="s">
        <v>573</v>
      </c>
      <c r="D850" s="2" t="str">
        <f t="shared" si="12"/>
        <v>Error?</v>
      </c>
    </row>
    <row r="851" spans="1:4" x14ac:dyDescent="0.2">
      <c r="A851" s="5">
        <v>790</v>
      </c>
      <c r="B851" s="138">
        <f>'Expenditures 15-22'!E55</f>
        <v>103337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103337</v>
      </c>
      <c r="C853" s="2" t="s">
        <v>573</v>
      </c>
      <c r="D853" s="2" t="str">
        <f t="shared" si="12"/>
        <v>Error?</v>
      </c>
    </row>
    <row r="854" spans="1:4" x14ac:dyDescent="0.2">
      <c r="A854" s="5">
        <v>793</v>
      </c>
      <c r="B854" s="138">
        <f>'Expenditures 15-22'!E59</f>
        <v>21110</v>
      </c>
      <c r="D854" s="2" t="str">
        <f t="shared" si="12"/>
        <v>Error?</v>
      </c>
    </row>
    <row r="855" spans="1:4" x14ac:dyDescent="0.2">
      <c r="A855" s="5">
        <v>794</v>
      </c>
      <c r="B855" s="138">
        <f>'Expenditures 15-22'!E60</f>
        <v>410087</v>
      </c>
      <c r="D855" s="2" t="str">
        <f t="shared" si="12"/>
        <v>Error?</v>
      </c>
    </row>
    <row r="856" spans="1:4" x14ac:dyDescent="0.2">
      <c r="A856" s="5">
        <v>795</v>
      </c>
      <c r="B856" s="138">
        <f>'Expenditures 15-22'!E61</f>
        <v>342142</v>
      </c>
      <c r="D856" s="2" t="str">
        <f t="shared" si="12"/>
        <v>Error?</v>
      </c>
    </row>
    <row r="857" spans="1:4" x14ac:dyDescent="0.2">
      <c r="A857" s="5">
        <v>796</v>
      </c>
      <c r="B857" s="138">
        <f>'Expenditures 15-22'!E62</f>
        <v>37495</v>
      </c>
      <c r="D857" s="2" t="str">
        <f t="shared" si="12"/>
        <v>Error?</v>
      </c>
    </row>
    <row r="858" spans="1:4" x14ac:dyDescent="0.2">
      <c r="A858" s="5">
        <v>797</v>
      </c>
      <c r="B858" s="138">
        <f>'Expenditures 15-22'!E63</f>
        <v>92676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903510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85600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251589</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337189</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10974063</v>
      </c>
      <c r="C871" s="2" t="s">
        <v>573</v>
      </c>
      <c r="D871" s="2" t="str">
        <f t="shared" si="12"/>
        <v>Error?</v>
      </c>
    </row>
    <row r="872" spans="1:4" x14ac:dyDescent="0.2">
      <c r="A872" s="5">
        <v>811</v>
      </c>
      <c r="B872" s="138">
        <f>'Expenditures 15-22'!E75</f>
        <v>144482</v>
      </c>
      <c r="D872" s="2" t="str">
        <f t="shared" si="12"/>
        <v>Error?</v>
      </c>
    </row>
    <row r="873" spans="1:4" x14ac:dyDescent="0.2">
      <c r="A873" s="5">
        <v>812</v>
      </c>
      <c r="B873" s="138">
        <f>'Expenditures 15-22'!E114</f>
        <v>12467092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746000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452288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34374</v>
      </c>
      <c r="D892" s="2" t="str">
        <f t="shared" si="12"/>
        <v>Error?</v>
      </c>
    </row>
    <row r="893" spans="1:4" x14ac:dyDescent="0.2">
      <c r="A893" s="5">
        <v>832</v>
      </c>
      <c r="B893" s="138">
        <f>'Expenditures 15-22'!F15</f>
        <v>3790</v>
      </c>
      <c r="D893" s="2" t="str">
        <f t="shared" si="12"/>
        <v>Error?</v>
      </c>
    </row>
    <row r="894" spans="1:4" x14ac:dyDescent="0.2">
      <c r="A894" s="5">
        <v>833</v>
      </c>
      <c r="B894" s="138">
        <f>'Expenditures 15-22'!F33</f>
        <v>2526199</v>
      </c>
      <c r="C894" s="2" t="s">
        <v>573</v>
      </c>
      <c r="D894" s="2" t="str">
        <f t="shared" si="12"/>
        <v>Error?</v>
      </c>
    </row>
    <row r="895" spans="1:4" x14ac:dyDescent="0.2">
      <c r="A895" s="5">
        <v>834</v>
      </c>
      <c r="B895" s="138">
        <f>'Expenditures 15-22'!F36</f>
        <v>29337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16011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92</v>
      </c>
      <c r="D899" s="2" t="str">
        <f t="shared" si="13"/>
        <v>Error?</v>
      </c>
    </row>
    <row r="900" spans="1:4" x14ac:dyDescent="0.2">
      <c r="A900" s="5">
        <v>839</v>
      </c>
      <c r="B900" s="138">
        <f>'Expenditures 15-22'!F41</f>
        <v>13143</v>
      </c>
      <c r="D900" s="2" t="str">
        <f t="shared" si="13"/>
        <v>Error?</v>
      </c>
    </row>
    <row r="901" spans="1:4" x14ac:dyDescent="0.2">
      <c r="A901" s="5">
        <v>840</v>
      </c>
      <c r="B901" s="138">
        <f>'Expenditures 15-22'!F42</f>
        <v>58583</v>
      </c>
      <c r="C901" s="2" t="s">
        <v>573</v>
      </c>
      <c r="D901" s="2" t="str">
        <f t="shared" si="13"/>
        <v>Error?</v>
      </c>
    </row>
    <row r="902" spans="1:4" x14ac:dyDescent="0.2">
      <c r="A902" s="5">
        <v>841</v>
      </c>
      <c r="B902" s="138">
        <f>'Expenditures 15-22'!F44</f>
        <v>84214</v>
      </c>
      <c r="D902" s="2" t="str">
        <f t="shared" si="13"/>
        <v>Error?</v>
      </c>
    </row>
    <row r="903" spans="1:4" x14ac:dyDescent="0.2">
      <c r="A903" s="5">
        <v>842</v>
      </c>
      <c r="B903" s="138">
        <f>'Expenditures 15-22'!F45</f>
        <v>601640</v>
      </c>
      <c r="D903" s="2" t="str">
        <f t="shared" si="13"/>
        <v>Error?</v>
      </c>
    </row>
    <row r="904" spans="1:4" x14ac:dyDescent="0.2">
      <c r="A904" s="5">
        <v>843</v>
      </c>
      <c r="B904" s="138">
        <f>'Expenditures 15-22'!F46</f>
        <v>39120</v>
      </c>
      <c r="D904" s="2" t="str">
        <f t="shared" si="13"/>
        <v>Error?</v>
      </c>
    </row>
    <row r="905" spans="1:4" x14ac:dyDescent="0.2">
      <c r="A905" s="5">
        <v>844</v>
      </c>
      <c r="B905" s="138">
        <f>'Expenditures 15-22'!F47</f>
        <v>724974</v>
      </c>
      <c r="C905" s="2" t="s">
        <v>573</v>
      </c>
      <c r="D905" s="2" t="str">
        <f t="shared" si="13"/>
        <v>Error?</v>
      </c>
    </row>
    <row r="906" spans="1:4" x14ac:dyDescent="0.2">
      <c r="A906" s="5">
        <v>845</v>
      </c>
      <c r="B906" s="138">
        <f>'Expenditures 15-22'!F49</f>
        <v>15297</v>
      </c>
      <c r="D906" s="2" t="str">
        <f t="shared" si="13"/>
        <v>Error?</v>
      </c>
    </row>
    <row r="907" spans="1:4" x14ac:dyDescent="0.2">
      <c r="A907" s="5">
        <v>846</v>
      </c>
      <c r="B907" s="138">
        <f>'Expenditures 15-22'!F50</f>
        <v>1795</v>
      </c>
      <c r="D907" s="2" t="str">
        <f t="shared" si="13"/>
        <v>Error?</v>
      </c>
    </row>
    <row r="908" spans="1:4" x14ac:dyDescent="0.2">
      <c r="A908" s="5">
        <v>847</v>
      </c>
      <c r="B908" s="138">
        <f>'Expenditures 15-22'!F53</f>
        <v>43355</v>
      </c>
      <c r="C908" s="2" t="s">
        <v>573</v>
      </c>
      <c r="D908" s="2" t="str">
        <f t="shared" si="13"/>
        <v>Error?</v>
      </c>
    </row>
    <row r="909" spans="1:4" x14ac:dyDescent="0.2">
      <c r="A909" s="5">
        <v>848</v>
      </c>
      <c r="B909" s="138">
        <f>'Expenditures 15-22'!F55</f>
        <v>196536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196536</v>
      </c>
      <c r="C911" s="2" t="s">
        <v>573</v>
      </c>
      <c r="D911" s="2" t="str">
        <f t="shared" si="13"/>
        <v>Error?</v>
      </c>
    </row>
    <row r="912" spans="1:4" x14ac:dyDescent="0.2">
      <c r="A912" s="5">
        <v>851</v>
      </c>
      <c r="B912" s="138">
        <f>'Expenditures 15-22'!F59</f>
        <v>1490</v>
      </c>
      <c r="D912" s="2" t="str">
        <f t="shared" si="13"/>
        <v>Error?</v>
      </c>
    </row>
    <row r="913" spans="1:4" x14ac:dyDescent="0.2">
      <c r="A913" s="5">
        <v>852</v>
      </c>
      <c r="B913" s="138">
        <f>'Expenditures 15-22'!F60</f>
        <v>1866</v>
      </c>
      <c r="D913" s="2" t="str">
        <f t="shared" si="13"/>
        <v>Error?</v>
      </c>
    </row>
    <row r="914" spans="1:4" x14ac:dyDescent="0.2">
      <c r="A914" s="5">
        <v>853</v>
      </c>
      <c r="B914" s="138">
        <f>'Expenditures 15-22'!F61</f>
        <v>107546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3612204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3723106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5588</v>
      </c>
      <c r="D922" s="2" t="str">
        <f t="shared" si="13"/>
        <v>Error?</v>
      </c>
    </row>
    <row r="923" spans="1:4" x14ac:dyDescent="0.2">
      <c r="A923" s="5">
        <v>862</v>
      </c>
      <c r="B923" s="138">
        <f>'Expenditures 15-22'!F70</f>
        <v>8069</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13657</v>
      </c>
      <c r="C927" s="2" t="s">
        <v>573</v>
      </c>
      <c r="D927" s="2" t="str">
        <f t="shared" si="13"/>
        <v>Error?</v>
      </c>
    </row>
    <row r="928" spans="1:4" x14ac:dyDescent="0.2">
      <c r="A928" s="5">
        <v>867</v>
      </c>
      <c r="B928" s="138">
        <f>'Expenditures 15-22'!F73</f>
        <v>3222</v>
      </c>
      <c r="D928" s="2" t="str">
        <f t="shared" si="13"/>
        <v>Error?</v>
      </c>
    </row>
    <row r="929" spans="1:4" x14ac:dyDescent="0.2">
      <c r="A929" s="5">
        <v>868</v>
      </c>
      <c r="B929" s="138">
        <f>'Expenditures 15-22'!F74</f>
        <v>4763433</v>
      </c>
      <c r="C929" s="2" t="s">
        <v>573</v>
      </c>
      <c r="D929" s="2" t="str">
        <f t="shared" si="13"/>
        <v>Error?</v>
      </c>
    </row>
    <row r="930" spans="1:4" x14ac:dyDescent="0.2">
      <c r="A930" s="5">
        <v>869</v>
      </c>
      <c r="B930" s="138">
        <f>'Expenditures 15-22'!F75</f>
        <v>360739</v>
      </c>
      <c r="D930" s="2" t="str">
        <f t="shared" si="13"/>
        <v>Error?</v>
      </c>
    </row>
    <row r="931" spans="1:4" x14ac:dyDescent="0.2">
      <c r="A931" s="5">
        <v>870</v>
      </c>
      <c r="B931" s="138">
        <f>'Expenditures 15-22'!F114</f>
        <v>7650371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12594</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12594</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256013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256013</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91483</v>
      </c>
      <c r="D986" s="2" t="str">
        <f t="shared" si="14"/>
        <v>Error?</v>
      </c>
    </row>
    <row r="987" spans="1:4" x14ac:dyDescent="0.2">
      <c r="A987" s="5">
        <v>926</v>
      </c>
      <c r="B987" s="138">
        <f>'Expenditures 15-22'!G74</f>
        <v>360090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360090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9568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2222933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19232</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19232</v>
      </c>
      <c r="C1021" s="2" t="s">
        <v>573</v>
      </c>
      <c r="D1021" s="2" t="str">
        <f t="shared" si="14"/>
        <v>Error?</v>
      </c>
    </row>
    <row r="1022" spans="1:4" x14ac:dyDescent="0.2">
      <c r="A1022" s="5">
        <v>961</v>
      </c>
      <c r="B1022" s="138">
        <f>'Expenditures 15-22'!H49</f>
        <v>62500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62500</v>
      </c>
      <c r="C1024" s="2" t="s">
        <v>573</v>
      </c>
      <c r="D1024" s="2" t="str">
        <f t="shared" si="15"/>
        <v>Error?</v>
      </c>
    </row>
    <row r="1025" spans="1:4" x14ac:dyDescent="0.2">
      <c r="A1025" s="5">
        <v>964</v>
      </c>
      <c r="B1025" s="138">
        <f>'Expenditures 15-22'!H55</f>
        <v>3050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3050</v>
      </c>
      <c r="C1027" s="2" t="s">
        <v>573</v>
      </c>
      <c r="D1027" s="2" t="str">
        <f t="shared" si="15"/>
        <v>Error?</v>
      </c>
    </row>
    <row r="1028" spans="1:4" x14ac:dyDescent="0.2">
      <c r="A1028" s="5">
        <v>967</v>
      </c>
      <c r="B1028" s="138">
        <f>'Expenditures 15-22'!H59</f>
        <v>1285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1285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9913</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9913</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95980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157696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2476609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43240192</v>
      </c>
      <c r="C1093" s="2" t="s">
        <v>573</v>
      </c>
      <c r="D1093" s="2" t="str">
        <f t="shared" si="16"/>
        <v>Error?</v>
      </c>
    </row>
    <row r="1094" spans="1:4" x14ac:dyDescent="0.2">
      <c r="A1094" s="5">
        <v>1033</v>
      </c>
      <c r="B1094" s="138">
        <f>'Expenditures 15-22'!K16</f>
        <v>193456</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13949646</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286810</v>
      </c>
      <c r="C1106" s="2" t="s">
        <v>573</v>
      </c>
      <c r="D1106" s="2" t="str">
        <f t="shared" si="16"/>
        <v>Error?</v>
      </c>
    </row>
    <row r="1107" spans="1:4" x14ac:dyDescent="0.2">
      <c r="A1107" s="5">
        <v>1046</v>
      </c>
      <c r="B1107" s="138">
        <f>'Expenditures 15-22'!K15</f>
        <v>337074</v>
      </c>
      <c r="C1107" s="2" t="s">
        <v>573</v>
      </c>
      <c r="D1107" s="2" t="str">
        <f t="shared" si="16"/>
        <v>Error?</v>
      </c>
    </row>
    <row r="1108" spans="1:4" x14ac:dyDescent="0.2">
      <c r="A1108" s="5">
        <v>1047</v>
      </c>
      <c r="B1108" s="138">
        <f>'Expenditures 15-22'!K33</f>
        <v>79971733</v>
      </c>
      <c r="C1108" s="2" t="s">
        <v>573</v>
      </c>
      <c r="D1108" s="2" t="str">
        <f t="shared" si="16"/>
        <v>Error?</v>
      </c>
    </row>
    <row r="1109" spans="1:4" x14ac:dyDescent="0.2">
      <c r="A1109" s="5">
        <v>1048</v>
      </c>
      <c r="B1109" s="138">
        <f>'Expenditures 15-22'!K36</f>
        <v>2234000</v>
      </c>
      <c r="C1109" s="2" t="s">
        <v>573</v>
      </c>
      <c r="D1109" s="2" t="str">
        <f t="shared" si="16"/>
        <v>Error?</v>
      </c>
    </row>
    <row r="1110" spans="1:4" x14ac:dyDescent="0.2">
      <c r="A1110" s="5">
        <v>1049</v>
      </c>
      <c r="B1110" s="138">
        <f>'Expenditures 15-22'!K37</f>
        <v>1012518</v>
      </c>
      <c r="C1110" s="2" t="s">
        <v>573</v>
      </c>
      <c r="D1110" s="2" t="str">
        <f t="shared" si="16"/>
        <v>Error?</v>
      </c>
    </row>
    <row r="1111" spans="1:4" x14ac:dyDescent="0.2">
      <c r="A1111" s="5">
        <v>1050</v>
      </c>
      <c r="B1111" s="138">
        <f>'Expenditures 15-22'!K38</f>
        <v>1437444</v>
      </c>
      <c r="C1111" s="2" t="s">
        <v>573</v>
      </c>
      <c r="D1111" s="2" t="str">
        <f t="shared" si="16"/>
        <v>Error?</v>
      </c>
    </row>
    <row r="1112" spans="1:4" x14ac:dyDescent="0.2">
      <c r="A1112" s="5">
        <v>1051</v>
      </c>
      <c r="B1112" s="138">
        <f>'Expenditures 15-22'!K39</f>
        <v>1070230</v>
      </c>
      <c r="C1112" s="2" t="s">
        <v>573</v>
      </c>
      <c r="D1112" s="2" t="str">
        <f t="shared" si="16"/>
        <v>Error?</v>
      </c>
    </row>
    <row r="1113" spans="1:4" x14ac:dyDescent="0.2">
      <c r="A1113" s="5">
        <v>1052</v>
      </c>
      <c r="B1113" s="138">
        <f>'Expenditures 15-22'!K40</f>
        <v>3146955</v>
      </c>
      <c r="C1113" s="2" t="s">
        <v>573</v>
      </c>
      <c r="D1113" s="2" t="str">
        <f t="shared" si="16"/>
        <v>Error?</v>
      </c>
    </row>
    <row r="1114" spans="1:4" x14ac:dyDescent="0.2">
      <c r="A1114" s="5">
        <v>1053</v>
      </c>
      <c r="B1114" s="138">
        <f>'Expenditures 15-22'!K41</f>
        <v>2849397</v>
      </c>
      <c r="C1114" s="2" t="s">
        <v>573</v>
      </c>
      <c r="D1114" s="2" t="str">
        <f t="shared" si="16"/>
        <v>Error?</v>
      </c>
    </row>
    <row r="1115" spans="1:4" x14ac:dyDescent="0.2">
      <c r="A1115" s="5">
        <v>1054</v>
      </c>
      <c r="B1115" s="138">
        <f>'Expenditures 15-22'!K42</f>
        <v>11750544</v>
      </c>
      <c r="C1115" s="2" t="s">
        <v>573</v>
      </c>
      <c r="D1115" s="2" t="str">
        <f t="shared" si="16"/>
        <v>Error?</v>
      </c>
    </row>
    <row r="1116" spans="1:4" x14ac:dyDescent="0.2">
      <c r="A1116" s="5">
        <v>1055</v>
      </c>
      <c r="B1116" s="138">
        <f>'Expenditures 15-22'!K44</f>
        <v>4082272</v>
      </c>
      <c r="C1116" s="2" t="s">
        <v>573</v>
      </c>
      <c r="D1116" s="2" t="str">
        <f t="shared" si="16"/>
        <v>Error?</v>
      </c>
    </row>
    <row r="1117" spans="1:4" x14ac:dyDescent="0.2">
      <c r="A1117" s="5">
        <v>1056</v>
      </c>
      <c r="B1117" s="138">
        <f>'Expenditures 15-22'!K45</f>
        <v>5438344</v>
      </c>
      <c r="C1117" s="2" t="s">
        <v>573</v>
      </c>
      <c r="D1117" s="2" t="str">
        <f t="shared" si="16"/>
        <v>Error?</v>
      </c>
    </row>
    <row r="1118" spans="1:4" x14ac:dyDescent="0.2">
      <c r="A1118" s="5">
        <v>1057</v>
      </c>
      <c r="B1118" s="138">
        <f>'Expenditures 15-22'!K46</f>
        <v>1117046</v>
      </c>
      <c r="C1118" s="2" t="s">
        <v>573</v>
      </c>
      <c r="D1118" s="2" t="str">
        <f t="shared" si="16"/>
        <v>Error?</v>
      </c>
    </row>
    <row r="1119" spans="1:4" x14ac:dyDescent="0.2">
      <c r="A1119" s="5">
        <v>1058</v>
      </c>
      <c r="B1119" s="138">
        <f>'Expenditures 15-22'!K47</f>
        <v>10637662</v>
      </c>
      <c r="C1119" s="2" t="s">
        <v>573</v>
      </c>
      <c r="D1119" s="2" t="str">
        <f t="shared" si="16"/>
        <v>Error?</v>
      </c>
    </row>
    <row r="1120" spans="1:4" x14ac:dyDescent="0.2">
      <c r="A1120" s="5">
        <v>1059</v>
      </c>
      <c r="B1120" s="138">
        <f>'Expenditures 15-22'!K49</f>
        <v>1278339</v>
      </c>
      <c r="C1120" s="2" t="s">
        <v>573</v>
      </c>
      <c r="D1120" s="2" t="str">
        <f t="shared" si="16"/>
        <v>Error?</v>
      </c>
    </row>
    <row r="1121" spans="1:4" x14ac:dyDescent="0.2">
      <c r="A1121" s="5">
        <v>1060</v>
      </c>
      <c r="B1121" s="138">
        <f>'Expenditures 15-22'!K50</f>
        <v>1128767</v>
      </c>
      <c r="C1121" s="2" t="s">
        <v>573</v>
      </c>
      <c r="D1121" s="2" t="str">
        <f t="shared" si="16"/>
        <v>Error?</v>
      </c>
    </row>
    <row r="1122" spans="1:4" x14ac:dyDescent="0.2">
      <c r="A1122" s="5">
        <v>1061</v>
      </c>
      <c r="B1122" s="138">
        <f>'Expenditures 15-22'!K53</f>
        <v>3806754</v>
      </c>
      <c r="C1122" s="2" t="s">
        <v>573</v>
      </c>
      <c r="D1122" s="2" t="str">
        <f t="shared" si="16"/>
        <v>Error?</v>
      </c>
    </row>
    <row r="1123" spans="1:4" x14ac:dyDescent="0.2">
      <c r="A1123" s="5">
        <v>1062</v>
      </c>
      <c r="B1123" s="138">
        <f>'Expenditures 15-22'!K55</f>
        <v>7219336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7219336</v>
      </c>
      <c r="C1125" s="2" t="s">
        <v>573</v>
      </c>
      <c r="D1125" s="2" t="str">
        <f t="shared" si="16"/>
        <v>Error?</v>
      </c>
    </row>
    <row r="1126" spans="1:4" x14ac:dyDescent="0.2">
      <c r="A1126" s="5">
        <v>1065</v>
      </c>
      <c r="B1126" s="138">
        <f>'Expenditures 15-22'!K59</f>
        <v>389882</v>
      </c>
      <c r="C1126" s="2" t="s">
        <v>573</v>
      </c>
      <c r="D1126" s="2" t="str">
        <f t="shared" si="16"/>
        <v>Error?</v>
      </c>
    </row>
    <row r="1127" spans="1:4" x14ac:dyDescent="0.2">
      <c r="A1127" s="5">
        <v>1066</v>
      </c>
      <c r="B1127" s="138">
        <f>'Expenditures 15-22'!K60</f>
        <v>835608</v>
      </c>
      <c r="C1127" s="2" t="s">
        <v>573</v>
      </c>
      <c r="D1127" s="2" t="str">
        <f t="shared" si="16"/>
        <v>Error?</v>
      </c>
    </row>
    <row r="1128" spans="1:4" x14ac:dyDescent="0.2">
      <c r="A1128" s="5">
        <v>1067</v>
      </c>
      <c r="B1128" s="138">
        <f>'Expenditures 15-22'!K61</f>
        <v>690839</v>
      </c>
      <c r="C1128" s="2" t="s">
        <v>573</v>
      </c>
      <c r="D1128" s="2" t="str">
        <f t="shared" si="16"/>
        <v>Error?</v>
      </c>
    </row>
    <row r="1129" spans="1:4" x14ac:dyDescent="0.2">
      <c r="A1129" s="5">
        <v>1068</v>
      </c>
      <c r="B1129" s="138">
        <f>'Expenditures 15-22'!K62</f>
        <v>37495</v>
      </c>
      <c r="C1129" s="2" t="s">
        <v>573</v>
      </c>
      <c r="D1129" s="2" t="str">
        <f t="shared" si="16"/>
        <v>Error?</v>
      </c>
    </row>
    <row r="1130" spans="1:4" x14ac:dyDescent="0.2">
      <c r="A1130" s="5">
        <v>1069</v>
      </c>
      <c r="B1130" s="138">
        <f>'Expenditures 15-22'!K63</f>
        <v>5272561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7226385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85600</v>
      </c>
      <c r="C1135" s="2" t="s">
        <v>573</v>
      </c>
      <c r="D1135" s="2" t="str">
        <f t="shared" si="16"/>
        <v>Error?</v>
      </c>
    </row>
    <row r="1136" spans="1:4" x14ac:dyDescent="0.2">
      <c r="A1136" s="5">
        <v>1075</v>
      </c>
      <c r="B1136" s="138">
        <f>'Expenditures 15-22'!K69</f>
        <v>5588</v>
      </c>
      <c r="C1136" s="2" t="s">
        <v>573</v>
      </c>
      <c r="D1136" s="2" t="str">
        <f t="shared" si="16"/>
        <v>Error?</v>
      </c>
    </row>
    <row r="1137" spans="1:4" x14ac:dyDescent="0.2">
      <c r="A1137" s="5">
        <v>1076</v>
      </c>
      <c r="B1137" s="138">
        <f>'Expenditures 15-22'!K70</f>
        <v>1101096</v>
      </c>
      <c r="C1137" s="2" t="s">
        <v>573</v>
      </c>
      <c r="D1137" s="2" t="str">
        <f t="shared" si="16"/>
        <v>Error?</v>
      </c>
    </row>
    <row r="1138" spans="1:4" x14ac:dyDescent="0.2">
      <c r="A1138" s="10">
        <v>1077</v>
      </c>
      <c r="D1138" s="2" t="str">
        <f t="shared" si="16"/>
        <v>OK</v>
      </c>
    </row>
    <row r="1139" spans="1:4" x14ac:dyDescent="0.2">
      <c r="A1139" s="5">
        <v>1078</v>
      </c>
      <c r="B1139" s="138">
        <f>'Expenditures 15-22'!K71</f>
        <v>61385</v>
      </c>
      <c r="C1139" s="2" t="s">
        <v>573</v>
      </c>
      <c r="D1139" s="2" t="str">
        <f t="shared" si="16"/>
        <v>Error?</v>
      </c>
    </row>
    <row r="1140" spans="1:4" x14ac:dyDescent="0.2">
      <c r="A1140" s="10">
        <v>1079</v>
      </c>
      <c r="D1140" s="2" t="str">
        <f t="shared" si="16"/>
        <v>OK</v>
      </c>
    </row>
    <row r="1141" spans="1:4" x14ac:dyDescent="0.2">
      <c r="A1141" s="5">
        <v>1080</v>
      </c>
      <c r="B1141" s="138">
        <f>'Expenditures 15-22'!K72</f>
        <v>1253669</v>
      </c>
      <c r="C1141" s="2" t="s">
        <v>573</v>
      </c>
      <c r="D1141" s="2" t="str">
        <f t="shared" si="16"/>
        <v>Error?</v>
      </c>
    </row>
    <row r="1142" spans="1:4" x14ac:dyDescent="0.2">
      <c r="A1142" s="5">
        <v>1081</v>
      </c>
      <c r="B1142" s="138">
        <f>'Expenditures 15-22'!K73</f>
        <v>310738</v>
      </c>
      <c r="C1142" s="2" t="s">
        <v>573</v>
      </c>
      <c r="D1142" s="2" t="str">
        <f t="shared" si="16"/>
        <v>Error?</v>
      </c>
    </row>
    <row r="1143" spans="1:4" x14ac:dyDescent="0.2">
      <c r="A1143" s="5">
        <v>1082</v>
      </c>
      <c r="B1143" s="138">
        <f>'Expenditures 15-22'!K74</f>
        <v>42205088</v>
      </c>
      <c r="C1143" s="2" t="s">
        <v>573</v>
      </c>
      <c r="D1143" s="2" t="str">
        <f t="shared" si="16"/>
        <v>Error?</v>
      </c>
    </row>
    <row r="1144" spans="1:4" x14ac:dyDescent="0.2">
      <c r="A1144" s="5">
        <v>1083</v>
      </c>
      <c r="B1144" s="138">
        <f>'Expenditures 15-22'!K75</f>
        <v>928382</v>
      </c>
      <c r="C1144" s="2" t="s">
        <v>573</v>
      </c>
      <c r="D1144" s="2" t="str">
        <f t="shared" si="16"/>
        <v>Error?</v>
      </c>
    </row>
    <row r="1145" spans="1:4" x14ac:dyDescent="0.2">
      <c r="A1145" s="5">
        <v>1084</v>
      </c>
      <c r="B1145" s="138">
        <f>'Expenditures 15-22'!K102</f>
        <v>539078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123644281</v>
      </c>
      <c r="C1152" s="2" t="s">
        <v>573</v>
      </c>
      <c r="D1152" s="2" t="str">
        <f t="shared" si="17"/>
        <v>Error?</v>
      </c>
    </row>
    <row r="1153" spans="1:4" x14ac:dyDescent="0.2">
      <c r="A1153" s="5">
        <v>1092</v>
      </c>
      <c r="B1153" s="138">
        <f>'Expenditures 15-22'!K115</f>
        <v>22323039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5481340</v>
      </c>
      <c r="D1221" s="2" t="str">
        <f t="shared" si="18"/>
        <v>Error?</v>
      </c>
    </row>
    <row r="1222" spans="1:4" x14ac:dyDescent="0.2">
      <c r="A1222" s="10">
        <v>1161</v>
      </c>
      <c r="D1222" s="2" t="str">
        <f t="shared" si="18"/>
        <v>OK</v>
      </c>
    </row>
    <row r="1223" spans="1:4" x14ac:dyDescent="0.2">
      <c r="A1223" s="5">
        <v>1162</v>
      </c>
      <c r="B1223" s="138">
        <f>'Expenditures 15-22'!C127</f>
        <v>5481340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5481340</v>
      </c>
      <c r="C1225" s="2" t="s">
        <v>573</v>
      </c>
      <c r="D1225" s="2" t="str">
        <f t="shared" si="18"/>
        <v>Error?</v>
      </c>
    </row>
    <row r="1226" spans="1:4" x14ac:dyDescent="0.2">
      <c r="A1226" s="5">
        <v>1165</v>
      </c>
      <c r="B1226" s="138">
        <f>'Expenditures 15-22'!C151</f>
        <v>5481340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1095067</v>
      </c>
      <c r="D1229" s="2" t="str">
        <f t="shared" si="18"/>
        <v>Error?</v>
      </c>
    </row>
    <row r="1230" spans="1:4" x14ac:dyDescent="0.2">
      <c r="A1230" s="10">
        <v>1169</v>
      </c>
      <c r="D1230" s="2" t="str">
        <f t="shared" si="18"/>
        <v>OK</v>
      </c>
    </row>
    <row r="1231" spans="1:4" x14ac:dyDescent="0.2">
      <c r="A1231" s="5">
        <v>1170</v>
      </c>
      <c r="B1231" s="138">
        <f>'Expenditures 15-22'!D127</f>
        <v>1095067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1095067</v>
      </c>
      <c r="C1233" s="2" t="s">
        <v>573</v>
      </c>
      <c r="D1233" s="2" t="str">
        <f t="shared" si="18"/>
        <v>Error?</v>
      </c>
    </row>
    <row r="1234" spans="1:4" x14ac:dyDescent="0.2">
      <c r="A1234" s="5">
        <v>1173</v>
      </c>
      <c r="B1234" s="138">
        <f>'Expenditures 15-22'!D151</f>
        <v>1095067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1189628</v>
      </c>
      <c r="D1237" s="2" t="str">
        <f t="shared" si="18"/>
        <v>Error?</v>
      </c>
    </row>
    <row r="1238" spans="1:4" x14ac:dyDescent="0.2">
      <c r="A1238" s="10">
        <v>1177</v>
      </c>
      <c r="D1238" s="2" t="str">
        <f t="shared" si="18"/>
        <v>OK</v>
      </c>
    </row>
    <row r="1239" spans="1:4" x14ac:dyDescent="0.2">
      <c r="A1239" s="5">
        <v>1178</v>
      </c>
      <c r="B1239" s="138">
        <f>'Expenditures 15-22'!E127</f>
        <v>1189628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1189628</v>
      </c>
      <c r="C1241" s="2" t="s">
        <v>573</v>
      </c>
      <c r="D1241" s="2" t="str">
        <f t="shared" si="18"/>
        <v>Error?</v>
      </c>
    </row>
    <row r="1242" spans="1:4" x14ac:dyDescent="0.2">
      <c r="A1242" s="5">
        <v>1181</v>
      </c>
      <c r="B1242" s="138">
        <f>'Expenditures 15-22'!E151</f>
        <v>1189628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2190185</v>
      </c>
      <c r="D1245" s="2" t="str">
        <f t="shared" si="18"/>
        <v>Error?</v>
      </c>
    </row>
    <row r="1246" spans="1:4" x14ac:dyDescent="0.2">
      <c r="A1246" s="10">
        <v>1185</v>
      </c>
      <c r="D1246" s="2" t="str">
        <f t="shared" si="18"/>
        <v>OK</v>
      </c>
    </row>
    <row r="1247" spans="1:4" x14ac:dyDescent="0.2">
      <c r="A1247" s="5">
        <v>1186</v>
      </c>
      <c r="B1247" s="138">
        <f>'Expenditures 15-22'!F127</f>
        <v>2190185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2190185</v>
      </c>
      <c r="C1249" s="2" t="s">
        <v>573</v>
      </c>
      <c r="D1249" s="2" t="str">
        <f t="shared" si="18"/>
        <v>Error?</v>
      </c>
    </row>
    <row r="1250" spans="1:4" x14ac:dyDescent="0.2">
      <c r="A1250" s="5">
        <v>1189</v>
      </c>
      <c r="B1250" s="138">
        <f>'Expenditures 15-22'!F151</f>
        <v>2190185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223730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223730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223730</v>
      </c>
      <c r="C1258" s="2" t="s">
        <v>573</v>
      </c>
      <c r="D1258" s="2" t="str">
        <f t="shared" si="18"/>
        <v>Error?</v>
      </c>
    </row>
    <row r="1259" spans="1:4" x14ac:dyDescent="0.2">
      <c r="A1259" s="5">
        <v>1198</v>
      </c>
      <c r="B1259" s="138">
        <f>'Expenditures 15-22'!G151</f>
        <v>223730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10253431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10253431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10253431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10253431</v>
      </c>
      <c r="C1288" s="2" t="s">
        <v>573</v>
      </c>
      <c r="D1288" s="2" t="str">
        <f t="shared" si="19"/>
        <v>Error?</v>
      </c>
    </row>
    <row r="1289" spans="1:4" x14ac:dyDescent="0.2">
      <c r="A1289" s="5">
        <v>1228</v>
      </c>
      <c r="B1289" s="138">
        <f>'Expenditures 15-22'!K152</f>
        <v>2382031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2523259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5196505</v>
      </c>
      <c r="D1315" s="2" t="str">
        <f t="shared" si="19"/>
        <v>Error?</v>
      </c>
    </row>
    <row r="1316" spans="1:4" x14ac:dyDescent="0.2">
      <c r="A1316" s="5">
        <v>1255</v>
      </c>
      <c r="B1316" s="138">
        <f>'Expenditures 15-22'!H171</f>
        <v>2250</v>
      </c>
      <c r="D1316" s="2" t="str">
        <f t="shared" si="19"/>
        <v>Error?</v>
      </c>
    </row>
    <row r="1317" spans="1:4" x14ac:dyDescent="0.2">
      <c r="A1317" s="5">
        <v>1256</v>
      </c>
      <c r="B1317" s="138">
        <f>'Expenditures 15-22'!H172</f>
        <v>7722014</v>
      </c>
      <c r="C1317" s="2" t="s">
        <v>573</v>
      </c>
      <c r="D1317" s="2" t="str">
        <f t="shared" si="19"/>
        <v>Error?</v>
      </c>
    </row>
    <row r="1318" spans="1:4" x14ac:dyDescent="0.2">
      <c r="A1318" s="5">
        <v>1257</v>
      </c>
      <c r="B1318" s="138">
        <f>'Expenditures 15-22'!H174</f>
        <v>7722014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2523259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5196505</v>
      </c>
      <c r="C1329" s="2" t="s">
        <v>573</v>
      </c>
      <c r="D1329" s="2" t="str">
        <f t="shared" si="19"/>
        <v>Error?</v>
      </c>
    </row>
    <row r="1330" spans="1:4" x14ac:dyDescent="0.2">
      <c r="A1330" s="5">
        <v>1269</v>
      </c>
      <c r="B1330" s="138">
        <f>'Expenditures 15-22'!K171</f>
        <v>2250</v>
      </c>
      <c r="C1330" s="2" t="s">
        <v>573</v>
      </c>
      <c r="D1330" s="2" t="str">
        <f t="shared" si="19"/>
        <v>Error?</v>
      </c>
    </row>
    <row r="1331" spans="1:4" x14ac:dyDescent="0.2">
      <c r="A1331" s="5">
        <v>1270</v>
      </c>
      <c r="B1331" s="138">
        <f>'Expenditures 15-22'!K172</f>
        <v>7722014</v>
      </c>
      <c r="C1331" s="2" t="s">
        <v>573</v>
      </c>
      <c r="D1331" s="2" t="str">
        <f t="shared" si="19"/>
        <v>Error?</v>
      </c>
    </row>
    <row r="1332" spans="1:4" x14ac:dyDescent="0.2">
      <c r="A1332" s="5">
        <v>1271</v>
      </c>
      <c r="B1332" s="138">
        <f>'Expenditures 15-22'!K174</f>
        <v>7722014</v>
      </c>
      <c r="C1332" s="2" t="s">
        <v>573</v>
      </c>
      <c r="D1332" s="2" t="str">
        <f t="shared" si="19"/>
        <v>Error?</v>
      </c>
    </row>
    <row r="1333" spans="1:4" x14ac:dyDescent="0.2">
      <c r="A1333" s="5">
        <v>1272</v>
      </c>
      <c r="B1333" s="138">
        <f>'Expenditures 15-22'!K175</f>
        <v>-374294</v>
      </c>
      <c r="C1333" s="2" t="s">
        <v>573</v>
      </c>
      <c r="D1333" s="2" t="str">
        <f t="shared" si="19"/>
        <v>Error?</v>
      </c>
    </row>
    <row r="1334" spans="1:4" x14ac:dyDescent="0.2">
      <c r="A1334" s="10">
        <v>1273</v>
      </c>
      <c r="D1334" s="2" t="str">
        <f t="shared" si="19"/>
        <v>OK</v>
      </c>
    </row>
    <row r="1335" spans="1:4" x14ac:dyDescent="0.2">
      <c r="A1335" s="5">
        <v>1274</v>
      </c>
      <c r="B1335" s="138">
        <f>'Expenditures 15-22'!C182</f>
        <v>2009263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2009263</v>
      </c>
      <c r="C1339" s="2" t="s">
        <v>573</v>
      </c>
      <c r="D1339" s="2" t="str">
        <f t="shared" si="19"/>
        <v>Error?</v>
      </c>
    </row>
    <row r="1340" spans="1:4" x14ac:dyDescent="0.2">
      <c r="A1340" s="5">
        <v>1279</v>
      </c>
      <c r="B1340" s="138">
        <f>'Expenditures 15-22'!C210</f>
        <v>2009263</v>
      </c>
      <c r="C1340" s="2" t="s">
        <v>573</v>
      </c>
      <c r="D1340" s="2" t="str">
        <f t="shared" si="19"/>
        <v>Error?</v>
      </c>
    </row>
    <row r="1341" spans="1:4" x14ac:dyDescent="0.2">
      <c r="A1341" s="5">
        <v>1280</v>
      </c>
      <c r="B1341" s="138">
        <f>'Expenditures 15-22'!D182</f>
        <v>565020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565020</v>
      </c>
      <c r="C1345" s="2" t="s">
        <v>573</v>
      </c>
      <c r="D1345" s="2" t="str">
        <f t="shared" si="20"/>
        <v>Error?</v>
      </c>
    </row>
    <row r="1346" spans="1:4" x14ac:dyDescent="0.2">
      <c r="A1346" s="5">
        <v>1285</v>
      </c>
      <c r="B1346" s="138">
        <f>'Expenditures 15-22'!D210</f>
        <v>565020</v>
      </c>
      <c r="C1346" s="2" t="s">
        <v>573</v>
      </c>
      <c r="D1346" s="2" t="str">
        <f t="shared" si="20"/>
        <v>Error?</v>
      </c>
    </row>
    <row r="1347" spans="1:4" x14ac:dyDescent="0.2">
      <c r="A1347" s="5">
        <v>1286</v>
      </c>
      <c r="B1347" s="138">
        <f>'Expenditures 15-22'!E182</f>
        <v>1784530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1784530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1784530</v>
      </c>
      <c r="C1353" s="2" t="s">
        <v>573</v>
      </c>
      <c r="D1353" s="2" t="str">
        <f t="shared" si="20"/>
        <v>Error?</v>
      </c>
    </row>
    <row r="1354" spans="1:4" x14ac:dyDescent="0.2">
      <c r="A1354" s="5">
        <v>1293</v>
      </c>
      <c r="B1354" s="138">
        <f>'Expenditures 15-22'!F182</f>
        <v>195816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195816</v>
      </c>
      <c r="C1358" s="2" t="s">
        <v>573</v>
      </c>
      <c r="D1358" s="2" t="str">
        <f t="shared" si="20"/>
        <v>Error?</v>
      </c>
    </row>
    <row r="1359" spans="1:4" x14ac:dyDescent="0.2">
      <c r="A1359" s="5">
        <v>1298</v>
      </c>
      <c r="B1359" s="138">
        <f>'Expenditures 15-22'!F210</f>
        <v>195816</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4554629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4554629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4554629</v>
      </c>
      <c r="C1388" s="2" t="s">
        <v>573</v>
      </c>
      <c r="D1388" s="2" t="str">
        <f t="shared" si="20"/>
        <v>Error?</v>
      </c>
    </row>
    <row r="1389" spans="1:4" x14ac:dyDescent="0.2">
      <c r="A1389" s="5">
        <v>1328</v>
      </c>
      <c r="B1389" s="138">
        <f>'Expenditures 15-22'!K211</f>
        <v>-728236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2012</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158626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4756</v>
      </c>
      <c r="D1408" s="2" t="str">
        <f t="shared" si="21"/>
        <v>Error?</v>
      </c>
    </row>
    <row r="1409" spans="1:4" x14ac:dyDescent="0.2">
      <c r="A1409" s="5">
        <v>1348</v>
      </c>
      <c r="B1409" s="138">
        <f>'Expenditures 15-22'!D224</f>
        <v>17126</v>
      </c>
      <c r="D1409" s="2" t="str">
        <f t="shared" si="21"/>
        <v>Error?</v>
      </c>
    </row>
    <row r="1410" spans="1:4" x14ac:dyDescent="0.2">
      <c r="A1410" s="5">
        <v>1349</v>
      </c>
      <c r="B1410" s="138">
        <f>'Expenditures 15-22'!D229</f>
        <v>1426626</v>
      </c>
      <c r="C1410" s="2" t="s">
        <v>573</v>
      </c>
      <c r="D1410" s="2" t="str">
        <f t="shared" si="21"/>
        <v>Error?</v>
      </c>
    </row>
    <row r="1411" spans="1:4" x14ac:dyDescent="0.2">
      <c r="A1411" s="5">
        <v>1350</v>
      </c>
      <c r="B1411" s="138">
        <f>'Expenditures 15-22'!D232</f>
        <v>26343</v>
      </c>
      <c r="D1411" s="2" t="str">
        <f t="shared" si="21"/>
        <v>Error?</v>
      </c>
    </row>
    <row r="1412" spans="1:4" x14ac:dyDescent="0.2">
      <c r="A1412" s="5">
        <v>1351</v>
      </c>
      <c r="B1412" s="138">
        <f>'Expenditures 15-22'!D233</f>
        <v>11354</v>
      </c>
      <c r="D1412" s="2" t="str">
        <f t="shared" si="21"/>
        <v>Error?</v>
      </c>
    </row>
    <row r="1413" spans="1:4" x14ac:dyDescent="0.2">
      <c r="A1413" s="5">
        <v>1352</v>
      </c>
      <c r="B1413" s="138">
        <f>'Expenditures 15-22'!D234</f>
        <v>153745</v>
      </c>
      <c r="D1413" s="2" t="str">
        <f t="shared" si="21"/>
        <v>Error?</v>
      </c>
    </row>
    <row r="1414" spans="1:4" x14ac:dyDescent="0.2">
      <c r="A1414" s="5">
        <v>1353</v>
      </c>
      <c r="B1414" s="138">
        <f>'Expenditures 15-22'!D235</f>
        <v>9341</v>
      </c>
      <c r="D1414" s="2" t="str">
        <f t="shared" si="21"/>
        <v>Error?</v>
      </c>
    </row>
    <row r="1415" spans="1:4" x14ac:dyDescent="0.2">
      <c r="A1415" s="5">
        <v>1354</v>
      </c>
      <c r="B1415" s="138">
        <f>'Expenditures 15-22'!D236</f>
        <v>5432</v>
      </c>
      <c r="D1415" s="2" t="str">
        <f t="shared" si="21"/>
        <v>Error?</v>
      </c>
    </row>
    <row r="1416" spans="1:4" x14ac:dyDescent="0.2">
      <c r="A1416" s="5">
        <v>1355</v>
      </c>
      <c r="B1416" s="138">
        <f>'Expenditures 15-22'!D237</f>
        <v>95875</v>
      </c>
      <c r="D1416" s="2" t="str">
        <f t="shared" si="21"/>
        <v>Error?</v>
      </c>
    </row>
    <row r="1417" spans="1:4" x14ac:dyDescent="0.2">
      <c r="A1417" s="5">
        <v>1356</v>
      </c>
      <c r="B1417" s="138">
        <f>'Expenditures 15-22'!D238</f>
        <v>302090</v>
      </c>
      <c r="C1417" s="2" t="s">
        <v>573</v>
      </c>
      <c r="D1417" s="2" t="str">
        <f t="shared" si="21"/>
        <v>Error?</v>
      </c>
    </row>
    <row r="1418" spans="1:4" x14ac:dyDescent="0.2">
      <c r="A1418" s="5">
        <v>1357</v>
      </c>
      <c r="B1418" s="138">
        <f>'Expenditures 15-22'!D240</f>
        <v>74406</v>
      </c>
      <c r="D1418" s="2" t="str">
        <f t="shared" si="21"/>
        <v>Error?</v>
      </c>
    </row>
    <row r="1419" spans="1:4" x14ac:dyDescent="0.2">
      <c r="A1419" s="5">
        <v>1358</v>
      </c>
      <c r="B1419" s="138">
        <f>'Expenditures 15-22'!D241</f>
        <v>136588</v>
      </c>
      <c r="D1419" s="2" t="str">
        <f t="shared" si="21"/>
        <v>Error?</v>
      </c>
    </row>
    <row r="1420" spans="1:4" x14ac:dyDescent="0.2">
      <c r="A1420" s="5">
        <v>1359</v>
      </c>
      <c r="B1420" s="138">
        <f>'Expenditures 15-22'!D242</f>
        <v>49445</v>
      </c>
      <c r="D1420" s="2" t="str">
        <f t="shared" si="21"/>
        <v>Error?</v>
      </c>
    </row>
    <row r="1421" spans="1:4" x14ac:dyDescent="0.2">
      <c r="A1421" s="5">
        <v>1360</v>
      </c>
      <c r="B1421" s="138">
        <f>'Expenditures 15-22'!D243</f>
        <v>260439</v>
      </c>
      <c r="C1421" s="2" t="s">
        <v>573</v>
      </c>
      <c r="D1421" s="2" t="str">
        <f t="shared" si="21"/>
        <v>Error?</v>
      </c>
    </row>
    <row r="1422" spans="1:4" x14ac:dyDescent="0.2">
      <c r="A1422" s="5">
        <v>1361</v>
      </c>
      <c r="B1422" s="138">
        <f>'Expenditures 15-22'!D245</f>
        <v>20259</v>
      </c>
      <c r="D1422" s="2" t="str">
        <f t="shared" si="21"/>
        <v>Error?</v>
      </c>
    </row>
    <row r="1423" spans="1:4" x14ac:dyDescent="0.2">
      <c r="A1423" s="5">
        <v>1362</v>
      </c>
      <c r="B1423" s="138">
        <f>'Expenditures 15-22'!D246</f>
        <v>49349</v>
      </c>
      <c r="D1423" s="2" t="str">
        <f t="shared" si="21"/>
        <v>Error?</v>
      </c>
    </row>
    <row r="1424" spans="1:4" x14ac:dyDescent="0.2">
      <c r="A1424" s="5">
        <v>1363</v>
      </c>
      <c r="B1424" s="138">
        <f>'Expenditures 15-22'!D257</f>
        <v>131660</v>
      </c>
      <c r="C1424" s="2" t="s">
        <v>573</v>
      </c>
      <c r="D1424" s="2" t="str">
        <f t="shared" si="21"/>
        <v>Error?</v>
      </c>
    </row>
    <row r="1425" spans="1:4" x14ac:dyDescent="0.2">
      <c r="A1425" s="5">
        <v>1364</v>
      </c>
      <c r="B1425" s="138">
        <f>'Expenditures 15-22'!D259</f>
        <v>410600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410600</v>
      </c>
      <c r="C1427" s="2" t="s">
        <v>573</v>
      </c>
      <c r="D1427" s="2" t="str">
        <f t="shared" si="21"/>
        <v>Error?</v>
      </c>
    </row>
    <row r="1428" spans="1:4" x14ac:dyDescent="0.2">
      <c r="A1428" s="5">
        <v>1367</v>
      </c>
      <c r="B1428" s="138">
        <f>'Expenditures 15-22'!D263</f>
        <v>35384</v>
      </c>
      <c r="D1428" s="2" t="str">
        <f t="shared" si="21"/>
        <v>Error?</v>
      </c>
    </row>
    <row r="1429" spans="1:4" x14ac:dyDescent="0.2">
      <c r="A1429" s="5">
        <v>1368</v>
      </c>
      <c r="B1429" s="138">
        <f>'Expenditures 15-22'!D264</f>
        <v>60165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971236</v>
      </c>
      <c r="D1431" s="2" t="str">
        <f t="shared" si="21"/>
        <v>Error?</v>
      </c>
    </row>
    <row r="1432" spans="1:4" x14ac:dyDescent="0.2">
      <c r="A1432" s="5">
        <v>1371</v>
      </c>
      <c r="B1432" s="138">
        <f>'Expenditures 15-22'!D267</f>
        <v>340739</v>
      </c>
      <c r="D1432" s="2" t="str">
        <f t="shared" si="21"/>
        <v>Error?</v>
      </c>
    </row>
    <row r="1433" spans="1:4" x14ac:dyDescent="0.2">
      <c r="A1433" s="5">
        <v>1372</v>
      </c>
      <c r="B1433" s="138">
        <f>'Expenditures 15-22'!D268</f>
        <v>167805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1575329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66363</v>
      </c>
      <c r="D1440" s="2" t="str">
        <f t="shared" si="21"/>
        <v>Error?</v>
      </c>
    </row>
    <row r="1441" spans="1:4" x14ac:dyDescent="0.2">
      <c r="A1441" s="10">
        <v>1380</v>
      </c>
      <c r="D1441" s="2" t="str">
        <f t="shared" si="21"/>
        <v>OK</v>
      </c>
    </row>
    <row r="1442" spans="1:4" x14ac:dyDescent="0.2">
      <c r="A1442" s="5">
        <v>1381</v>
      </c>
      <c r="B1442" s="138">
        <f>'Expenditures 15-22'!D276</f>
        <v>4252</v>
      </c>
      <c r="D1442" s="2" t="str">
        <f t="shared" si="21"/>
        <v>Error?</v>
      </c>
    </row>
    <row r="1443" spans="1:4" x14ac:dyDescent="0.2">
      <c r="A1443" s="10">
        <v>1382</v>
      </c>
      <c r="D1443" s="2" t="str">
        <f t="shared" si="21"/>
        <v>OK</v>
      </c>
    </row>
    <row r="1444" spans="1:4" x14ac:dyDescent="0.2">
      <c r="A1444" s="5">
        <v>1383</v>
      </c>
      <c r="B1444" s="138">
        <f>'Expenditures 15-22'!D277</f>
        <v>70615</v>
      </c>
      <c r="C1444" s="2" t="s">
        <v>573</v>
      </c>
      <c r="D1444" s="2" t="str">
        <f t="shared" si="21"/>
        <v>Error?</v>
      </c>
    </row>
    <row r="1445" spans="1:4" x14ac:dyDescent="0.2">
      <c r="A1445" s="5">
        <v>1384</v>
      </c>
      <c r="B1445" s="138">
        <f>'Expenditures 15-22'!D278</f>
        <v>9</v>
      </c>
      <c r="D1445" s="2" t="str">
        <f t="shared" si="21"/>
        <v>Error?</v>
      </c>
    </row>
    <row r="1446" spans="1:4" x14ac:dyDescent="0.2">
      <c r="A1446" s="5">
        <v>1385</v>
      </c>
      <c r="B1446" s="138">
        <f>'Expenditures 15-22'!D279</f>
        <v>2750742</v>
      </c>
      <c r="C1446" s="2" t="s">
        <v>573</v>
      </c>
      <c r="D1446" s="2" t="str">
        <f t="shared" si="21"/>
        <v>Error?</v>
      </c>
    </row>
    <row r="1447" spans="1:4" x14ac:dyDescent="0.2">
      <c r="A1447" s="5">
        <v>1386</v>
      </c>
      <c r="B1447" s="138">
        <f>'Expenditures 15-22'!D280</f>
        <v>15706</v>
      </c>
      <c r="D1447" s="2" t="str">
        <f t="shared" si="21"/>
        <v>Error?</v>
      </c>
    </row>
    <row r="1448" spans="1:4" x14ac:dyDescent="0.2">
      <c r="A1448" s="5">
        <v>1387</v>
      </c>
      <c r="B1448" s="138">
        <f>'Expenditures 15-22'!D295</f>
        <v>4193074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2012</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158626</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4756</v>
      </c>
      <c r="C1472" s="2" t="s">
        <v>573</v>
      </c>
      <c r="D1472" s="2" t="str">
        <f t="shared" si="22"/>
        <v>Error?</v>
      </c>
    </row>
    <row r="1473" spans="1:4" x14ac:dyDescent="0.2">
      <c r="A1473" s="5">
        <v>1412</v>
      </c>
      <c r="B1473" s="138">
        <f>'Expenditures 15-22'!K224</f>
        <v>17126</v>
      </c>
      <c r="C1473" s="2" t="s">
        <v>573</v>
      </c>
      <c r="D1473" s="2" t="str">
        <f t="shared" si="22"/>
        <v>Error?</v>
      </c>
    </row>
    <row r="1474" spans="1:4" x14ac:dyDescent="0.2">
      <c r="A1474" s="5">
        <v>1413</v>
      </c>
      <c r="B1474" s="138">
        <f>'Expenditures 15-22'!K229</f>
        <v>1426626</v>
      </c>
      <c r="C1474" s="2" t="s">
        <v>573</v>
      </c>
      <c r="D1474" s="2" t="str">
        <f t="shared" si="22"/>
        <v>Error?</v>
      </c>
    </row>
    <row r="1475" spans="1:4" x14ac:dyDescent="0.2">
      <c r="A1475" s="5">
        <v>1414</v>
      </c>
      <c r="B1475" s="138">
        <f>'Expenditures 15-22'!K232</f>
        <v>26343</v>
      </c>
      <c r="C1475" s="2" t="s">
        <v>573</v>
      </c>
      <c r="D1475" s="2" t="str">
        <f t="shared" si="22"/>
        <v>Error?</v>
      </c>
    </row>
    <row r="1476" spans="1:4" x14ac:dyDescent="0.2">
      <c r="A1476" s="5">
        <v>1415</v>
      </c>
      <c r="B1476" s="138">
        <f>'Expenditures 15-22'!K233</f>
        <v>11354</v>
      </c>
      <c r="C1476" s="2" t="s">
        <v>573</v>
      </c>
      <c r="D1476" s="2" t="str">
        <f t="shared" si="22"/>
        <v>Error?</v>
      </c>
    </row>
    <row r="1477" spans="1:4" x14ac:dyDescent="0.2">
      <c r="A1477" s="5">
        <v>1416</v>
      </c>
      <c r="B1477" s="138">
        <f>'Expenditures 15-22'!K234</f>
        <v>153745</v>
      </c>
      <c r="C1477" s="2" t="s">
        <v>573</v>
      </c>
      <c r="D1477" s="2" t="str">
        <f t="shared" si="22"/>
        <v>Error?</v>
      </c>
    </row>
    <row r="1478" spans="1:4" x14ac:dyDescent="0.2">
      <c r="A1478" s="5">
        <v>1417</v>
      </c>
      <c r="B1478" s="138">
        <f>'Expenditures 15-22'!K235</f>
        <v>9341</v>
      </c>
      <c r="C1478" s="2" t="s">
        <v>573</v>
      </c>
      <c r="D1478" s="2" t="str">
        <f t="shared" si="22"/>
        <v>Error?</v>
      </c>
    </row>
    <row r="1479" spans="1:4" x14ac:dyDescent="0.2">
      <c r="A1479" s="5">
        <v>1418</v>
      </c>
      <c r="B1479" s="138">
        <f>'Expenditures 15-22'!K236</f>
        <v>5432</v>
      </c>
      <c r="C1479" s="2" t="s">
        <v>573</v>
      </c>
      <c r="D1479" s="2" t="str">
        <f t="shared" si="22"/>
        <v>Error?</v>
      </c>
    </row>
    <row r="1480" spans="1:4" x14ac:dyDescent="0.2">
      <c r="A1480" s="5">
        <v>1419</v>
      </c>
      <c r="B1480" s="138">
        <f>'Expenditures 15-22'!K237</f>
        <v>95875</v>
      </c>
      <c r="C1480" s="2" t="s">
        <v>573</v>
      </c>
      <c r="D1480" s="2" t="str">
        <f t="shared" si="22"/>
        <v>Error?</v>
      </c>
    </row>
    <row r="1481" spans="1:4" x14ac:dyDescent="0.2">
      <c r="A1481" s="5">
        <v>1420</v>
      </c>
      <c r="B1481" s="138">
        <f>'Expenditures 15-22'!K238</f>
        <v>302090</v>
      </c>
      <c r="C1481" s="2" t="s">
        <v>573</v>
      </c>
      <c r="D1481" s="2" t="str">
        <f t="shared" si="22"/>
        <v>Error?</v>
      </c>
    </row>
    <row r="1482" spans="1:4" x14ac:dyDescent="0.2">
      <c r="A1482" s="5">
        <v>1421</v>
      </c>
      <c r="B1482" s="138">
        <f>'Expenditures 15-22'!K240</f>
        <v>74406</v>
      </c>
      <c r="C1482" s="2" t="s">
        <v>573</v>
      </c>
      <c r="D1482" s="2" t="str">
        <f t="shared" si="22"/>
        <v>Error?</v>
      </c>
    </row>
    <row r="1483" spans="1:4" x14ac:dyDescent="0.2">
      <c r="A1483" s="5">
        <v>1422</v>
      </c>
      <c r="B1483" s="138">
        <f>'Expenditures 15-22'!K241</f>
        <v>136588</v>
      </c>
      <c r="C1483" s="2" t="s">
        <v>573</v>
      </c>
      <c r="D1483" s="2" t="str">
        <f t="shared" si="22"/>
        <v>Error?</v>
      </c>
    </row>
    <row r="1484" spans="1:4" x14ac:dyDescent="0.2">
      <c r="A1484" s="5">
        <v>1423</v>
      </c>
      <c r="B1484" s="138">
        <f>'Expenditures 15-22'!K242</f>
        <v>49445</v>
      </c>
      <c r="C1484" s="2" t="s">
        <v>573</v>
      </c>
      <c r="D1484" s="2" t="str">
        <f t="shared" si="22"/>
        <v>Error?</v>
      </c>
    </row>
    <row r="1485" spans="1:4" x14ac:dyDescent="0.2">
      <c r="A1485" s="5">
        <v>1424</v>
      </c>
      <c r="B1485" s="138">
        <f>'Expenditures 15-22'!K243</f>
        <v>260439</v>
      </c>
      <c r="C1485" s="2" t="s">
        <v>573</v>
      </c>
      <c r="D1485" s="2" t="str">
        <f t="shared" si="22"/>
        <v>Error?</v>
      </c>
    </row>
    <row r="1486" spans="1:4" x14ac:dyDescent="0.2">
      <c r="A1486" s="5">
        <v>1425</v>
      </c>
      <c r="B1486" s="138">
        <f>'Expenditures 15-22'!K245</f>
        <v>20259</v>
      </c>
      <c r="C1486" s="2" t="s">
        <v>573</v>
      </c>
      <c r="D1486" s="2" t="str">
        <f t="shared" si="22"/>
        <v>Error?</v>
      </c>
    </row>
    <row r="1487" spans="1:4" x14ac:dyDescent="0.2">
      <c r="A1487" s="5">
        <v>1426</v>
      </c>
      <c r="B1487" s="138">
        <f>'Expenditures 15-22'!K246</f>
        <v>49349</v>
      </c>
      <c r="C1487" s="2" t="s">
        <v>573</v>
      </c>
      <c r="D1487" s="2" t="str">
        <f t="shared" si="22"/>
        <v>Error?</v>
      </c>
    </row>
    <row r="1488" spans="1:4" x14ac:dyDescent="0.2">
      <c r="A1488" s="5">
        <v>1427</v>
      </c>
      <c r="B1488" s="138">
        <f>'Expenditures 15-22'!K257</f>
        <v>131660</v>
      </c>
      <c r="C1488" s="2" t="s">
        <v>573</v>
      </c>
      <c r="D1488" s="2" t="str">
        <f t="shared" si="22"/>
        <v>Error?</v>
      </c>
    </row>
    <row r="1489" spans="1:4" x14ac:dyDescent="0.2">
      <c r="A1489" s="5">
        <v>1428</v>
      </c>
      <c r="B1489" s="138">
        <f>'Expenditures 15-22'!K259</f>
        <v>410600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410600</v>
      </c>
      <c r="C1491" s="2" t="s">
        <v>573</v>
      </c>
      <c r="D1491" s="2" t="str">
        <f t="shared" si="22"/>
        <v>Error?</v>
      </c>
    </row>
    <row r="1492" spans="1:4" x14ac:dyDescent="0.2">
      <c r="A1492" s="5">
        <v>1431</v>
      </c>
      <c r="B1492" s="138">
        <f>'Expenditures 15-22'!K263</f>
        <v>35384</v>
      </c>
      <c r="C1492" s="2" t="s">
        <v>573</v>
      </c>
      <c r="D1492" s="2" t="str">
        <f t="shared" si="22"/>
        <v>Error?</v>
      </c>
    </row>
    <row r="1493" spans="1:4" x14ac:dyDescent="0.2">
      <c r="A1493" s="5">
        <v>1432</v>
      </c>
      <c r="B1493" s="138">
        <f>'Expenditures 15-22'!K264</f>
        <v>60165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971236</v>
      </c>
      <c r="C1495" s="2" t="s">
        <v>573</v>
      </c>
      <c r="D1495" s="2" t="str">
        <f t="shared" si="22"/>
        <v>Error?</v>
      </c>
    </row>
    <row r="1496" spans="1:4" x14ac:dyDescent="0.2">
      <c r="A1496" s="5">
        <v>1435</v>
      </c>
      <c r="B1496" s="138">
        <f>'Expenditures 15-22'!K267</f>
        <v>340739</v>
      </c>
      <c r="C1496" s="2" t="s">
        <v>573</v>
      </c>
      <c r="D1496" s="2" t="str">
        <f t="shared" si="22"/>
        <v>Error?</v>
      </c>
    </row>
    <row r="1497" spans="1:4" x14ac:dyDescent="0.2">
      <c r="A1497" s="5">
        <v>1436</v>
      </c>
      <c r="B1497" s="138">
        <f>'Expenditures 15-22'!K268</f>
        <v>167805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1575329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66363</v>
      </c>
      <c r="C1504" s="2" t="s">
        <v>573</v>
      </c>
      <c r="D1504" s="2" t="str">
        <f t="shared" si="22"/>
        <v>Error?</v>
      </c>
    </row>
    <row r="1505" spans="1:4" x14ac:dyDescent="0.2">
      <c r="A1505" s="10">
        <v>1444</v>
      </c>
      <c r="D1505" s="2" t="str">
        <f t="shared" si="22"/>
        <v>OK</v>
      </c>
    </row>
    <row r="1506" spans="1:4" x14ac:dyDescent="0.2">
      <c r="A1506" s="5">
        <v>1445</v>
      </c>
      <c r="B1506" s="138">
        <f>'Expenditures 15-22'!K276</f>
        <v>4252</v>
      </c>
      <c r="C1506" s="2" t="s">
        <v>573</v>
      </c>
      <c r="D1506" s="2" t="str">
        <f t="shared" si="22"/>
        <v>Error?</v>
      </c>
    </row>
    <row r="1507" spans="1:4" x14ac:dyDescent="0.2">
      <c r="A1507" s="10">
        <v>1446</v>
      </c>
      <c r="D1507" s="2" t="str">
        <f t="shared" si="22"/>
        <v>OK</v>
      </c>
    </row>
    <row r="1508" spans="1:4" x14ac:dyDescent="0.2">
      <c r="A1508" s="5">
        <v>1447</v>
      </c>
      <c r="B1508" s="138">
        <f>'Expenditures 15-22'!K277</f>
        <v>70615</v>
      </c>
      <c r="C1508" s="2" t="s">
        <v>573</v>
      </c>
      <c r="D1508" s="2" t="str">
        <f t="shared" si="22"/>
        <v>Error?</v>
      </c>
    </row>
    <row r="1509" spans="1:4" x14ac:dyDescent="0.2">
      <c r="A1509" s="5">
        <v>1448</v>
      </c>
      <c r="B1509" s="138">
        <f>'Expenditures 15-22'!K278</f>
        <v>9</v>
      </c>
      <c r="C1509" s="2" t="s">
        <v>573</v>
      </c>
      <c r="D1509" s="2" t="str">
        <f t="shared" si="22"/>
        <v>Error?</v>
      </c>
    </row>
    <row r="1510" spans="1:4" x14ac:dyDescent="0.2">
      <c r="A1510" s="5">
        <v>1449</v>
      </c>
      <c r="B1510" s="138">
        <f>'Expenditures 15-22'!K279</f>
        <v>2750742</v>
      </c>
      <c r="C1510" s="2" t="s">
        <v>573</v>
      </c>
      <c r="D1510" s="2" t="str">
        <f t="shared" si="22"/>
        <v>Error?</v>
      </c>
    </row>
    <row r="1511" spans="1:4" x14ac:dyDescent="0.2">
      <c r="A1511" s="5">
        <v>1450</v>
      </c>
      <c r="B1511" s="138">
        <f>'Expenditures 15-22'!K280</f>
        <v>15706</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4193074</v>
      </c>
      <c r="C1517" s="2" t="s">
        <v>573</v>
      </c>
      <c r="D1517" s="2" t="str">
        <f t="shared" si="22"/>
        <v>Error?</v>
      </c>
    </row>
    <row r="1518" spans="1:4" x14ac:dyDescent="0.2">
      <c r="A1518" s="5">
        <v>1457</v>
      </c>
      <c r="B1518" s="138">
        <f>'Expenditures 15-22'!K296</f>
        <v>32036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28128328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28128328</v>
      </c>
      <c r="C1547" s="2" t="s">
        <v>573</v>
      </c>
      <c r="D1547" s="2" t="str">
        <f t="shared" si="23"/>
        <v>Error?</v>
      </c>
    </row>
    <row r="1548" spans="1:4" x14ac:dyDescent="0.2">
      <c r="A1548" s="5">
        <v>1487</v>
      </c>
      <c r="B1548" s="138">
        <f>'Expenditures 15-22'!G312</f>
        <v>28128328</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28128328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28128328</v>
      </c>
      <c r="C1559" s="2" t="s">
        <v>573</v>
      </c>
      <c r="D1559" s="2" t="str">
        <f t="shared" si="23"/>
        <v>Error?</v>
      </c>
    </row>
    <row r="1560" spans="1:4" x14ac:dyDescent="0.2">
      <c r="A1560" s="5">
        <v>1499</v>
      </c>
      <c r="B1560" s="138">
        <f>'Expenditures 15-22'!K312</f>
        <v>28128328</v>
      </c>
      <c r="C1560" s="2" t="s">
        <v>573</v>
      </c>
      <c r="D1560" s="2" t="str">
        <f t="shared" si="23"/>
        <v>Error?</v>
      </c>
    </row>
    <row r="1561" spans="1:4" x14ac:dyDescent="0.2">
      <c r="A1561" s="5">
        <v>1500</v>
      </c>
      <c r="B1561" s="138">
        <f>'Expenditures 15-22'!K313</f>
        <v>-27382976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134255192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149598848</v>
      </c>
      <c r="C1630" s="2" t="s">
        <v>573</v>
      </c>
      <c r="D1630" s="2" t="str">
        <f t="shared" si="24"/>
        <v>Error?</v>
      </c>
    </row>
    <row r="1631" spans="1:4" x14ac:dyDescent="0.2">
      <c r="A1631" s="5">
        <v>1570</v>
      </c>
      <c r="B1631" s="138">
        <f>'Acct Summary 7-8'!D79</f>
        <v>11995443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14381339</v>
      </c>
      <c r="C1644" s="2" t="s">
        <v>573</v>
      </c>
      <c r="D1644" s="2" t="str">
        <f t="shared" si="24"/>
        <v>Error?</v>
      </c>
    </row>
    <row r="1645" spans="1:4" x14ac:dyDescent="0.2">
      <c r="A1645" s="5">
        <v>1584</v>
      </c>
      <c r="B1645" s="138">
        <f>'Acct Summary 7-8'!E79</f>
        <v>4234162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3994868</v>
      </c>
      <c r="C1658" s="2" t="s">
        <v>573</v>
      </c>
      <c r="D1658" s="2" t="str">
        <f t="shared" si="24"/>
        <v>Error?</v>
      </c>
    </row>
    <row r="1659" spans="1:4" x14ac:dyDescent="0.2">
      <c r="A1659" s="5">
        <v>1598</v>
      </c>
      <c r="B1659" s="138">
        <f>'Acct Summary 7-8'!F79</f>
        <v>5442141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4721080</v>
      </c>
      <c r="C1672" s="2" t="s">
        <v>573</v>
      </c>
      <c r="D1672" s="2" t="str">
        <f t="shared" si="25"/>
        <v>Error?</v>
      </c>
    </row>
    <row r="1673" spans="1:4" x14ac:dyDescent="0.2">
      <c r="A1673" s="5">
        <v>1612</v>
      </c>
      <c r="B1673" s="138">
        <f>'Acct Summary 7-8'!G79</f>
        <v>3421979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3479015</v>
      </c>
      <c r="C1686" s="2" t="s">
        <v>573</v>
      </c>
      <c r="D1686" s="2" t="str">
        <f t="shared" si="25"/>
        <v>Error?</v>
      </c>
    </row>
    <row r="1687" spans="1:4" x14ac:dyDescent="0.2">
      <c r="A1687" s="5">
        <v>1626</v>
      </c>
      <c r="B1687" s="138">
        <f>'Acct Summary 7-8'!H79</f>
        <v>28632606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8249630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11241120</v>
      </c>
      <c r="C1744" s="2" t="s">
        <v>573</v>
      </c>
      <c r="D1744" s="2" t="str">
        <f t="shared" si="26"/>
        <v>Error?</v>
      </c>
    </row>
    <row r="1745" spans="1:5" x14ac:dyDescent="0.2">
      <c r="A1745" s="5">
        <v>1684</v>
      </c>
      <c r="B1745" s="138">
        <f>'Tax Sched 23'!B5</f>
        <v>2876300</v>
      </c>
      <c r="C1745" s="2" t="s">
        <v>573</v>
      </c>
      <c r="D1745" s="2" t="str">
        <f t="shared" si="26"/>
        <v>Error?</v>
      </c>
    </row>
    <row r="1746" spans="1:5" x14ac:dyDescent="0.2">
      <c r="A1746" s="5">
        <v>1685</v>
      </c>
      <c r="B1746" s="138">
        <f>'Tax Sched 23'!B6</f>
        <v>5803508</v>
      </c>
      <c r="C1746" s="2" t="s">
        <v>573</v>
      </c>
      <c r="D1746" s="2" t="str">
        <f t="shared" si="26"/>
        <v>Error?</v>
      </c>
    </row>
    <row r="1747" spans="1:5" x14ac:dyDescent="0.2">
      <c r="A1747" s="5">
        <v>1686</v>
      </c>
      <c r="B1747" s="138">
        <f>'Tax Sched 23'!B7</f>
        <v>873529</v>
      </c>
      <c r="C1747" s="2" t="s">
        <v>573</v>
      </c>
      <c r="D1747" s="2" t="str">
        <f t="shared" si="26"/>
        <v>Error?</v>
      </c>
    </row>
    <row r="1748" spans="1:5" x14ac:dyDescent="0.2">
      <c r="A1748" s="5">
        <v>1687</v>
      </c>
      <c r="B1748" s="138">
        <f>'Tax Sched 23'!B8</f>
        <v>1441617</v>
      </c>
      <c r="C1748" s="2" t="s">
        <v>573</v>
      </c>
      <c r="D1748" s="2" t="str">
        <f t="shared" si="26"/>
        <v>Error?</v>
      </c>
    </row>
    <row r="1749" spans="1:5" x14ac:dyDescent="0.2">
      <c r="A1749" s="5">
        <v>1688</v>
      </c>
      <c r="B1749" s="138">
        <f>'Tax Sched 23'!B10</f>
        <v>463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1523335</v>
      </c>
      <c r="C1752" s="2" t="s">
        <v>573</v>
      </c>
      <c r="D1752" s="2" t="str">
        <f t="shared" si="26"/>
        <v>Error?</v>
      </c>
    </row>
    <row r="1753" spans="1:5" x14ac:dyDescent="0.2">
      <c r="A1753" s="5">
        <v>1692</v>
      </c>
      <c r="B1753" s="138">
        <f>'Tax Sched 23'!B12</f>
        <v>48327</v>
      </c>
      <c r="C1753" s="2" t="s">
        <v>573</v>
      </c>
      <c r="D1753" s="2" t="str">
        <f t="shared" si="26"/>
        <v>Error?</v>
      </c>
    </row>
    <row r="1754" spans="1:5" x14ac:dyDescent="0.2">
      <c r="A1754" s="5">
        <v>1693</v>
      </c>
      <c r="B1754" s="138">
        <f>'Tax Sched 23'!B14</f>
        <v>23661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25249422</v>
      </c>
      <c r="C1759" s="2" t="s">
        <v>573</v>
      </c>
      <c r="D1759" s="2" t="str">
        <f t="shared" si="26"/>
        <v>Error?</v>
      </c>
    </row>
    <row r="1760" spans="1:5" x14ac:dyDescent="0.2">
      <c r="A1760" s="5">
        <v>1699</v>
      </c>
      <c r="B1760" s="138">
        <f>'Tax Sched 23'!D4</f>
        <v>5501139</v>
      </c>
      <c r="C1760" s="2" t="s">
        <v>573</v>
      </c>
      <c r="D1760" s="2" t="str">
        <f t="shared" si="26"/>
        <v>Error?</v>
      </c>
    </row>
    <row r="1761" spans="1:5" x14ac:dyDescent="0.2">
      <c r="A1761" s="5">
        <v>1700</v>
      </c>
      <c r="B1761" s="138">
        <f>'Tax Sched 23'!D5</f>
        <v>1407843</v>
      </c>
      <c r="C1761" s="2" t="s">
        <v>573</v>
      </c>
      <c r="D1761" s="2" t="str">
        <f t="shared" si="26"/>
        <v>Error?</v>
      </c>
    </row>
    <row r="1762" spans="1:5" s="8" customFormat="1" x14ac:dyDescent="0.2">
      <c r="A1762" s="5">
        <v>1701</v>
      </c>
      <c r="B1762" s="138">
        <f>'Tax Sched 23'!D6</f>
        <v>2874471</v>
      </c>
      <c r="C1762" s="2" t="s">
        <v>573</v>
      </c>
      <c r="D1762" s="2" t="str">
        <f t="shared" si="26"/>
        <v>Error?</v>
      </c>
      <c r="E1762" s="9"/>
    </row>
    <row r="1763" spans="1:5" x14ac:dyDescent="0.2">
      <c r="A1763" s="5">
        <v>1702</v>
      </c>
      <c r="B1763" s="138">
        <f>'Tax Sched 23'!D7</f>
        <v>427025</v>
      </c>
      <c r="C1763" s="2" t="s">
        <v>573</v>
      </c>
      <c r="D1763" s="2" t="str">
        <f t="shared" si="26"/>
        <v>Error?</v>
      </c>
    </row>
    <row r="1764" spans="1:5" x14ac:dyDescent="0.2">
      <c r="A1764" s="5">
        <v>1703</v>
      </c>
      <c r="B1764" s="138">
        <f>'Tax Sched 23'!D8</f>
        <v>705765</v>
      </c>
      <c r="C1764" s="2" t="s">
        <v>573</v>
      </c>
      <c r="D1764" s="2" t="str">
        <f t="shared" si="26"/>
        <v>Error?</v>
      </c>
    </row>
    <row r="1765" spans="1:5" x14ac:dyDescent="0.2">
      <c r="A1765" s="5">
        <v>1704</v>
      </c>
      <c r="B1765" s="138">
        <f>'Tax Sched 23'!D10</f>
        <v>226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745801</v>
      </c>
      <c r="C1768" s="2" t="s">
        <v>573</v>
      </c>
      <c r="D1768" s="2" t="str">
        <f t="shared" si="26"/>
        <v>Error?</v>
      </c>
    </row>
    <row r="1769" spans="1:5" x14ac:dyDescent="0.2">
      <c r="A1769" s="5">
        <v>1708</v>
      </c>
      <c r="B1769" s="138">
        <f>'Tax Sched 23'!D12</f>
        <v>23438</v>
      </c>
      <c r="C1769" s="2" t="s">
        <v>573</v>
      </c>
      <c r="D1769" s="2" t="str">
        <f t="shared" si="26"/>
        <v>Error?</v>
      </c>
    </row>
    <row r="1770" spans="1:5" x14ac:dyDescent="0.2">
      <c r="A1770" s="5">
        <v>1709</v>
      </c>
      <c r="B1770" s="138">
        <f>'Tax Sched 23'!D14</f>
        <v>11619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12391533</v>
      </c>
      <c r="C1775" s="2" t="s">
        <v>573</v>
      </c>
      <c r="D1775" s="2" t="str">
        <f t="shared" si="26"/>
        <v>Error?</v>
      </c>
    </row>
    <row r="1776" spans="1:5" x14ac:dyDescent="0.2">
      <c r="A1776" s="5">
        <v>1715</v>
      </c>
      <c r="B1776" s="138">
        <f>'Tax Sched 23'!C4</f>
        <v>5739981</v>
      </c>
      <c r="D1776" s="2" t="str">
        <f t="shared" si="26"/>
        <v>Error?</v>
      </c>
    </row>
    <row r="1777" spans="1:4" x14ac:dyDescent="0.2">
      <c r="A1777" s="5">
        <v>1716</v>
      </c>
      <c r="B1777" s="138">
        <f>'Tax Sched 23'!C5</f>
        <v>1468457</v>
      </c>
      <c r="D1777" s="2" t="str">
        <f t="shared" si="26"/>
        <v>Error?</v>
      </c>
    </row>
    <row r="1778" spans="1:4" x14ac:dyDescent="0.2">
      <c r="A1778" s="5">
        <v>1717</v>
      </c>
      <c r="B1778" s="138">
        <f>'Tax Sched 23'!C6</f>
        <v>2929037</v>
      </c>
      <c r="D1778" s="2" t="str">
        <f t="shared" si="26"/>
        <v>Error?</v>
      </c>
    </row>
    <row r="1779" spans="1:4" x14ac:dyDescent="0.2">
      <c r="A1779" s="5">
        <v>1718</v>
      </c>
      <c r="B1779" s="138">
        <f>'Tax Sched 23'!C7</f>
        <v>446504</v>
      </c>
      <c r="D1779" s="2" t="str">
        <f t="shared" si="26"/>
        <v>Error?</v>
      </c>
    </row>
    <row r="1780" spans="1:4" x14ac:dyDescent="0.2">
      <c r="A1780" s="5">
        <v>1719</v>
      </c>
      <c r="B1780" s="138">
        <f>'Tax Sched 23'!C8</f>
        <v>735852</v>
      </c>
      <c r="D1780" s="2" t="str">
        <f t="shared" si="26"/>
        <v>Error?</v>
      </c>
    </row>
    <row r="1781" spans="1:4" x14ac:dyDescent="0.2">
      <c r="A1781" s="5">
        <v>1720</v>
      </c>
      <c r="B1781" s="138">
        <f>'Tax Sched 23'!C10</f>
        <v>237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777534</v>
      </c>
      <c r="D1784" s="2" t="str">
        <f t="shared" si="26"/>
        <v>Error?</v>
      </c>
    </row>
    <row r="1785" spans="1:4" x14ac:dyDescent="0.2">
      <c r="A1785" s="5">
        <v>1724</v>
      </c>
      <c r="B1785" s="138">
        <f>'Tax Sched 23'!C12</f>
        <v>24889</v>
      </c>
      <c r="D1785" s="2" t="str">
        <f t="shared" si="26"/>
        <v>Error?</v>
      </c>
    </row>
    <row r="1786" spans="1:4" x14ac:dyDescent="0.2">
      <c r="A1786" s="5">
        <v>1725</v>
      </c>
      <c r="B1786" s="138">
        <f>'Tax Sched 23'!C14</f>
        <v>12042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12857889</v>
      </c>
      <c r="C1791" s="2" t="s">
        <v>573</v>
      </c>
      <c r="D1791" s="2" t="str">
        <f t="shared" ref="D1791:D1854" si="27">IF(ISBLANK(B1791),"OK",IF(A1791-B1791=0,"OK","Error?"))</f>
        <v>Error?</v>
      </c>
    </row>
    <row r="1792" spans="1:4" x14ac:dyDescent="0.2">
      <c r="A1792" s="5">
        <v>1731</v>
      </c>
      <c r="B1792" s="138">
        <f>'Tax Sched 23'!F4</f>
        <v>6660735</v>
      </c>
      <c r="C1792" s="2" t="s">
        <v>573</v>
      </c>
      <c r="D1792" s="2" t="str">
        <f t="shared" si="27"/>
        <v>Error?</v>
      </c>
    </row>
    <row r="1793" spans="1:4" x14ac:dyDescent="0.2">
      <c r="A1793" s="5">
        <v>1732</v>
      </c>
      <c r="B1793" s="138">
        <f>'Tax Sched 23'!F5</f>
        <v>1704013</v>
      </c>
      <c r="C1793" s="2" t="s">
        <v>573</v>
      </c>
      <c r="D1793" s="2" t="str">
        <f t="shared" si="27"/>
        <v>Error?</v>
      </c>
    </row>
    <row r="1794" spans="1:4" x14ac:dyDescent="0.2">
      <c r="A1794" s="5">
        <v>1733</v>
      </c>
      <c r="B1794" s="138">
        <f>'Tax Sched 23'!F6</f>
        <v>3398887</v>
      </c>
      <c r="C1794" s="2" t="s">
        <v>573</v>
      </c>
      <c r="D1794" s="2" t="str">
        <f t="shared" si="27"/>
        <v>Error?</v>
      </c>
    </row>
    <row r="1795" spans="1:4" x14ac:dyDescent="0.2">
      <c r="A1795" s="5">
        <v>1734</v>
      </c>
      <c r="B1795" s="138">
        <f>'Tax Sched 23'!F7</f>
        <v>518129</v>
      </c>
      <c r="C1795" s="2" t="s">
        <v>573</v>
      </c>
      <c r="D1795" s="2" t="str">
        <f t="shared" si="27"/>
        <v>Error?</v>
      </c>
    </row>
    <row r="1796" spans="1:4" x14ac:dyDescent="0.2">
      <c r="A1796" s="5">
        <v>1735</v>
      </c>
      <c r="B1796" s="138">
        <f>'Tax Sched 23'!F8</f>
        <v>853891</v>
      </c>
      <c r="C1796" s="2" t="s">
        <v>573</v>
      </c>
      <c r="D1796" s="2" t="str">
        <f t="shared" si="27"/>
        <v>Error?</v>
      </c>
    </row>
    <row r="1797" spans="1:4" x14ac:dyDescent="0.2">
      <c r="A1797" s="5">
        <v>1736</v>
      </c>
      <c r="B1797" s="138">
        <f>'Tax Sched 23'!F10</f>
        <v>274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902258</v>
      </c>
      <c r="C1800" s="2" t="s">
        <v>573</v>
      </c>
      <c r="D1800" s="2" t="str">
        <f t="shared" si="27"/>
        <v>Error?</v>
      </c>
    </row>
    <row r="1801" spans="1:4" x14ac:dyDescent="0.2">
      <c r="A1801" s="5">
        <v>1740</v>
      </c>
      <c r="B1801" s="138">
        <f>'Tax Sched 23'!F12</f>
        <v>28882</v>
      </c>
      <c r="C1801" s="2" t="s">
        <v>573</v>
      </c>
      <c r="D1801" s="2" t="str">
        <f t="shared" si="27"/>
        <v>Error?</v>
      </c>
    </row>
    <row r="1802" spans="1:4" x14ac:dyDescent="0.2">
      <c r="A1802" s="5">
        <v>1741</v>
      </c>
      <c r="B1802" s="138">
        <f>'Tax Sched 23'!F14</f>
        <v>13973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14920433</v>
      </c>
      <c r="C1807" s="2" t="s">
        <v>573</v>
      </c>
      <c r="D1807" s="2" t="str">
        <f t="shared" si="27"/>
        <v>Error?</v>
      </c>
    </row>
    <row r="1808" spans="1:4" x14ac:dyDescent="0.2">
      <c r="A1808" s="5">
        <v>1747</v>
      </c>
      <c r="B1808" s="138">
        <f>'Tax Sched 23'!E4</f>
        <v>12400716</v>
      </c>
      <c r="D1808" s="2" t="str">
        <f t="shared" si="27"/>
        <v>Error?</v>
      </c>
    </row>
    <row r="1809" spans="1:4" x14ac:dyDescent="0.2">
      <c r="A1809" s="5">
        <v>1748</v>
      </c>
      <c r="B1809" s="138">
        <f>'Tax Sched 23'!E5</f>
        <v>3172470</v>
      </c>
      <c r="D1809" s="2" t="str">
        <f t="shared" si="27"/>
        <v>Error?</v>
      </c>
    </row>
    <row r="1810" spans="1:4" x14ac:dyDescent="0.2">
      <c r="A1810" s="5">
        <v>1749</v>
      </c>
      <c r="B1810" s="138">
        <f>'Tax Sched 23'!E6</f>
        <v>6327924</v>
      </c>
      <c r="D1810" s="2" t="str">
        <f t="shared" si="27"/>
        <v>Error?</v>
      </c>
    </row>
    <row r="1811" spans="1:4" x14ac:dyDescent="0.2">
      <c r="A1811" s="5">
        <v>1750</v>
      </c>
      <c r="B1811" s="138">
        <f>'Tax Sched 23'!E7</f>
        <v>964633</v>
      </c>
      <c r="D1811" s="2" t="str">
        <f t="shared" si="27"/>
        <v>Error?</v>
      </c>
    </row>
    <row r="1812" spans="1:4" x14ac:dyDescent="0.2">
      <c r="A1812" s="5">
        <v>1751</v>
      </c>
      <c r="B1812" s="138">
        <f>'Tax Sched 23'!E8</f>
        <v>1589743</v>
      </c>
      <c r="D1812" s="2" t="str">
        <f t="shared" si="27"/>
        <v>Error?</v>
      </c>
    </row>
    <row r="1813" spans="1:4" x14ac:dyDescent="0.2">
      <c r="A1813" s="5">
        <v>1752</v>
      </c>
      <c r="B1813" s="138">
        <f>'Tax Sched 23'!E10</f>
        <v>511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1679792</v>
      </c>
      <c r="D1816" s="2" t="str">
        <f t="shared" si="27"/>
        <v>Error?</v>
      </c>
    </row>
    <row r="1817" spans="1:4" x14ac:dyDescent="0.2">
      <c r="A1817" s="5">
        <v>1756</v>
      </c>
      <c r="B1817" s="138">
        <f>'Tax Sched 23'!E12</f>
        <v>53771</v>
      </c>
      <c r="D1817" s="2" t="str">
        <f t="shared" si="27"/>
        <v>Error?</v>
      </c>
    </row>
    <row r="1818" spans="1:4" x14ac:dyDescent="0.2">
      <c r="A1818" s="5">
        <v>1757</v>
      </c>
      <c r="B1818" s="138">
        <f>'Tax Sched 23'!E14</f>
        <v>26015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27778322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52324122</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23661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23661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23661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11381551</v>
      </c>
      <c r="D2008" s="2" t="str">
        <f t="shared" si="30"/>
        <v>Error?</v>
      </c>
    </row>
    <row r="2009" spans="1:4" x14ac:dyDescent="0.2">
      <c r="A2009" s="5">
        <v>1948</v>
      </c>
      <c r="B2009" s="138">
        <f>'Cap Outlay Deprec 26'!C8</f>
        <v>236490995</v>
      </c>
      <c r="D2009" s="2" t="str">
        <f t="shared" si="30"/>
        <v>Error?</v>
      </c>
    </row>
    <row r="2010" spans="1:4" x14ac:dyDescent="0.2">
      <c r="A2010" s="5">
        <v>1949</v>
      </c>
      <c r="B2010" s="138">
        <f>'Cap Outlay Deprec 26'!C10</f>
        <v>4345099</v>
      </c>
      <c r="D2010" s="2" t="str">
        <f t="shared" si="30"/>
        <v>Error?</v>
      </c>
    </row>
    <row r="2011" spans="1:4" x14ac:dyDescent="0.2">
      <c r="A2011" s="5">
        <v>1950</v>
      </c>
      <c r="B2011" s="138">
        <f>'Cap Outlay Deprec 26'!C12</f>
        <v>28620407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308953912</v>
      </c>
      <c r="C2013" s="2" t="s">
        <v>573</v>
      </c>
      <c r="D2013" s="2" t="str">
        <f t="shared" si="30"/>
        <v>Error?</v>
      </c>
    </row>
    <row r="2014" spans="1:4" x14ac:dyDescent="0.2">
      <c r="A2014" s="5">
        <v>1953</v>
      </c>
      <c r="B2014" s="138">
        <f>'Cap Outlay Deprec 26'!D5</f>
        <v>561959</v>
      </c>
      <c r="D2014" s="2" t="str">
        <f t="shared" si="30"/>
        <v>Error?</v>
      </c>
    </row>
    <row r="2015" spans="1:4" x14ac:dyDescent="0.2">
      <c r="A2015" s="5">
        <v>1954</v>
      </c>
      <c r="B2015" s="138">
        <f>'Cap Outlay Deprec 26'!D8</f>
        <v>25062041</v>
      </c>
      <c r="D2015" s="2" t="str">
        <f t="shared" si="30"/>
        <v>Error?</v>
      </c>
    </row>
    <row r="2016" spans="1:4" x14ac:dyDescent="0.2">
      <c r="A2016" s="5">
        <v>1955</v>
      </c>
      <c r="B2016" s="138">
        <f>'Cap Outlay Deprec 26'!D10</f>
        <v>1704363</v>
      </c>
      <c r="D2016" s="2" t="str">
        <f t="shared" si="30"/>
        <v>Error?</v>
      </c>
    </row>
    <row r="2017" spans="1:4" x14ac:dyDescent="0.2">
      <c r="A2017" s="5">
        <v>1956</v>
      </c>
      <c r="B2017" s="138">
        <f>'Cap Outlay Deprec 26'!D12</f>
        <v>772867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51660193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22948047</v>
      </c>
      <c r="C2025" s="2" t="s">
        <v>573</v>
      </c>
      <c r="D2025" s="2" t="str">
        <f t="shared" si="30"/>
        <v>Error?</v>
      </c>
    </row>
    <row r="2026" spans="1:4" x14ac:dyDescent="0.2">
      <c r="A2026" s="5">
        <v>1965</v>
      </c>
      <c r="B2026" s="138">
        <f>'Cap Outlay Deprec 26'!F5</f>
        <v>11943510</v>
      </c>
      <c r="C2026" s="2" t="s">
        <v>573</v>
      </c>
      <c r="D2026" s="2" t="str">
        <f t="shared" si="30"/>
        <v>Error?</v>
      </c>
    </row>
    <row r="2027" spans="1:4" x14ac:dyDescent="0.2">
      <c r="A2027" s="5">
        <v>1966</v>
      </c>
      <c r="B2027" s="138">
        <f>'Cap Outlay Deprec 26'!F8</f>
        <v>261553036</v>
      </c>
      <c r="C2027" s="2" t="s">
        <v>573</v>
      </c>
      <c r="D2027" s="2" t="str">
        <f t="shared" si="30"/>
        <v>Error?</v>
      </c>
    </row>
    <row r="2028" spans="1:4" x14ac:dyDescent="0.2">
      <c r="A2028" s="5">
        <v>1967</v>
      </c>
      <c r="B2028" s="138">
        <f>'Cap Outlay Deprec 26'!F10</f>
        <v>6049462</v>
      </c>
      <c r="C2028" s="2" t="s">
        <v>573</v>
      </c>
      <c r="D2028" s="2" t="str">
        <f t="shared" si="30"/>
        <v>Error?</v>
      </c>
    </row>
    <row r="2029" spans="1:4" x14ac:dyDescent="0.2">
      <c r="A2029" s="5">
        <v>1968</v>
      </c>
      <c r="B2029" s="138">
        <f>'Cap Outlay Deprec 26'!F12</f>
        <v>29393274</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337666058</v>
      </c>
      <c r="C2031" s="2" t="s">
        <v>573</v>
      </c>
      <c r="D2031" s="2" t="str">
        <f t="shared" si="30"/>
        <v>Error?</v>
      </c>
    </row>
    <row r="2032" spans="1:4" x14ac:dyDescent="0.2">
      <c r="A2032" s="10">
        <v>1971</v>
      </c>
      <c r="D2032" s="2" t="str">
        <f t="shared" si="30"/>
        <v>OK</v>
      </c>
    </row>
    <row r="2033" spans="1:4" x14ac:dyDescent="0.2">
      <c r="A2033" s="5">
        <v>1972</v>
      </c>
      <c r="B2033" s="138">
        <f>'Cap Outlay Deprec 26'!H8</f>
        <v>71534128</v>
      </c>
      <c r="D2033" s="2" t="str">
        <f t="shared" si="30"/>
        <v>Error?</v>
      </c>
    </row>
    <row r="2034" spans="1:4" x14ac:dyDescent="0.2">
      <c r="A2034" s="5">
        <v>1973</v>
      </c>
      <c r="B2034" s="138">
        <f>'Cap Outlay Deprec 26'!H10</f>
        <v>2219261</v>
      </c>
      <c r="D2034" s="2" t="str">
        <f t="shared" si="30"/>
        <v>Error?</v>
      </c>
    </row>
    <row r="2035" spans="1:4" x14ac:dyDescent="0.2">
      <c r="A2035" s="5">
        <v>1974</v>
      </c>
      <c r="B2035" s="138">
        <f>'Cap Outlay Deprec 26'!H12</f>
        <v>22586977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96340366</v>
      </c>
      <c r="C2037" s="2" t="s">
        <v>573</v>
      </c>
      <c r="D2037" s="2" t="str">
        <f t="shared" si="30"/>
        <v>Error?</v>
      </c>
    </row>
    <row r="2038" spans="1:4" x14ac:dyDescent="0.2">
      <c r="A2038" s="10">
        <v>1977</v>
      </c>
      <c r="D2038" s="2" t="str">
        <f t="shared" si="30"/>
        <v>OK</v>
      </c>
    </row>
    <row r="2039" spans="1:4" x14ac:dyDescent="0.2">
      <c r="A2039" s="5">
        <v>1978</v>
      </c>
      <c r="B2039" s="138">
        <f>'Cap Outlay Deprec 26'!I8</f>
        <v>4600743</v>
      </c>
      <c r="D2039" s="2" t="str">
        <f t="shared" si="30"/>
        <v>Error?</v>
      </c>
    </row>
    <row r="2040" spans="1:4" x14ac:dyDescent="0.2">
      <c r="A2040" s="5">
        <v>1979</v>
      </c>
      <c r="B2040" s="138">
        <f>'Cap Outlay Deprec 26'!I10</f>
        <v>255971</v>
      </c>
      <c r="D2040" s="2" t="str">
        <f t="shared" si="30"/>
        <v>Error?</v>
      </c>
    </row>
    <row r="2041" spans="1:4" x14ac:dyDescent="0.2">
      <c r="A2041" s="5">
        <v>1980</v>
      </c>
      <c r="B2041" s="138">
        <f>'Cap Outlay Deprec 26'!I12</f>
        <v>2636994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7493708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76134871</v>
      </c>
      <c r="C2051" s="2" t="s">
        <v>573</v>
      </c>
      <c r="D2051" s="2" t="str">
        <f t="shared" si="31"/>
        <v>Error?</v>
      </c>
    </row>
    <row r="2052" spans="1:4" x14ac:dyDescent="0.2">
      <c r="A2052" s="5">
        <v>1991</v>
      </c>
      <c r="B2052" s="138">
        <f>'Cap Outlay Deprec 26'!K10</f>
        <v>2475232</v>
      </c>
      <c r="C2052" s="2" t="s">
        <v>573</v>
      </c>
      <c r="D2052" s="2" t="str">
        <f t="shared" si="31"/>
        <v>Error?</v>
      </c>
    </row>
    <row r="2053" spans="1:4" x14ac:dyDescent="0.2">
      <c r="A2053" s="5">
        <v>1992</v>
      </c>
      <c r="B2053" s="138">
        <f>'Cap Outlay Deprec 26'!K12</f>
        <v>25223971</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103834074</v>
      </c>
      <c r="C2055" s="2" t="s">
        <v>573</v>
      </c>
      <c r="D2055" s="2" t="str">
        <f t="shared" si="31"/>
        <v>Error?</v>
      </c>
    </row>
    <row r="2056" spans="1:4" x14ac:dyDescent="0.2">
      <c r="A2056" s="5">
        <v>1995</v>
      </c>
      <c r="B2056" s="138">
        <f>'Cap Outlay Deprec 26'!L5</f>
        <v>11943510</v>
      </c>
      <c r="C2056" s="2" t="s">
        <v>573</v>
      </c>
      <c r="D2056" s="2" t="str">
        <f t="shared" si="31"/>
        <v>Error?</v>
      </c>
    </row>
    <row r="2057" spans="1:4" x14ac:dyDescent="0.2">
      <c r="A2057" s="5">
        <v>1996</v>
      </c>
      <c r="B2057" s="138">
        <f>'Cap Outlay Deprec 26'!L8</f>
        <v>185418165</v>
      </c>
      <c r="C2057" s="2" t="s">
        <v>573</v>
      </c>
      <c r="D2057" s="2" t="str">
        <f t="shared" si="31"/>
        <v>Error?</v>
      </c>
    </row>
    <row r="2058" spans="1:4" x14ac:dyDescent="0.2">
      <c r="A2058" s="5">
        <v>1997</v>
      </c>
      <c r="B2058" s="138">
        <f>'Cap Outlay Deprec 26'!L10</f>
        <v>3574230</v>
      </c>
      <c r="C2058" s="2" t="s">
        <v>573</v>
      </c>
      <c r="D2058" s="2" t="str">
        <f t="shared" si="31"/>
        <v>Error?</v>
      </c>
    </row>
    <row r="2059" spans="1:4" x14ac:dyDescent="0.2">
      <c r="A2059" s="5">
        <v>1998</v>
      </c>
      <c r="B2059" s="138">
        <f>'Cap Outlay Deprec 26'!L12</f>
        <v>4169303</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233831984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2095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383477</v>
      </c>
      <c r="C2088" s="2" t="s">
        <v>573</v>
      </c>
      <c r="D2088" s="2" t="str">
        <f t="shared" si="31"/>
        <v>Error?</v>
      </c>
    </row>
    <row r="2089" spans="1:4" x14ac:dyDescent="0.2">
      <c r="A2089" s="5">
        <v>2028</v>
      </c>
      <c r="B2089" s="138">
        <f>'Expenditures 15-22'!K92</f>
        <v>155601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25000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16974797</v>
      </c>
      <c r="C2551" s="2" t="s">
        <v>573</v>
      </c>
      <c r="D2551" s="2" t="str">
        <f t="shared" si="38"/>
        <v>Error?</v>
      </c>
    </row>
    <row r="2552" spans="1:4" x14ac:dyDescent="0.2">
      <c r="A2552" s="10">
        <v>2491</v>
      </c>
      <c r="D2552" s="2" t="str">
        <f t="shared" si="38"/>
        <v>OK</v>
      </c>
    </row>
    <row r="2553" spans="1:4" x14ac:dyDescent="0.2">
      <c r="A2553" s="5">
        <v>2492</v>
      </c>
      <c r="B2553" s="138">
        <f>'Acct Summary 7-8'!C6</f>
        <v>111554875</v>
      </c>
      <c r="C2553" s="2" t="s">
        <v>573</v>
      </c>
      <c r="D2553" s="2" t="str">
        <f t="shared" si="38"/>
        <v>Error?</v>
      </c>
    </row>
    <row r="2554" spans="1:4" x14ac:dyDescent="0.2">
      <c r="A2554" s="5">
        <v>2493</v>
      </c>
      <c r="B2554" s="138">
        <f>'Acct Summary 7-8'!C7</f>
        <v>17437648</v>
      </c>
      <c r="C2554" s="2" t="s">
        <v>573</v>
      </c>
      <c r="D2554" s="2" t="str">
        <f t="shared" si="38"/>
        <v>Error?</v>
      </c>
    </row>
    <row r="2555" spans="1:4" x14ac:dyDescent="0.2">
      <c r="A2555" s="5">
        <v>2494</v>
      </c>
      <c r="B2555" s="138">
        <f>'Acct Summary 7-8'!C8</f>
        <v>145967320</v>
      </c>
      <c r="C2555" s="2" t="s">
        <v>573</v>
      </c>
      <c r="D2555" s="2" t="str">
        <f t="shared" si="38"/>
        <v>Error?</v>
      </c>
    </row>
    <row r="2556" spans="1:4" x14ac:dyDescent="0.2">
      <c r="A2556" s="5">
        <v>2495</v>
      </c>
      <c r="B2556" s="138">
        <f>'Acct Summary 7-8'!C12</f>
        <v>79971733</v>
      </c>
      <c r="C2556" s="2" t="s">
        <v>573</v>
      </c>
      <c r="D2556" s="2" t="str">
        <f t="shared" si="38"/>
        <v>Error?</v>
      </c>
    </row>
    <row r="2557" spans="1:4" x14ac:dyDescent="0.2">
      <c r="A2557" s="5">
        <v>2496</v>
      </c>
      <c r="B2557" s="138">
        <f>'Acct Summary 7-8'!C13</f>
        <v>42205088</v>
      </c>
      <c r="C2557" s="2" t="s">
        <v>573</v>
      </c>
      <c r="D2557" s="2" t="str">
        <f t="shared" si="38"/>
        <v>Error?</v>
      </c>
    </row>
    <row r="2558" spans="1:4" x14ac:dyDescent="0.2">
      <c r="A2558" s="5">
        <v>2497</v>
      </c>
      <c r="B2558" s="138">
        <f>'Acct Summary 7-8'!C14</f>
        <v>928382</v>
      </c>
      <c r="C2558" s="2" t="s">
        <v>573</v>
      </c>
      <c r="D2558" s="2" t="str">
        <f t="shared" si="38"/>
        <v>Error?</v>
      </c>
    </row>
    <row r="2559" spans="1:4" x14ac:dyDescent="0.2">
      <c r="A2559" s="5">
        <v>2498</v>
      </c>
      <c r="B2559" s="138">
        <f>'Acct Summary 7-8'!C15</f>
        <v>539078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123644281</v>
      </c>
      <c r="C2561" s="2" t="s">
        <v>573</v>
      </c>
      <c r="D2561" s="2" t="str">
        <f t="shared" si="39"/>
        <v>Error?</v>
      </c>
    </row>
    <row r="2562" spans="1:4" x14ac:dyDescent="0.2">
      <c r="A2562" s="5">
        <v>2501</v>
      </c>
      <c r="B2562" s="138">
        <f>'Acct Summary 7-8'!C20</f>
        <v>22323039</v>
      </c>
      <c r="C2562" s="2" t="s">
        <v>573</v>
      </c>
      <c r="D2562" s="2" t="str">
        <f t="shared" si="39"/>
        <v>Error?</v>
      </c>
    </row>
    <row r="2563" spans="1:4" x14ac:dyDescent="0.2">
      <c r="A2563" s="5">
        <v>2502</v>
      </c>
      <c r="B2563" s="138">
        <f>'Acct Summary 7-8'!C80</f>
        <v>155617</v>
      </c>
      <c r="D2563" s="2" t="str">
        <f t="shared" si="39"/>
        <v>Error?</v>
      </c>
    </row>
    <row r="2564" spans="1:4" x14ac:dyDescent="0.2">
      <c r="A2564" s="5">
        <v>2503</v>
      </c>
      <c r="B2564" s="138">
        <f>'Acct Summary 7-8'!D4</f>
        <v>4635462</v>
      </c>
      <c r="C2564" s="2" t="s">
        <v>573</v>
      </c>
      <c r="D2564" s="2" t="str">
        <f t="shared" si="39"/>
        <v>Error?</v>
      </c>
    </row>
    <row r="2565" spans="1:4" x14ac:dyDescent="0.2">
      <c r="A2565" s="10">
        <v>2504</v>
      </c>
      <c r="D2565" s="2" t="str">
        <f t="shared" si="39"/>
        <v>OK</v>
      </c>
    </row>
    <row r="2566" spans="1:4" x14ac:dyDescent="0.2">
      <c r="A2566" s="5">
        <v>2505</v>
      </c>
      <c r="B2566" s="138">
        <f>'Acct Summary 7-8'!D6</f>
        <v>8000000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12635462</v>
      </c>
      <c r="C2568" s="2" t="s">
        <v>573</v>
      </c>
      <c r="D2568" s="2" t="str">
        <f t="shared" si="39"/>
        <v>Error?</v>
      </c>
    </row>
    <row r="2569" spans="1:4" x14ac:dyDescent="0.2">
      <c r="A2569" s="5">
        <v>2508</v>
      </c>
      <c r="B2569" s="138">
        <f>'Acct Summary 7-8'!D13</f>
        <v>10253431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10253431</v>
      </c>
      <c r="C2573" s="2" t="s">
        <v>573</v>
      </c>
      <c r="D2573" s="2" t="str">
        <f t="shared" si="39"/>
        <v>Error?</v>
      </c>
    </row>
    <row r="2574" spans="1:4" x14ac:dyDescent="0.2">
      <c r="A2574" s="5">
        <v>2513</v>
      </c>
      <c r="B2574" s="138">
        <f>'Acct Summary 7-8'!D20</f>
        <v>2382031</v>
      </c>
      <c r="C2574" s="2" t="s">
        <v>573</v>
      </c>
      <c r="D2574" s="2" t="str">
        <f t="shared" si="39"/>
        <v>Error?</v>
      </c>
    </row>
    <row r="2575" spans="1:4" x14ac:dyDescent="0.2">
      <c r="A2575" s="5">
        <v>2514</v>
      </c>
      <c r="B2575" s="138">
        <f>'Acct Summary 7-8'!D80</f>
        <v>3865</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1009706</v>
      </c>
      <c r="C2591" s="2" t="s">
        <v>573</v>
      </c>
      <c r="D2591" s="2" t="str">
        <f t="shared" si="39"/>
        <v>Error?</v>
      </c>
    </row>
    <row r="2592" spans="1:4" x14ac:dyDescent="0.2">
      <c r="A2592" s="10">
        <v>2531</v>
      </c>
      <c r="D2592" s="2" t="str">
        <f t="shared" si="39"/>
        <v>OK</v>
      </c>
    </row>
    <row r="2593" spans="1:4" x14ac:dyDescent="0.2">
      <c r="A2593" s="5">
        <v>2532</v>
      </c>
      <c r="B2593" s="138">
        <f>'Acct Summary 7-8'!F6</f>
        <v>2816687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3826393</v>
      </c>
      <c r="C2595" s="2" t="s">
        <v>573</v>
      </c>
      <c r="D2595" s="2" t="str">
        <f t="shared" si="39"/>
        <v>Error?</v>
      </c>
    </row>
    <row r="2596" spans="1:4" x14ac:dyDescent="0.2">
      <c r="A2596" s="5">
        <v>2535</v>
      </c>
      <c r="B2596" s="138">
        <f>'Acct Summary 7-8'!F13</f>
        <v>4554629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4554629</v>
      </c>
      <c r="C2600" s="2" t="s">
        <v>573</v>
      </c>
      <c r="D2600" s="2" t="str">
        <f t="shared" si="39"/>
        <v>Error?</v>
      </c>
    </row>
    <row r="2601" spans="1:4" x14ac:dyDescent="0.2">
      <c r="A2601" s="5">
        <v>2540</v>
      </c>
      <c r="B2601" s="138">
        <f>'Acct Summary 7-8'!F20</f>
        <v>-728236</v>
      </c>
      <c r="C2601" s="2" t="s">
        <v>573</v>
      </c>
      <c r="D2601" s="2" t="str">
        <f t="shared" si="39"/>
        <v>Error?</v>
      </c>
    </row>
    <row r="2602" spans="1:4" x14ac:dyDescent="0.2">
      <c r="A2602" s="5">
        <v>2541</v>
      </c>
      <c r="B2602" s="138">
        <f>'Acct Summary 7-8'!F80</f>
        <v>7175</v>
      </c>
      <c r="D2602" s="2" t="str">
        <f t="shared" si="39"/>
        <v>Error?</v>
      </c>
    </row>
    <row r="2603" spans="1:4" x14ac:dyDescent="0.2">
      <c r="A2603" s="5">
        <v>2542</v>
      </c>
      <c r="B2603" s="138">
        <f>'Acct Summary 7-8'!G4</f>
        <v>4225110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4225110</v>
      </c>
      <c r="C2606" s="2" t="s">
        <v>573</v>
      </c>
      <c r="D2606" s="2" t="str">
        <f t="shared" si="39"/>
        <v>Error?</v>
      </c>
    </row>
    <row r="2607" spans="1:4" x14ac:dyDescent="0.2">
      <c r="A2607" s="5">
        <v>2546</v>
      </c>
      <c r="B2607" s="138">
        <f>'Acct Summary 7-8'!G12</f>
        <v>1426626</v>
      </c>
      <c r="C2607" s="2" t="s">
        <v>573</v>
      </c>
      <c r="D2607" s="2" t="str">
        <f t="shared" si="39"/>
        <v>Error?</v>
      </c>
    </row>
    <row r="2608" spans="1:4" x14ac:dyDescent="0.2">
      <c r="A2608" s="5">
        <v>2547</v>
      </c>
      <c r="B2608" s="138">
        <f>'Acct Summary 7-8'!G13</f>
        <v>2750742</v>
      </c>
      <c r="C2608" s="2" t="s">
        <v>573</v>
      </c>
      <c r="D2608" s="2" t="str">
        <f t="shared" si="39"/>
        <v>Error?</v>
      </c>
    </row>
    <row r="2609" spans="1:4" x14ac:dyDescent="0.2">
      <c r="A2609" s="5">
        <v>2548</v>
      </c>
      <c r="B2609" s="138">
        <f>'Acct Summary 7-8'!G14</f>
        <v>15706</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4193074</v>
      </c>
      <c r="C2612" s="2" t="s">
        <v>573</v>
      </c>
      <c r="D2612" s="2" t="str">
        <f t="shared" si="39"/>
        <v>Error?</v>
      </c>
    </row>
    <row r="2613" spans="1:4" x14ac:dyDescent="0.2">
      <c r="A2613" s="5">
        <v>2552</v>
      </c>
      <c r="B2613" s="138">
        <f>'Acct Summary 7-8'!G20</f>
        <v>32036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5880527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7347720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7722014</v>
      </c>
      <c r="C2634" s="2" t="s">
        <v>573</v>
      </c>
      <c r="D2634" s="2" t="str">
        <f t="shared" si="40"/>
        <v>Error?</v>
      </c>
    </row>
    <row r="2635" spans="1:4" x14ac:dyDescent="0.2">
      <c r="A2635" s="5">
        <v>2574</v>
      </c>
      <c r="B2635" s="138">
        <f>'Acct Summary 7-8'!E17</f>
        <v>7722014</v>
      </c>
      <c r="C2635" s="2" t="s">
        <v>573</v>
      </c>
      <c r="D2635" s="2" t="str">
        <f t="shared" si="40"/>
        <v>Error?</v>
      </c>
    </row>
    <row r="2636" spans="1:4" x14ac:dyDescent="0.2">
      <c r="A2636" s="5">
        <v>2575</v>
      </c>
      <c r="B2636" s="138">
        <f>'Acct Summary 7-8'!E20</f>
        <v>-374294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745352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745352</v>
      </c>
      <c r="C2658" s="2" t="s">
        <v>573</v>
      </c>
      <c r="D2658" s="2" t="str">
        <f t="shared" si="40"/>
        <v>Error?</v>
      </c>
    </row>
    <row r="2659" spans="1:4" x14ac:dyDescent="0.2">
      <c r="A2659" s="5">
        <v>2598</v>
      </c>
      <c r="B2659" s="138">
        <f>'Acct Summary 7-8'!H13</f>
        <v>28128328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28128328</v>
      </c>
      <c r="C2661" s="2" t="s">
        <v>573</v>
      </c>
      <c r="D2661" s="2" t="str">
        <f t="shared" si="40"/>
        <v>Error?</v>
      </c>
    </row>
    <row r="2662" spans="1:4" x14ac:dyDescent="0.2">
      <c r="A2662" s="5">
        <v>2601</v>
      </c>
      <c r="B2662" s="138">
        <f>'Acct Summary 7-8'!H20</f>
        <v>-27382976</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1096309</v>
      </c>
      <c r="D2718" s="2" t="str">
        <f t="shared" si="41"/>
        <v>Error?</v>
      </c>
    </row>
    <row r="2719" spans="1:4" x14ac:dyDescent="0.2">
      <c r="A2719" s="5">
        <v>2658</v>
      </c>
      <c r="B2719" s="138">
        <f>'Expenditures 15-22'!D51</f>
        <v>275986</v>
      </c>
      <c r="D2719" s="2" t="str">
        <f t="shared" si="41"/>
        <v>Error?</v>
      </c>
    </row>
    <row r="2720" spans="1:4" x14ac:dyDescent="0.2">
      <c r="A2720" s="5">
        <v>2659</v>
      </c>
      <c r="B2720" s="138">
        <f>'Expenditures 15-22'!E51</f>
        <v>1090</v>
      </c>
      <c r="D2720" s="2" t="str">
        <f t="shared" si="41"/>
        <v>Error?</v>
      </c>
    </row>
    <row r="2721" spans="1:4" x14ac:dyDescent="0.2">
      <c r="A2721" s="5">
        <v>2660</v>
      </c>
      <c r="B2721" s="138">
        <f>'Expenditures 15-22'!F51</f>
        <v>26263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1399648</v>
      </c>
      <c r="C2724" s="2" t="s">
        <v>573</v>
      </c>
      <c r="D2724" s="2" t="str">
        <f t="shared" si="41"/>
        <v>Error?</v>
      </c>
    </row>
    <row r="2725" spans="1:4" x14ac:dyDescent="0.2">
      <c r="A2725" s="5">
        <v>2664</v>
      </c>
      <c r="B2725" s="138">
        <f>'Expenditures 15-22'!D247</f>
        <v>62052</v>
      </c>
      <c r="D2725" s="2" t="str">
        <f t="shared" si="41"/>
        <v>Error?</v>
      </c>
    </row>
    <row r="2726" spans="1:4" x14ac:dyDescent="0.2">
      <c r="A2726" s="5">
        <v>2665</v>
      </c>
      <c r="B2726" s="138">
        <f>'Expenditures 15-22'!K247</f>
        <v>62052</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381382</v>
      </c>
      <c r="C2789" s="2" t="s">
        <v>573</v>
      </c>
      <c r="D2789" s="2" t="str">
        <f t="shared" si="42"/>
        <v>Error?</v>
      </c>
    </row>
    <row r="2790" spans="1:4" x14ac:dyDescent="0.2">
      <c r="A2790" s="5">
        <v>2729</v>
      </c>
      <c r="B2790" s="138">
        <f>'Expenditures 15-22'!E102</f>
        <v>381382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28726776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5320756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5320756</v>
      </c>
      <c r="D2912" s="2" t="str">
        <f t="shared" si="44"/>
        <v>Error?</v>
      </c>
    </row>
    <row r="2913" spans="1:4" x14ac:dyDescent="0.2">
      <c r="A2913" s="5">
        <v>2852</v>
      </c>
      <c r="B2913" s="138">
        <f>'Assets-Liab 5-6'!I41</f>
        <v>5320756</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381382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2095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381382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2095</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902932</v>
      </c>
      <c r="D3055" s="2" t="str">
        <f t="shared" si="46"/>
        <v>Error?</v>
      </c>
    </row>
    <row r="3056" spans="1:4" x14ac:dyDescent="0.2">
      <c r="A3056" s="5">
        <v>2995</v>
      </c>
      <c r="B3056" s="138">
        <f>'Expenditures 15-22'!D10</f>
        <v>161893</v>
      </c>
      <c r="D3056" s="2" t="str">
        <f t="shared" si="46"/>
        <v>Error?</v>
      </c>
    </row>
    <row r="3057" spans="1:4" x14ac:dyDescent="0.2">
      <c r="A3057" s="5">
        <v>2996</v>
      </c>
      <c r="B3057" s="138">
        <f>'Expenditures 15-22'!E10</f>
        <v>708133</v>
      </c>
      <c r="D3057" s="2" t="str">
        <f t="shared" si="46"/>
        <v>Error?</v>
      </c>
    </row>
    <row r="3058" spans="1:4" x14ac:dyDescent="0.2">
      <c r="A3058" s="5">
        <v>2997</v>
      </c>
      <c r="B3058" s="138">
        <f>'Expenditures 15-22'!F10</f>
        <v>877157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3404114</v>
      </c>
      <c r="C3062" s="2" t="s">
        <v>573</v>
      </c>
      <c r="D3062" s="2" t="str">
        <f t="shared" si="46"/>
        <v>Error?</v>
      </c>
    </row>
    <row r="3063" spans="1:4" x14ac:dyDescent="0.2">
      <c r="A3063" s="10">
        <v>3002</v>
      </c>
      <c r="D3063" s="2" t="str">
        <f t="shared" si="46"/>
        <v>OK</v>
      </c>
    </row>
    <row r="3064" spans="1:4" x14ac:dyDescent="0.2">
      <c r="A3064" s="5">
        <v>3003</v>
      </c>
      <c r="B3064" s="138">
        <f>'Expenditures 15-22'!D219</f>
        <v>13072</v>
      </c>
      <c r="D3064" s="2" t="str">
        <f t="shared" si="46"/>
        <v>Error?</v>
      </c>
    </row>
    <row r="3065" spans="1:4" x14ac:dyDescent="0.2">
      <c r="A3065" s="5">
        <v>3004</v>
      </c>
      <c r="B3065" s="138">
        <f>'Expenditures 15-22'!K219</f>
        <v>13072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95956</v>
      </c>
      <c r="C3225" s="2" t="s">
        <v>573</v>
      </c>
      <c r="D3225" s="2" t="str">
        <f t="shared" si="49"/>
        <v>Error?</v>
      </c>
    </row>
    <row r="3226" spans="1:4" x14ac:dyDescent="0.2">
      <c r="A3226" s="5">
        <v>3165</v>
      </c>
      <c r="B3226" s="138">
        <f>'Acct Summary 7-8'!I8</f>
        <v>95956</v>
      </c>
      <c r="C3226" s="2" t="s">
        <v>573</v>
      </c>
      <c r="D3226" s="2" t="str">
        <f t="shared" si="49"/>
        <v>Error?</v>
      </c>
    </row>
    <row r="3227" spans="1:4" x14ac:dyDescent="0.2">
      <c r="A3227" s="5">
        <v>3166</v>
      </c>
      <c r="B3227" s="138">
        <f>'Acct Summary 7-8'!I20</f>
        <v>95956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7135000</v>
      </c>
      <c r="C3231" s="2" t="s">
        <v>573</v>
      </c>
      <c r="D3231" s="2" t="str">
        <f t="shared" si="49"/>
        <v>Error?</v>
      </c>
    </row>
    <row r="3232" spans="1:4" x14ac:dyDescent="0.2">
      <c r="A3232" s="5">
        <v>3171</v>
      </c>
      <c r="B3232" s="138">
        <f>'Acct Summary 7-8'!C77</f>
        <v>-7135000</v>
      </c>
      <c r="C3232" s="2" t="s">
        <v>573</v>
      </c>
      <c r="D3232" s="2" t="str">
        <f t="shared" si="49"/>
        <v>Error?</v>
      </c>
    </row>
    <row r="3233" spans="1:4" x14ac:dyDescent="0.2">
      <c r="A3233" s="5">
        <v>3172</v>
      </c>
      <c r="B3233" s="138">
        <f>'Acct Summary 7-8'!C78</f>
        <v>15188039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2382031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-728236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25000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25000</v>
      </c>
      <c r="C3261" s="2" t="s">
        <v>573</v>
      </c>
      <c r="D3261" s="2" t="str">
        <f t="shared" si="49"/>
        <v>Error?</v>
      </c>
    </row>
    <row r="3262" spans="1:4" x14ac:dyDescent="0.2">
      <c r="A3262" s="5">
        <v>3201</v>
      </c>
      <c r="B3262" s="138">
        <f>'Acct Summary 7-8'!G78</f>
        <v>57036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135000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135000</v>
      </c>
      <c r="C3277" s="2" t="s">
        <v>573</v>
      </c>
      <c r="D3277" s="2" t="str">
        <f t="shared" si="50"/>
        <v>Error?</v>
      </c>
    </row>
    <row r="3278" spans="1:4" x14ac:dyDescent="0.2">
      <c r="A3278" s="5">
        <v>3217</v>
      </c>
      <c r="B3278" s="138">
        <f>'Acct Summary 7-8'!E78</f>
        <v>-239294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7000000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7000000</v>
      </c>
      <c r="C3299" s="2" t="s">
        <v>573</v>
      </c>
      <c r="D3299" s="2" t="str">
        <f t="shared" si="50"/>
        <v>Error?</v>
      </c>
    </row>
    <row r="3300" spans="1:4" x14ac:dyDescent="0.2">
      <c r="A3300" s="5">
        <v>3239</v>
      </c>
      <c r="B3300" s="138">
        <f>'Acct Summary 7-8'!H78</f>
        <v>-20382976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25000</v>
      </c>
      <c r="C3318" s="2" t="s">
        <v>573</v>
      </c>
      <c r="D3318" s="2" t="str">
        <f t="shared" si="50"/>
        <v>Error?</v>
      </c>
    </row>
    <row r="3319" spans="1:4" x14ac:dyDescent="0.2">
      <c r="A3319" s="5">
        <v>3258</v>
      </c>
      <c r="B3319" s="138">
        <f>'Acct Summary 7-8'!I77</f>
        <v>-25000</v>
      </c>
      <c r="C3319" s="2" t="s">
        <v>573</v>
      </c>
      <c r="D3319" s="2" t="str">
        <f t="shared" si="50"/>
        <v>Error?</v>
      </c>
    </row>
    <row r="3320" spans="1:4" x14ac:dyDescent="0.2">
      <c r="A3320" s="5">
        <v>3259</v>
      </c>
      <c r="B3320" s="138">
        <f>'Acct Summary 7-8'!I78</f>
        <v>70956</v>
      </c>
      <c r="C3320" s="2" t="s">
        <v>573</v>
      </c>
      <c r="D3320" s="2" t="str">
        <f t="shared" si="50"/>
        <v>Error?</v>
      </c>
    </row>
    <row r="3321" spans="1:4" x14ac:dyDescent="0.2">
      <c r="A3321" s="5">
        <v>3260</v>
      </c>
      <c r="B3321" s="138">
        <f>'Acct Summary 7-8'!I79</f>
        <v>5249800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5320756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10727814</v>
      </c>
      <c r="D3366" s="2" t="str">
        <f t="shared" si="51"/>
        <v>Error?</v>
      </c>
    </row>
    <row r="3367" spans="1:4" x14ac:dyDescent="0.2">
      <c r="A3367" s="5">
        <v>3306</v>
      </c>
      <c r="B3367" s="138">
        <f>'Expenditures 15-22'!C19</f>
        <v>144340</v>
      </c>
      <c r="D3367" s="2" t="str">
        <f t="shared" si="51"/>
        <v>Error?</v>
      </c>
    </row>
    <row r="3368" spans="1:4" x14ac:dyDescent="0.2">
      <c r="A3368" s="5">
        <v>3307</v>
      </c>
      <c r="B3368" s="138">
        <f>'Expenditures 15-22'!D8</f>
        <v>2244782</v>
      </c>
      <c r="D3368" s="2" t="str">
        <f t="shared" si="51"/>
        <v>Error?</v>
      </c>
    </row>
    <row r="3369" spans="1:4" x14ac:dyDescent="0.2">
      <c r="A3369" s="5">
        <v>3308</v>
      </c>
      <c r="B3369" s="138">
        <f>'Expenditures 15-22'!D19</f>
        <v>17946</v>
      </c>
      <c r="D3369" s="2" t="str">
        <f t="shared" si="51"/>
        <v>Error?</v>
      </c>
    </row>
    <row r="3370" spans="1:4" x14ac:dyDescent="0.2">
      <c r="A3370" s="5">
        <v>3309</v>
      </c>
      <c r="B3370" s="138">
        <f>'Expenditures 15-22'!E8</f>
        <v>68625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128365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13170382</v>
      </c>
      <c r="C3380" s="2" t="s">
        <v>573</v>
      </c>
      <c r="D3380" s="2" t="str">
        <f t="shared" si="51"/>
        <v>Error?</v>
      </c>
    </row>
    <row r="3381" spans="1:4" x14ac:dyDescent="0.2">
      <c r="A3381" s="5">
        <v>3320</v>
      </c>
      <c r="B3381" s="138">
        <f>'Expenditures 15-22'!K19</f>
        <v>162286</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562634</v>
      </c>
      <c r="D3387" s="2" t="str">
        <f t="shared" si="51"/>
        <v>Error?</v>
      </c>
    </row>
    <row r="3388" spans="1:4" x14ac:dyDescent="0.2">
      <c r="A3388" s="5">
        <v>3327</v>
      </c>
      <c r="B3388" s="138">
        <f>'Expenditures 15-22'!D217</f>
        <v>539658</v>
      </c>
      <c r="D3388" s="2" t="str">
        <f t="shared" si="51"/>
        <v>Error?</v>
      </c>
    </row>
    <row r="3389" spans="1:4" x14ac:dyDescent="0.2">
      <c r="A3389" s="5">
        <v>3328</v>
      </c>
      <c r="B3389" s="138">
        <f>'Expenditures 15-22'!D228</f>
        <v>2009</v>
      </c>
      <c r="D3389" s="2" t="str">
        <f t="shared" si="51"/>
        <v>Error?</v>
      </c>
    </row>
    <row r="3390" spans="1:4" x14ac:dyDescent="0.2">
      <c r="A3390" s="5">
        <v>3329</v>
      </c>
      <c r="B3390" s="138">
        <f>'Expenditures 15-22'!K215</f>
        <v>562634</v>
      </c>
      <c r="C3390" s="2" t="s">
        <v>573</v>
      </c>
      <c r="D3390" s="2" t="str">
        <f t="shared" si="51"/>
        <v>Error?</v>
      </c>
    </row>
    <row r="3391" spans="1:4" x14ac:dyDescent="0.2">
      <c r="A3391" s="5">
        <v>3330</v>
      </c>
      <c r="B3391" s="138">
        <f>'Expenditures 15-22'!K217</f>
        <v>539658</v>
      </c>
      <c r="C3391" s="2" t="s">
        <v>573</v>
      </c>
      <c r="D3391" s="2" t="str">
        <f t="shared" ref="D3391:D3454" si="52">IF(ISBLANK(B3391),"OK",IF(A3391-B3391=0,"OK","Error?"))</f>
        <v>Error?</v>
      </c>
    </row>
    <row r="3392" spans="1:4" x14ac:dyDescent="0.2">
      <c r="A3392" s="5">
        <v>3331</v>
      </c>
      <c r="B3392" s="138">
        <f>'Expenditures 15-22'!K228</f>
        <v>2009</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9539524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14381339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3994868</v>
      </c>
      <c r="D3417" s="2" t="str">
        <f t="shared" si="52"/>
        <v>Error?</v>
      </c>
    </row>
    <row r="3418" spans="1:4" x14ac:dyDescent="0.2">
      <c r="A3418" s="10">
        <v>3357</v>
      </c>
      <c r="D3418" s="2" t="str">
        <f t="shared" si="52"/>
        <v>OK</v>
      </c>
    </row>
    <row r="3419" spans="1:4" x14ac:dyDescent="0.2">
      <c r="A3419" s="5">
        <v>3358</v>
      </c>
      <c r="B3419" s="138">
        <f>'Assets-Liab 5-6'!F4</f>
        <v>4721080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3479015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3408779</v>
      </c>
      <c r="D3425" s="2" t="str">
        <f t="shared" si="52"/>
        <v>Error?</v>
      </c>
    </row>
    <row r="3426" spans="1:4" x14ac:dyDescent="0.2">
      <c r="A3426" s="10">
        <v>3365</v>
      </c>
      <c r="D3426" s="2" t="str">
        <f t="shared" si="52"/>
        <v>OK</v>
      </c>
    </row>
    <row r="3427" spans="1:4" x14ac:dyDescent="0.2">
      <c r="A3427" s="5">
        <v>3366</v>
      </c>
      <c r="B3427" s="138">
        <f>'Assets-Liab 5-6'!I4</f>
        <v>5320756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1394614</v>
      </c>
      <c r="C3446" s="2" t="s">
        <v>573</v>
      </c>
      <c r="D3446" s="2" t="str">
        <f t="shared" si="52"/>
        <v>Error?</v>
      </c>
    </row>
    <row r="3447" spans="1:4" x14ac:dyDescent="0.2">
      <c r="A3447" s="5">
        <v>3386</v>
      </c>
      <c r="B3447" s="138">
        <f>'Tax Sched 23'!D16</f>
        <v>682840</v>
      </c>
      <c r="C3447" s="2" t="s">
        <v>573</v>
      </c>
      <c r="D3447" s="2" t="str">
        <f t="shared" si="52"/>
        <v>Error?</v>
      </c>
    </row>
    <row r="3448" spans="1:4" x14ac:dyDescent="0.2">
      <c r="A3448" s="5">
        <v>3387</v>
      </c>
      <c r="B3448" s="138">
        <f>'Tax Sched 23'!C16</f>
        <v>711774</v>
      </c>
      <c r="D3448" s="2" t="str">
        <f t="shared" si="52"/>
        <v>Error?</v>
      </c>
    </row>
    <row r="3449" spans="1:4" x14ac:dyDescent="0.2">
      <c r="A3449" s="5">
        <v>3388</v>
      </c>
      <c r="B3449" s="138">
        <f>'Tax Sched 23'!F16</f>
        <v>825951</v>
      </c>
      <c r="C3449" s="2" t="s">
        <v>573</v>
      </c>
      <c r="D3449" s="2" t="str">
        <f t="shared" si="52"/>
        <v>Error?</v>
      </c>
    </row>
    <row r="3450" spans="1:4" x14ac:dyDescent="0.2">
      <c r="A3450" s="5">
        <v>3389</v>
      </c>
      <c r="B3450" s="138">
        <f>'Tax Sched 23'!E16</f>
        <v>1537725</v>
      </c>
      <c r="D3450" s="2" t="str">
        <f t="shared" si="52"/>
        <v>Error?</v>
      </c>
    </row>
    <row r="3451" spans="1:4" x14ac:dyDescent="0.2">
      <c r="A3451" s="5">
        <v>3390</v>
      </c>
      <c r="B3451" s="138">
        <f>'Cap Outlay Deprec 26'!C15</f>
        <v>28115860</v>
      </c>
      <c r="D3451" s="2" t="str">
        <f t="shared" si="52"/>
        <v>Error?</v>
      </c>
    </row>
    <row r="3452" spans="1:4" x14ac:dyDescent="0.2">
      <c r="A3452" s="5">
        <v>3391</v>
      </c>
      <c r="B3452" s="138">
        <f>'Cap Outlay Deprec 26'!D15</f>
        <v>23558963</v>
      </c>
      <c r="D3452" s="2" t="str">
        <f t="shared" si="52"/>
        <v>Error?</v>
      </c>
    </row>
    <row r="3453" spans="1:4" x14ac:dyDescent="0.2">
      <c r="A3453" s="5">
        <v>3392</v>
      </c>
      <c r="B3453" s="138">
        <f>'Cap Outlay Deprec 26'!E15</f>
        <v>22948047</v>
      </c>
      <c r="D3453" s="2" t="str">
        <f t="shared" si="52"/>
        <v>Error?</v>
      </c>
    </row>
    <row r="3454" spans="1:4" x14ac:dyDescent="0.2">
      <c r="A3454" s="5">
        <v>3393</v>
      </c>
      <c r="B3454" s="138">
        <f>'Cap Outlay Deprec 26'!F15</f>
        <v>28726776</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28726776</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25000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1293662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1293662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1293662</v>
      </c>
      <c r="D3567" s="2" t="str">
        <f t="shared" si="54"/>
        <v>Error?</v>
      </c>
    </row>
    <row r="3568" spans="1:4" x14ac:dyDescent="0.2">
      <c r="A3568" s="5">
        <v>3507</v>
      </c>
      <c r="B3568" s="138">
        <f>'Assets-Liab 5-6'!K41</f>
        <v>1293662</v>
      </c>
      <c r="C3568" s="2" t="s">
        <v>573</v>
      </c>
      <c r="D3568" s="2" t="str">
        <f t="shared" si="54"/>
        <v>Error?</v>
      </c>
    </row>
    <row r="3569" spans="1:4" x14ac:dyDescent="0.2">
      <c r="A3569" s="5">
        <v>3508</v>
      </c>
      <c r="B3569" s="138">
        <f>'Acct Summary 7-8'!K4</f>
        <v>70574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70574</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70574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70574</v>
      </c>
      <c r="C3588" s="2" t="s">
        <v>573</v>
      </c>
      <c r="D3588" s="2" t="str">
        <f t="shared" si="55"/>
        <v>Error?</v>
      </c>
    </row>
    <row r="3589" spans="1:4" x14ac:dyDescent="0.2">
      <c r="A3589" s="5">
        <v>3528</v>
      </c>
      <c r="B3589" s="138">
        <f>'Acct Summary 7-8'!K79</f>
        <v>1223088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1293662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70574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22948</v>
      </c>
      <c r="C3725" s="2" t="s">
        <v>573</v>
      </c>
      <c r="D3725" s="2" t="str">
        <f t="shared" si="57"/>
        <v>Error?</v>
      </c>
    </row>
    <row r="3726" spans="1:4" x14ac:dyDescent="0.2">
      <c r="A3726" s="5">
        <v>3665</v>
      </c>
      <c r="B3726" s="138">
        <f>'Tax Sched 23'!D13</f>
        <v>11366</v>
      </c>
      <c r="C3726" s="2" t="s">
        <v>573</v>
      </c>
      <c r="D3726" s="2" t="str">
        <f t="shared" si="57"/>
        <v>Error?</v>
      </c>
    </row>
    <row r="3727" spans="1:4" x14ac:dyDescent="0.2">
      <c r="A3727" s="5">
        <v>3666</v>
      </c>
      <c r="B3727" s="138">
        <f>'Tax Sched 23'!C13</f>
        <v>11582</v>
      </c>
      <c r="D3727" s="2" t="str">
        <f t="shared" si="57"/>
        <v>Error?</v>
      </c>
    </row>
    <row r="3728" spans="1:4" x14ac:dyDescent="0.2">
      <c r="A3728" s="5">
        <v>3667</v>
      </c>
      <c r="B3728" s="138">
        <f>'Tax Sched 23'!F13</f>
        <v>13440</v>
      </c>
      <c r="C3728" s="2" t="s">
        <v>573</v>
      </c>
      <c r="D3728" s="2" t="str">
        <f t="shared" si="57"/>
        <v>Error?</v>
      </c>
    </row>
    <row r="3729" spans="1:4" x14ac:dyDescent="0.2">
      <c r="A3729" s="5">
        <v>3668</v>
      </c>
      <c r="B3729" s="138">
        <f>'Tax Sched 23'!E13</f>
        <v>25022</v>
      </c>
      <c r="D3729" s="2" t="str">
        <f t="shared" si="57"/>
        <v>Error?</v>
      </c>
    </row>
    <row r="3730" spans="1:4" x14ac:dyDescent="0.2">
      <c r="A3730" s="5">
        <v>3669</v>
      </c>
      <c r="B3730" s="138">
        <f>'ICR Computation 30'!E10</f>
        <v>3704880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49316355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195283675</v>
      </c>
      <c r="C4122" s="2" t="s">
        <v>573</v>
      </c>
      <c r="D4122" s="2" t="str">
        <f t="shared" si="63"/>
        <v>Error?</v>
      </c>
    </row>
    <row r="4123" spans="1:4" x14ac:dyDescent="0.2">
      <c r="A4123" s="5">
        <v>4062</v>
      </c>
      <c r="B4123" s="138">
        <f>'Acct Summary 7-8'!D10</f>
        <v>12635462</v>
      </c>
      <c r="C4123" s="2" t="s">
        <v>573</v>
      </c>
      <c r="D4123" s="2" t="str">
        <f t="shared" si="63"/>
        <v>Error?</v>
      </c>
    </row>
    <row r="4124" spans="1:4" x14ac:dyDescent="0.2">
      <c r="A4124" s="5">
        <v>4063</v>
      </c>
      <c r="B4124" s="138">
        <f>'Acct Summary 7-8'!E10</f>
        <v>7347720</v>
      </c>
      <c r="C4124" s="2" t="s">
        <v>573</v>
      </c>
      <c r="D4124" s="2" t="str">
        <f t="shared" si="63"/>
        <v>Error?</v>
      </c>
    </row>
    <row r="4125" spans="1:4" x14ac:dyDescent="0.2">
      <c r="A4125" s="5">
        <v>4064</v>
      </c>
      <c r="B4125" s="138">
        <f>'Acct Summary 7-8'!F10</f>
        <v>3826393</v>
      </c>
      <c r="C4125" s="2" t="s">
        <v>573</v>
      </c>
      <c r="D4125" s="2" t="str">
        <f t="shared" si="63"/>
        <v>Error?</v>
      </c>
    </row>
    <row r="4126" spans="1:4" x14ac:dyDescent="0.2">
      <c r="A4126" s="5">
        <v>4065</v>
      </c>
      <c r="B4126" s="138">
        <f>'Acct Summary 7-8'!G10</f>
        <v>4225110</v>
      </c>
      <c r="C4126" s="2" t="s">
        <v>573</v>
      </c>
      <c r="D4126" s="2" t="str">
        <f t="shared" si="63"/>
        <v>Error?</v>
      </c>
    </row>
    <row r="4127" spans="1:4" x14ac:dyDescent="0.2">
      <c r="A4127" s="5">
        <v>4066</v>
      </c>
      <c r="B4127" s="138">
        <f>'Acct Summary 7-8'!H10</f>
        <v>745352</v>
      </c>
      <c r="C4127" s="2" t="s">
        <v>573</v>
      </c>
      <c r="D4127" s="2" t="str">
        <f t="shared" si="63"/>
        <v>Error?</v>
      </c>
    </row>
    <row r="4128" spans="1:4" x14ac:dyDescent="0.2">
      <c r="A4128" s="5">
        <v>4067</v>
      </c>
      <c r="B4128" s="138">
        <f>'Acct Summary 7-8'!I10</f>
        <v>95956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70574</v>
      </c>
      <c r="C4130" s="2" t="s">
        <v>573</v>
      </c>
      <c r="D4130" s="2" t="str">
        <f t="shared" si="63"/>
        <v>Error?</v>
      </c>
    </row>
    <row r="4131" spans="1:4" x14ac:dyDescent="0.2">
      <c r="A4131" s="5">
        <v>4070</v>
      </c>
      <c r="B4131" s="138">
        <f>'Acct Summary 7-8'!C18</f>
        <v>49316355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172960636</v>
      </c>
      <c r="C4136" s="2" t="s">
        <v>573</v>
      </c>
      <c r="D4136" s="2" t="str">
        <f t="shared" si="63"/>
        <v>Error?</v>
      </c>
    </row>
    <row r="4137" spans="1:4" x14ac:dyDescent="0.2">
      <c r="A4137" s="5">
        <v>4076</v>
      </c>
      <c r="B4137" s="138">
        <f>'Acct Summary 7-8'!D19</f>
        <v>10253431</v>
      </c>
      <c r="C4137" s="2" t="s">
        <v>573</v>
      </c>
      <c r="D4137" s="2" t="str">
        <f t="shared" si="63"/>
        <v>Error?</v>
      </c>
    </row>
    <row r="4138" spans="1:4" x14ac:dyDescent="0.2">
      <c r="A4138" s="5">
        <v>4077</v>
      </c>
      <c r="B4138" s="138">
        <f>'Acct Summary 7-8'!E19</f>
        <v>7722014</v>
      </c>
      <c r="C4138" s="2" t="s">
        <v>573</v>
      </c>
      <c r="D4138" s="2" t="str">
        <f t="shared" si="63"/>
        <v>Error?</v>
      </c>
    </row>
    <row r="4139" spans="1:4" x14ac:dyDescent="0.2">
      <c r="A4139" s="5">
        <v>4078</v>
      </c>
      <c r="B4139" s="138">
        <f>'Acct Summary 7-8'!F19</f>
        <v>4554629</v>
      </c>
      <c r="C4139" s="2" t="s">
        <v>573</v>
      </c>
      <c r="D4139" s="2" t="str">
        <f t="shared" si="63"/>
        <v>Error?</v>
      </c>
    </row>
    <row r="4140" spans="1:4" x14ac:dyDescent="0.2">
      <c r="A4140" s="5">
        <v>4079</v>
      </c>
      <c r="B4140" s="138">
        <f>'Acct Summary 7-8'!G19</f>
        <v>4193074</v>
      </c>
      <c r="C4140" s="2" t="s">
        <v>573</v>
      </c>
      <c r="D4140" s="2" t="str">
        <f t="shared" si="63"/>
        <v>Error?</v>
      </c>
    </row>
    <row r="4141" spans="1:4" x14ac:dyDescent="0.2">
      <c r="A4141" s="5">
        <v>4080</v>
      </c>
      <c r="B4141" s="138">
        <f>'Acct Summary 7-8'!H19</f>
        <v>28128328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47127617</v>
      </c>
      <c r="C4171" s="2" t="s">
        <v>573</v>
      </c>
      <c r="D4171" s="2" t="str">
        <f t="shared" si="64"/>
        <v>Error?</v>
      </c>
    </row>
    <row r="4172" spans="1:4" x14ac:dyDescent="0.2">
      <c r="A4172" s="5">
        <v>4111</v>
      </c>
      <c r="B4172" s="138">
        <f>'Short-Term Long-Term Debt 24'!J49</f>
        <v>43132749</v>
      </c>
      <c r="C4172" s="2" t="s">
        <v>573</v>
      </c>
      <c r="D4172" s="2" t="str">
        <f t="shared" si="64"/>
        <v>Error?</v>
      </c>
    </row>
    <row r="4173" spans="1:4" x14ac:dyDescent="0.2">
      <c r="A4173" s="5">
        <v>4112</v>
      </c>
      <c r="B4173" s="138">
        <f>'Short-Term Long-Term Debt 24'!H49</f>
        <v>5196505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1900</v>
      </c>
    </row>
    <row r="4236" spans="1:5" x14ac:dyDescent="0.2">
      <c r="A4236" s="10">
        <v>4175</v>
      </c>
      <c r="D4236" s="2" t="str">
        <f t="shared" si="65"/>
        <v>OK</v>
      </c>
      <c r="E4236" s="4" t="s">
        <v>1900</v>
      </c>
    </row>
    <row r="4237" spans="1:5" x14ac:dyDescent="0.2">
      <c r="A4237" s="10">
        <v>4176</v>
      </c>
      <c r="D4237" s="2" t="str">
        <f t="shared" si="65"/>
        <v>OK</v>
      </c>
      <c r="E4237" s="4" t="s">
        <v>1900</v>
      </c>
    </row>
    <row r="4238" spans="1:5" x14ac:dyDescent="0.2">
      <c r="A4238" s="10">
        <v>4177</v>
      </c>
      <c r="D4238" s="2" t="str">
        <f t="shared" si="65"/>
        <v>OK</v>
      </c>
      <c r="E4238" s="4" t="s">
        <v>1900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1922.1</v>
      </c>
      <c r="C4265" s="2" t="s">
        <v>573</v>
      </c>
      <c r="D4265" s="2" t="str">
        <f t="shared" si="65"/>
        <v>Error?</v>
      </c>
      <c r="E4265" s="128"/>
    </row>
    <row r="4266" spans="1:5" x14ac:dyDescent="0.2">
      <c r="A4266" s="12">
        <v>4205</v>
      </c>
      <c r="B4266" s="138">
        <f>('FP Info 3'!F10)*100000</f>
        <v>491.70000000000005</v>
      </c>
      <c r="C4266" s="2" t="s">
        <v>573</v>
      </c>
      <c r="D4266" s="2" t="str">
        <f t="shared" si="65"/>
        <v>Error?</v>
      </c>
      <c r="E4266" s="128"/>
    </row>
    <row r="4267" spans="1:5" x14ac:dyDescent="0.2">
      <c r="A4267" s="12">
        <v>4206</v>
      </c>
      <c r="B4267" s="138">
        <f>('FP Info 3'!H10)*100000</f>
        <v>149.5</v>
      </c>
      <c r="C4267" s="2" t="s">
        <v>573</v>
      </c>
      <c r="D4267" s="2" t="str">
        <f t="shared" si="65"/>
        <v>Error?</v>
      </c>
      <c r="E4267" s="128"/>
    </row>
    <row r="4268" spans="1:5" x14ac:dyDescent="0.2">
      <c r="A4268" s="12">
        <v>4207</v>
      </c>
      <c r="B4268" s="138">
        <f>('FP Info 3'!J10)*100000</f>
        <v>2563</v>
      </c>
      <c r="C4268" s="2" t="s">
        <v>573</v>
      </c>
      <c r="D4268" s="2" t="str">
        <f t="shared" si="65"/>
        <v>Error?</v>
      </c>
    </row>
    <row r="4269" spans="1:5" x14ac:dyDescent="0.2">
      <c r="A4269" s="12">
        <v>4208</v>
      </c>
      <c r="B4269" s="138">
        <f>'FP Info 3'!J16</f>
        <v>174022023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699986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764442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1900</v>
      </c>
    </row>
    <row r="4400" spans="1:5" x14ac:dyDescent="0.2">
      <c r="A4400" s="10">
        <v>4339</v>
      </c>
      <c r="D4400" s="2" t="str">
        <f t="shared" si="67"/>
        <v>OK</v>
      </c>
      <c r="E4400" s="4" t="s">
        <v>1900</v>
      </c>
    </row>
    <row r="4401" spans="1:5" x14ac:dyDescent="0.2">
      <c r="A4401" s="10">
        <v>4340</v>
      </c>
      <c r="D4401" s="2" t="str">
        <f t="shared" si="67"/>
        <v>OK</v>
      </c>
      <c r="E4401" s="4" t="s">
        <v>1900</v>
      </c>
    </row>
    <row r="4402" spans="1:5" x14ac:dyDescent="0.2">
      <c r="A4402" s="10">
        <v>4341</v>
      </c>
      <c r="D4402" s="2" t="str">
        <f t="shared" si="67"/>
        <v>OK</v>
      </c>
      <c r="E4402" s="4" t="s">
        <v>1900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73058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810345</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716349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1467193</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9.9999999999999992E-2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1467193</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342564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645180677</v>
      </c>
      <c r="D4995" s="2" t="str">
        <f t="shared" si="77"/>
        <v>Error?</v>
      </c>
    </row>
    <row r="4996" spans="1:4" x14ac:dyDescent="0.2">
      <c r="A4996" s="12">
        <v>4935</v>
      </c>
      <c r="B4996" s="138">
        <f>'FP Info 3'!H31</f>
        <v>44517466.713000007</v>
      </c>
      <c r="D4996" s="2" t="str">
        <f t="shared" si="77"/>
        <v>Error?</v>
      </c>
    </row>
    <row r="4997" spans="1:4" x14ac:dyDescent="0.2">
      <c r="A4997" s="12">
        <v>4936</v>
      </c>
      <c r="B4997" s="138">
        <f>'FP Info 3'!H37</f>
        <v>47127617</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22948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11241120</v>
      </c>
      <c r="D5061" s="2" t="str">
        <f t="shared" si="78"/>
        <v>Error?</v>
      </c>
    </row>
    <row r="5062" spans="1:4" x14ac:dyDescent="0.2">
      <c r="A5062" s="10">
        <v>5001</v>
      </c>
      <c r="D5062" s="2" t="str">
        <f t="shared" si="78"/>
        <v>OK</v>
      </c>
    </row>
    <row r="5063" spans="1:4" x14ac:dyDescent="0.2">
      <c r="A5063" s="5">
        <v>5002</v>
      </c>
      <c r="B5063" s="138">
        <f>'Revenues 9-14'!C7</f>
        <v>23661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11287729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1587425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1587425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2446689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2446689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142841</v>
      </c>
      <c r="D5099" s="2" t="str">
        <f t="shared" si="78"/>
        <v>Error?</v>
      </c>
    </row>
    <row r="5100" spans="1:4" x14ac:dyDescent="0.2">
      <c r="A5100" s="5">
        <v>5039</v>
      </c>
      <c r="B5100" s="138">
        <f>'Revenues 9-14'!C80</f>
        <v>1475</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144316</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3564</v>
      </c>
      <c r="D5111" s="2" t="str">
        <f t="shared" si="78"/>
        <v>Error?</v>
      </c>
    </row>
    <row r="5112" spans="1:4" x14ac:dyDescent="0.2">
      <c r="A5112" s="5">
        <v>5051</v>
      </c>
      <c r="B5112" s="138">
        <f>'Revenues 9-14'!C93</f>
        <v>3564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13900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1414507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76667</v>
      </c>
      <c r="D5119" s="2" t="str">
        <f t="shared" ref="D5119:D5182" si="79">IF(ISBLANK(B5119),"OK",IF(A5119-B5119=0,"OK","Error?"))</f>
        <v>Error?</v>
      </c>
    </row>
    <row r="5120" spans="1:4" x14ac:dyDescent="0.2">
      <c r="A5120" s="5">
        <v>5059</v>
      </c>
      <c r="B5120" s="138">
        <f>'Revenues 9-14'!C108</f>
        <v>1505074</v>
      </c>
      <c r="C5120" s="2" t="s">
        <v>573</v>
      </c>
      <c r="D5120" s="2" t="str">
        <f t="shared" si="79"/>
        <v>Error?</v>
      </c>
    </row>
    <row r="5121" spans="1:4" x14ac:dyDescent="0.2">
      <c r="A5121" s="5">
        <v>5060</v>
      </c>
      <c r="B5121" s="138">
        <f>'Revenues 9-14'!C109</f>
        <v>16974797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107730852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107730852</v>
      </c>
      <c r="C5132" s="2" t="s">
        <v>573</v>
      </c>
      <c r="D5132" s="2" t="str">
        <f t="shared" si="79"/>
        <v>Error?</v>
      </c>
    </row>
    <row r="5133" spans="1:4" x14ac:dyDescent="0.2">
      <c r="A5133" s="5">
        <v>5072</v>
      </c>
      <c r="B5133" s="138">
        <f>'Revenues 9-14'!C125</f>
        <v>1230674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1230674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145013</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2105772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1900</v>
      </c>
    </row>
    <row r="5200" spans="1:5" x14ac:dyDescent="0.2">
      <c r="A5200" s="10">
        <v>5139</v>
      </c>
      <c r="D5200" s="2" t="str">
        <f t="shared" si="80"/>
        <v>OK</v>
      </c>
      <c r="E5200" s="4" t="s">
        <v>1900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3824023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111554875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5071037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2006319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7077356</v>
      </c>
      <c r="C5246" s="2" t="s">
        <v>573</v>
      </c>
      <c r="D5246" s="2" t="str">
        <f t="shared" si="80"/>
        <v>Error?</v>
      </c>
    </row>
    <row r="5247" spans="1:4" x14ac:dyDescent="0.2">
      <c r="A5247" s="5">
        <v>5186</v>
      </c>
      <c r="B5247" s="138">
        <f>'Revenues 9-14'!C200</f>
        <v>4650733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1900</v>
      </c>
    </row>
    <row r="5255" spans="1:5" x14ac:dyDescent="0.2">
      <c r="A5255" s="5">
        <v>5194</v>
      </c>
      <c r="B5255" s="138">
        <f>'Revenues 9-14'!C202</f>
        <v>0</v>
      </c>
      <c r="D5255" s="2" t="str">
        <f t="shared" si="81"/>
        <v>Error?</v>
      </c>
    </row>
    <row r="5256" spans="1:5" x14ac:dyDescent="0.2">
      <c r="A5256" s="5">
        <v>5195</v>
      </c>
      <c r="B5256" s="138">
        <f>'Revenues 9-14'!C206</f>
        <v>73058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4650733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72829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2560572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2633401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11978</v>
      </c>
      <c r="D5312" s="2" t="str">
        <f t="shared" si="82"/>
        <v>Error?</v>
      </c>
    </row>
    <row r="5313" spans="1:5" x14ac:dyDescent="0.2">
      <c r="A5313" s="10">
        <v>5252</v>
      </c>
      <c r="D5313" s="2" t="str">
        <f t="shared" si="82"/>
        <v>OK</v>
      </c>
      <c r="E5313" s="4" t="s">
        <v>1900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17437648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17437648</v>
      </c>
      <c r="C5326" s="2" t="s">
        <v>573</v>
      </c>
      <c r="D5326" s="2" t="str">
        <f t="shared" si="82"/>
        <v>Error?</v>
      </c>
    </row>
    <row r="5327" spans="1:5" x14ac:dyDescent="0.2">
      <c r="A5327" s="5">
        <v>5266</v>
      </c>
      <c r="B5327" s="138">
        <f>'Revenues 9-14'!C268</f>
        <v>145967320</v>
      </c>
      <c r="C5327" s="2" t="s">
        <v>573</v>
      </c>
      <c r="D5327" s="2" t="str">
        <f t="shared" si="82"/>
        <v>Error?</v>
      </c>
    </row>
    <row r="5328" spans="1:5" x14ac:dyDescent="0.2">
      <c r="A5328" s="5">
        <v>5267</v>
      </c>
      <c r="B5328" s="138">
        <f>'Revenues 9-14'!D5</f>
        <v>2876300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2876300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1428682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1428682</v>
      </c>
      <c r="C5339" s="2" t="s">
        <v>573</v>
      </c>
      <c r="D5339" s="2" t="str">
        <f t="shared" si="82"/>
        <v>Error?</v>
      </c>
    </row>
    <row r="5340" spans="1:4" x14ac:dyDescent="0.2">
      <c r="A5340" s="5">
        <v>5279</v>
      </c>
      <c r="B5340" s="138">
        <f>'Revenues 9-14'!D65</f>
        <v>218195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218195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64720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1265</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46300</v>
      </c>
      <c r="D5354" s="2" t="str">
        <f t="shared" si="82"/>
        <v>Error?</v>
      </c>
    </row>
    <row r="5355" spans="1:4" x14ac:dyDescent="0.2">
      <c r="A5355" s="5">
        <v>5294</v>
      </c>
      <c r="B5355" s="138">
        <f>'Revenues 9-14'!D108</f>
        <v>112285</v>
      </c>
      <c r="C5355" s="2" t="s">
        <v>573</v>
      </c>
      <c r="D5355" s="2" t="str">
        <f t="shared" si="82"/>
        <v>Error?</v>
      </c>
    </row>
    <row r="5356" spans="1:4" x14ac:dyDescent="0.2">
      <c r="A5356" s="5">
        <v>5295</v>
      </c>
      <c r="B5356" s="138">
        <f>'Revenues 9-14'!D109</f>
        <v>4635462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8000000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8000000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8000000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1900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12635462</v>
      </c>
      <c r="C5508" s="2" t="s">
        <v>573</v>
      </c>
      <c r="D5508" s="2" t="str">
        <f t="shared" si="85"/>
        <v>Error?</v>
      </c>
    </row>
    <row r="5509" spans="1:4" x14ac:dyDescent="0.2">
      <c r="A5509" s="5">
        <v>5448</v>
      </c>
      <c r="B5509" s="138">
        <f>'Revenues 9-14'!E5</f>
        <v>5803508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5803508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77019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77019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5880527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7347720</v>
      </c>
      <c r="C5552" s="2" t="s">
        <v>573</v>
      </c>
      <c r="D5552" s="2" t="str">
        <f t="shared" si="85"/>
        <v>Error?</v>
      </c>
    </row>
    <row r="5553" spans="1:4" x14ac:dyDescent="0.2">
      <c r="A5553" s="5">
        <v>5492</v>
      </c>
      <c r="B5553" s="138">
        <f>'Revenues 9-14'!F5</f>
        <v>873529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873529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34584</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34584</v>
      </c>
      <c r="C5579" s="2" t="s">
        <v>573</v>
      </c>
      <c r="D5579" s="2" t="str">
        <f t="shared" si="86"/>
        <v>Error?</v>
      </c>
    </row>
    <row r="5580" spans="1:4" x14ac:dyDescent="0.2">
      <c r="A5580" s="5">
        <v>5519</v>
      </c>
      <c r="B5580" s="138">
        <f>'Revenues 9-14'!F65</f>
        <v>98991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98991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2602</v>
      </c>
      <c r="D5586" s="2" t="str">
        <f t="shared" si="86"/>
        <v>Error?</v>
      </c>
    </row>
    <row r="5587" spans="1:4" x14ac:dyDescent="0.2">
      <c r="A5587" s="5">
        <v>5526</v>
      </c>
      <c r="B5587" s="138">
        <f>'Revenues 9-14'!F108</f>
        <v>2602</v>
      </c>
      <c r="C5587" s="2" t="s">
        <v>573</v>
      </c>
      <c r="D5587" s="2" t="str">
        <f t="shared" si="86"/>
        <v>Error?</v>
      </c>
    </row>
    <row r="5588" spans="1:4" x14ac:dyDescent="0.2">
      <c r="A5588" s="5">
        <v>5527</v>
      </c>
      <c r="B5588" s="138">
        <f>'Revenues 9-14'!F109</f>
        <v>1009706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557394</v>
      </c>
      <c r="D5615" s="2" t="str">
        <f t="shared" si="86"/>
        <v>Error?</v>
      </c>
    </row>
    <row r="5616" spans="1:4" x14ac:dyDescent="0.2">
      <c r="A5616" s="10">
        <v>5555</v>
      </c>
      <c r="D5616" s="2" t="str">
        <f t="shared" si="86"/>
        <v>OK</v>
      </c>
    </row>
    <row r="5617" spans="1:5" x14ac:dyDescent="0.2">
      <c r="A5617" s="5">
        <v>5556</v>
      </c>
      <c r="B5617" s="138">
        <f>'Revenues 9-14'!F153</f>
        <v>2259293</v>
      </c>
      <c r="D5617" s="2" t="str">
        <f t="shared" si="86"/>
        <v>Error?</v>
      </c>
    </row>
    <row r="5618" spans="1:5" x14ac:dyDescent="0.2">
      <c r="A5618" s="5">
        <v>5557</v>
      </c>
      <c r="B5618" s="138">
        <f>'Revenues 9-14'!F155</f>
        <v>2816687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1900</v>
      </c>
    </row>
    <row r="5631" spans="1:5" x14ac:dyDescent="0.2">
      <c r="A5631" s="10">
        <v>5570</v>
      </c>
      <c r="D5631" s="2" t="str">
        <f t="shared" ref="D5631:D5694" si="87">IF(ISBLANK(B5631),"OK",IF(A5631-B5631=0,"OK","Error?"))</f>
        <v>OK</v>
      </c>
      <c r="E5631" s="4" t="s">
        <v>1900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2816687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2816687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1900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1900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3826393</v>
      </c>
      <c r="C5720" s="2" t="s">
        <v>573</v>
      </c>
      <c r="D5720" s="2" t="str">
        <f t="shared" si="88"/>
        <v>Error?</v>
      </c>
    </row>
    <row r="5721" spans="1:4" x14ac:dyDescent="0.2">
      <c r="A5721" s="5">
        <v>5660</v>
      </c>
      <c r="B5721" s="138">
        <f>'Revenues 9-14'!G5</f>
        <v>1441617</v>
      </c>
      <c r="D5721" s="2" t="str">
        <f t="shared" si="88"/>
        <v>Error?</v>
      </c>
    </row>
    <row r="5722" spans="1:4" x14ac:dyDescent="0.2">
      <c r="A5722" s="5">
        <v>5661</v>
      </c>
      <c r="B5722" s="138">
        <f>'Revenues 9-14'!G7</f>
        <v>0</v>
      </c>
      <c r="D5722" s="2" t="str">
        <f t="shared" si="88"/>
        <v>Error?</v>
      </c>
    </row>
    <row r="5723" spans="1:4" x14ac:dyDescent="0.2">
      <c r="A5723" s="5">
        <v>5662</v>
      </c>
      <c r="B5723" s="138">
        <f>'Revenues 9-14'!G8</f>
        <v>1394614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2836231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1326633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1326633</v>
      </c>
      <c r="C5730" s="2" t="s">
        <v>573</v>
      </c>
      <c r="D5730" s="2" t="str">
        <f t="shared" si="88"/>
        <v>Error?</v>
      </c>
    </row>
    <row r="5731" spans="1:4" x14ac:dyDescent="0.2">
      <c r="A5731" s="5">
        <v>5670</v>
      </c>
      <c r="B5731" s="138">
        <f>'Revenues 9-14'!G65</f>
        <v>62246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62246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1900</v>
      </c>
    </row>
    <row r="5768" spans="1:5" x14ac:dyDescent="0.2">
      <c r="A5768" s="10">
        <v>5707</v>
      </c>
      <c r="D5768" s="2" t="str">
        <f t="shared" si="89"/>
        <v>OK</v>
      </c>
      <c r="E5768" s="4" t="s">
        <v>1900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1900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1900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4225110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745352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745352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745352</v>
      </c>
      <c r="C5915" s="2" t="s">
        <v>573</v>
      </c>
      <c r="D5915" s="2" t="str">
        <f t="shared" si="91"/>
        <v>Error?</v>
      </c>
    </row>
    <row r="5916" spans="1:4" x14ac:dyDescent="0.2">
      <c r="A5916" s="5">
        <v>5855</v>
      </c>
      <c r="B5916" s="138">
        <f>'Revenues 9-14'!I5</f>
        <v>463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463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95493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95493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95956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48327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48327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22247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22247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70574</v>
      </c>
      <c r="C6023" s="2" t="s">
        <v>573</v>
      </c>
      <c r="D6023" s="2" t="str">
        <f t="shared" si="93"/>
        <v>Error?</v>
      </c>
    </row>
    <row r="6024" spans="1:5" x14ac:dyDescent="0.2">
      <c r="A6024" s="5">
        <v>5963</v>
      </c>
      <c r="B6024" s="138">
        <f>'Revenues 9-14'!G109</f>
        <v>4225110</v>
      </c>
      <c r="C6024" s="2" t="s">
        <v>573</v>
      </c>
      <c r="D6024" s="2" t="str">
        <f t="shared" si="93"/>
        <v>Error?</v>
      </c>
    </row>
    <row r="6025" spans="1:5" x14ac:dyDescent="0.2">
      <c r="A6025" s="5">
        <v>5964</v>
      </c>
      <c r="B6025" s="138">
        <f>'Revenues 9-14'!H109</f>
        <v>745352</v>
      </c>
      <c r="C6025" s="2" t="s">
        <v>573</v>
      </c>
      <c r="D6025" s="2" t="str">
        <f t="shared" si="93"/>
        <v>Error?</v>
      </c>
    </row>
    <row r="6026" spans="1:5" x14ac:dyDescent="0.2">
      <c r="A6026" s="5">
        <v>5965</v>
      </c>
      <c r="B6026" s="138">
        <f>'Revenues 9-14'!I109</f>
        <v>95956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70574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547279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10142.200000000001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3093205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3093205</v>
      </c>
      <c r="D6215" s="2" t="str">
        <f t="shared" si="96"/>
        <v>Error?</v>
      </c>
      <c r="E6215" s="2" t="s">
        <v>190</v>
      </c>
    </row>
    <row r="6216" spans="1:5" x14ac:dyDescent="0.2">
      <c r="A6216">
        <v>6155</v>
      </c>
      <c r="B6216" s="138">
        <f>'Assets-Liab 5-6'!J41</f>
        <v>3093205</v>
      </c>
      <c r="D6216" s="2" t="str">
        <f t="shared" si="96"/>
        <v>Error?</v>
      </c>
      <c r="E6216" s="2" t="s">
        <v>190</v>
      </c>
    </row>
    <row r="6217" spans="1:5" x14ac:dyDescent="0.2">
      <c r="A6217">
        <v>6156</v>
      </c>
      <c r="B6217" s="138">
        <f>'Assets-Liab 5-6'!J4</f>
        <v>3093205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1577972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1577972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1577972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1488509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1488509</v>
      </c>
      <c r="D6229" s="2" t="str">
        <f t="shared" si="96"/>
        <v>Error?</v>
      </c>
      <c r="E6229" s="2" t="s">
        <v>190</v>
      </c>
    </row>
    <row r="6230" spans="1:5" x14ac:dyDescent="0.2">
      <c r="A6230">
        <v>6169</v>
      </c>
      <c r="B6230" s="138">
        <f>'Acct Summary 7-8'!J20</f>
        <v>89463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89463</v>
      </c>
      <c r="D6263" s="2" t="str">
        <f t="shared" si="96"/>
        <v>Error?</v>
      </c>
      <c r="E6263" s="2" t="s">
        <v>190</v>
      </c>
    </row>
    <row r="6264" spans="1:5" x14ac:dyDescent="0.2">
      <c r="A6264">
        <v>6203</v>
      </c>
      <c r="B6264" s="138">
        <f>'Acct Summary 7-8'!J79</f>
        <v>3003742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3093205</v>
      </c>
      <c r="D6266" s="2" t="str">
        <f t="shared" si="96"/>
        <v>Error?</v>
      </c>
      <c r="E6266" s="2" t="s">
        <v>190</v>
      </c>
    </row>
    <row r="6267" spans="1:5" x14ac:dyDescent="0.2">
      <c r="A6267">
        <v>6206</v>
      </c>
      <c r="B6267" s="138">
        <f>'Acct Summary 7-8'!C82</f>
        <v>15343656</v>
      </c>
      <c r="D6267" s="2" t="str">
        <f t="shared" si="96"/>
        <v>Error?</v>
      </c>
      <c r="E6267" s="2" t="s">
        <v>190</v>
      </c>
    </row>
    <row r="6268" spans="1:5" x14ac:dyDescent="0.2">
      <c r="A6268">
        <v>6207</v>
      </c>
      <c r="B6268" s="138">
        <f>'Acct Summary 7-8'!D82</f>
        <v>2385896</v>
      </c>
      <c r="D6268" s="2" t="str">
        <f t="shared" si="96"/>
        <v>Error?</v>
      </c>
      <c r="E6268" s="2" t="s">
        <v>190</v>
      </c>
    </row>
    <row r="6269" spans="1:5" x14ac:dyDescent="0.2">
      <c r="A6269">
        <v>6208</v>
      </c>
      <c r="B6269" s="138">
        <f>'Acct Summary 7-8'!E82</f>
        <v>-239294</v>
      </c>
      <c r="D6269" s="2" t="str">
        <f t="shared" si="96"/>
        <v>Error?</v>
      </c>
      <c r="E6269" s="2" t="s">
        <v>190</v>
      </c>
    </row>
    <row r="6270" spans="1:5" x14ac:dyDescent="0.2">
      <c r="A6270">
        <v>6209</v>
      </c>
      <c r="B6270" s="138">
        <f>'Acct Summary 7-8'!F82</f>
        <v>-721061</v>
      </c>
      <c r="D6270" s="2" t="str">
        <f t="shared" si="96"/>
        <v>Error?</v>
      </c>
      <c r="E6270" s="2" t="s">
        <v>190</v>
      </c>
    </row>
    <row r="6271" spans="1:5" x14ac:dyDescent="0.2">
      <c r="A6271">
        <v>6210</v>
      </c>
      <c r="B6271" s="138">
        <f>'Acct Summary 7-8'!G82</f>
        <v>57036</v>
      </c>
      <c r="D6271" s="2" t="str">
        <f t="shared" ref="D6271:D6334" si="97">IF(ISBLANK(B6271),"OK",IF(A6271-B6271=0,"OK","Error?"))</f>
        <v>Error?</v>
      </c>
      <c r="E6271" s="2" t="s">
        <v>190</v>
      </c>
    </row>
    <row r="6272" spans="1:5" x14ac:dyDescent="0.2">
      <c r="A6272">
        <v>6211</v>
      </c>
      <c r="B6272" s="138">
        <f>'Acct Summary 7-8'!H82</f>
        <v>-20382976</v>
      </c>
      <c r="D6272" s="2" t="str">
        <f t="shared" si="97"/>
        <v>Error?</v>
      </c>
      <c r="E6272" s="2" t="s">
        <v>190</v>
      </c>
    </row>
    <row r="6273" spans="1:5" x14ac:dyDescent="0.2">
      <c r="A6273">
        <v>6212</v>
      </c>
      <c r="B6273" s="138">
        <f>'Acct Summary 7-8'!I82</f>
        <v>70956</v>
      </c>
      <c r="D6273" s="2" t="str">
        <f t="shared" si="97"/>
        <v>Error?</v>
      </c>
      <c r="E6273" s="2" t="s">
        <v>190</v>
      </c>
    </row>
    <row r="6274" spans="1:5" x14ac:dyDescent="0.2">
      <c r="A6274">
        <v>6213</v>
      </c>
      <c r="B6274" s="138">
        <f>'Acct Summary 7-8'!J82</f>
        <v>89463</v>
      </c>
      <c r="D6274" s="2" t="str">
        <f t="shared" si="97"/>
        <v>Error?</v>
      </c>
      <c r="E6274" s="2" t="s">
        <v>190</v>
      </c>
    </row>
    <row r="6275" spans="1:5" x14ac:dyDescent="0.2">
      <c r="A6275">
        <v>6214</v>
      </c>
      <c r="B6275" s="138">
        <f>'Acct Summary 7-8'!K82</f>
        <v>70574</v>
      </c>
      <c r="D6275" s="2" t="str">
        <f t="shared" si="97"/>
        <v>Error?</v>
      </c>
      <c r="E6275" s="2" t="s">
        <v>190</v>
      </c>
    </row>
    <row r="6276" spans="1:5" x14ac:dyDescent="0.2">
      <c r="A6276">
        <v>6215</v>
      </c>
      <c r="B6276" s="138">
        <f>'Acct Summary 7-8'!C83</f>
        <v>0.10256533526247474</v>
      </c>
      <c r="D6276" s="2" t="str">
        <f t="shared" si="97"/>
        <v>Error?</v>
      </c>
      <c r="E6276" s="2" t="s">
        <v>190</v>
      </c>
    </row>
    <row r="6277" spans="1:5" x14ac:dyDescent="0.2">
      <c r="A6277">
        <v>6216</v>
      </c>
      <c r="B6277" s="138">
        <f>'Acct Summary 7-8'!D83</f>
        <v>0.16590221536395186</v>
      </c>
      <c r="D6277" s="2" t="str">
        <f t="shared" si="97"/>
        <v>Error?</v>
      </c>
      <c r="E6277" s="2" t="s">
        <v>190</v>
      </c>
    </row>
    <row r="6278" spans="1:5" x14ac:dyDescent="0.2">
      <c r="A6278">
        <v>6217</v>
      </c>
      <c r="B6278" s="138">
        <f>'Acct Summary 7-8'!E83</f>
        <v>-5.9900352151810776E-2</v>
      </c>
      <c r="D6278" s="2" t="str">
        <f t="shared" si="97"/>
        <v>Error?</v>
      </c>
      <c r="E6278" s="2" t="s">
        <v>190</v>
      </c>
    </row>
    <row r="6279" spans="1:5" x14ac:dyDescent="0.2">
      <c r="A6279">
        <v>6218</v>
      </c>
      <c r="B6279" s="138">
        <f>'Acct Summary 7-8'!F83</f>
        <v>-0.15273221381548291</v>
      </c>
      <c r="D6279" s="2" t="str">
        <f t="shared" si="97"/>
        <v>Error?</v>
      </c>
      <c r="E6279" s="2" t="s">
        <v>190</v>
      </c>
    </row>
    <row r="6280" spans="1:5" x14ac:dyDescent="0.2">
      <c r="A6280">
        <v>6219</v>
      </c>
      <c r="B6280" s="138">
        <f>'Acct Summary 7-8'!G83</f>
        <v>1.6394295511804349E-2</v>
      </c>
      <c r="D6280" s="2" t="str">
        <f t="shared" si="97"/>
        <v>Error?</v>
      </c>
      <c r="E6280" s="2" t="s">
        <v>190</v>
      </c>
    </row>
    <row r="6281" spans="1:5" x14ac:dyDescent="0.2">
      <c r="A6281">
        <v>6220</v>
      </c>
      <c r="B6281" s="138">
        <f>'Acct Summary 7-8'!H83</f>
        <v>-2.4707745680715378</v>
      </c>
      <c r="D6281" s="2" t="str">
        <f t="shared" si="97"/>
        <v>Error?</v>
      </c>
      <c r="E6281" s="2" t="s">
        <v>190</v>
      </c>
    </row>
    <row r="6282" spans="1:5" x14ac:dyDescent="0.2">
      <c r="A6282">
        <v>6221</v>
      </c>
      <c r="B6282" s="138">
        <f>'Acct Summary 7-8'!I83</f>
        <v>1.3335698911959128E-2</v>
      </c>
      <c r="D6282" s="2" t="str">
        <f t="shared" si="97"/>
        <v>Error?</v>
      </c>
      <c r="E6282" s="2" t="s">
        <v>190</v>
      </c>
    </row>
    <row r="6283" spans="1:5" x14ac:dyDescent="0.2">
      <c r="A6283">
        <v>6222</v>
      </c>
      <c r="B6283" s="138">
        <f>'Acct Summary 7-8'!J83</f>
        <v>2.8922428355055679E-2</v>
      </c>
      <c r="D6283" s="2" t="str">
        <f t="shared" si="97"/>
        <v>Error?</v>
      </c>
      <c r="E6283" s="2" t="s">
        <v>190</v>
      </c>
    </row>
    <row r="6284" spans="1:5" x14ac:dyDescent="0.2">
      <c r="A6284">
        <v>6223</v>
      </c>
      <c r="B6284" s="138">
        <f>'Acct Summary 7-8'!K83</f>
        <v>5.4553662394041101E-2</v>
      </c>
      <c r="D6284" s="2" t="str">
        <f t="shared" si="97"/>
        <v>Error?</v>
      </c>
      <c r="E6284" s="2" t="s">
        <v>190</v>
      </c>
    </row>
    <row r="6285" spans="1:5" x14ac:dyDescent="0.2">
      <c r="A6285">
        <v>6224</v>
      </c>
      <c r="B6285" s="138">
        <f>'Acct Summary 7-8'!E37</f>
        <v>135000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7000000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1523335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1523335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54637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54637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1577972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1899</v>
      </c>
    </row>
    <row r="6383" spans="1:6" x14ac:dyDescent="0.2">
      <c r="A6383" s="129">
        <v>6322</v>
      </c>
      <c r="D6383" s="2" t="str">
        <f t="shared" si="98"/>
        <v>OK</v>
      </c>
      <c r="E6383" s="2" t="s">
        <v>190</v>
      </c>
      <c r="F6383" s="1" t="s">
        <v>1899</v>
      </c>
    </row>
    <row r="6384" spans="1:6" x14ac:dyDescent="0.2">
      <c r="A6384" s="129">
        <v>6323</v>
      </c>
      <c r="D6384" s="2" t="str">
        <f t="shared" si="98"/>
        <v>OK</v>
      </c>
      <c r="E6384" s="2" t="s">
        <v>190</v>
      </c>
      <c r="F6384" s="1" t="s">
        <v>1899</v>
      </c>
    </row>
    <row r="6385" spans="1:6" x14ac:dyDescent="0.2">
      <c r="A6385" s="129">
        <v>6324</v>
      </c>
      <c r="D6385" s="2" t="str">
        <f t="shared" si="98"/>
        <v>OK</v>
      </c>
      <c r="E6385" s="2" t="s">
        <v>190</v>
      </c>
      <c r="F6385" s="1" t="s">
        <v>1899</v>
      </c>
    </row>
    <row r="6386" spans="1:6" x14ac:dyDescent="0.2">
      <c r="A6386" s="129">
        <v>6325</v>
      </c>
      <c r="D6386" s="2" t="str">
        <f t="shared" si="98"/>
        <v>OK</v>
      </c>
      <c r="E6386" s="2" t="s">
        <v>190</v>
      </c>
      <c r="F6386" s="1" t="s">
        <v>1899</v>
      </c>
    </row>
    <row r="6387" spans="1:6" x14ac:dyDescent="0.2">
      <c r="A6387" s="129">
        <v>6326</v>
      </c>
      <c r="D6387" s="2" t="str">
        <f t="shared" si="98"/>
        <v>OK</v>
      </c>
      <c r="E6387" s="2" t="s">
        <v>190</v>
      </c>
      <c r="F6387" s="1" t="s">
        <v>1899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1899</v>
      </c>
    </row>
    <row r="6411" spans="1:6" x14ac:dyDescent="0.2">
      <c r="A6411" s="129">
        <v>6350</v>
      </c>
      <c r="D6411" s="2" t="str">
        <f t="shared" si="99"/>
        <v>OK</v>
      </c>
      <c r="E6411" s="2" t="s">
        <v>190</v>
      </c>
      <c r="F6411" s="1" t="s">
        <v>1899</v>
      </c>
    </row>
    <row r="6412" spans="1:6" x14ac:dyDescent="0.2">
      <c r="A6412" s="129">
        <v>6351</v>
      </c>
      <c r="D6412" s="2" t="str">
        <f t="shared" si="99"/>
        <v>OK</v>
      </c>
      <c r="E6412" s="2" t="s">
        <v>190</v>
      </c>
      <c r="F6412" s="1" t="s">
        <v>1899</v>
      </c>
    </row>
    <row r="6413" spans="1:6" x14ac:dyDescent="0.2">
      <c r="A6413" s="129">
        <v>6352</v>
      </c>
      <c r="D6413" s="2" t="str">
        <f t="shared" si="99"/>
        <v>OK</v>
      </c>
      <c r="E6413" s="2" t="s">
        <v>190</v>
      </c>
      <c r="F6413" s="1" t="s">
        <v>1899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1077063</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1479479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390130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1467193</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1899</v>
      </c>
    </row>
    <row r="6842" spans="1:5" x14ac:dyDescent="0.2">
      <c r="A6842" s="129">
        <v>6781</v>
      </c>
      <c r="D6842" s="2" t="str">
        <f t="shared" si="105"/>
        <v>OK</v>
      </c>
      <c r="E6842" s="1" t="s">
        <v>1899</v>
      </c>
    </row>
    <row r="6843" spans="1:5" x14ac:dyDescent="0.2">
      <c r="A6843" s="129">
        <v>6782</v>
      </c>
      <c r="D6843" s="2" t="str">
        <f t="shared" si="105"/>
        <v>OK</v>
      </c>
      <c r="E6843" s="1" t="s">
        <v>1899</v>
      </c>
    </row>
    <row r="6844" spans="1:5" x14ac:dyDescent="0.2">
      <c r="A6844">
        <v>6783</v>
      </c>
      <c r="B6844" s="138">
        <f>'Expenditures 15-22'!I5</f>
        <v>39400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104241</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2219827</v>
      </c>
      <c r="D6848" s="2" t="str">
        <f t="shared" si="106"/>
        <v>Error?</v>
      </c>
    </row>
    <row r="6849" spans="1:4" x14ac:dyDescent="0.2">
      <c r="A6849">
        <v>6788</v>
      </c>
      <c r="B6849" s="138">
        <f>'Expenditures 15-22'!I8</f>
        <v>796</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794581</v>
      </c>
      <c r="D6853" s="2" t="str">
        <f t="shared" si="106"/>
        <v>Error?</v>
      </c>
    </row>
    <row r="6854" spans="1:4" x14ac:dyDescent="0.2">
      <c r="A6854">
        <v>6793</v>
      </c>
      <c r="B6854" s="138">
        <f>'Expenditures 15-22'!I10</f>
        <v>753999</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118080</v>
      </c>
      <c r="D6878" s="2" t="str">
        <f t="shared" si="106"/>
        <v>Error?</v>
      </c>
    </row>
    <row r="6879" spans="1:4" x14ac:dyDescent="0.2">
      <c r="A6879">
        <v>6818</v>
      </c>
      <c r="B6879" s="138">
        <f>'Expenditures 15-22'!K21</f>
        <v>118080</v>
      </c>
      <c r="D6879" s="2" t="str">
        <f t="shared" si="106"/>
        <v>Error?</v>
      </c>
    </row>
    <row r="6880" spans="1:4" x14ac:dyDescent="0.2">
      <c r="A6880">
        <v>6819</v>
      </c>
      <c r="B6880" s="138">
        <f>'Expenditures 15-22'!H22</f>
        <v>2044729</v>
      </c>
      <c r="D6880" s="2" t="str">
        <f t="shared" si="106"/>
        <v>Error?</v>
      </c>
    </row>
    <row r="6881" spans="1:4" x14ac:dyDescent="0.2">
      <c r="A6881">
        <v>6820</v>
      </c>
      <c r="B6881" s="138">
        <f>'Expenditures 15-22'!K22</f>
        <v>2044729</v>
      </c>
      <c r="D6881" s="2" t="str">
        <f t="shared" si="106"/>
        <v>Error?</v>
      </c>
    </row>
    <row r="6882" spans="1:4" x14ac:dyDescent="0.2">
      <c r="A6882">
        <v>6821</v>
      </c>
      <c r="B6882" s="138">
        <f>'Expenditures 15-22'!H23</f>
        <v>50556</v>
      </c>
      <c r="D6882" s="2" t="str">
        <f t="shared" si="106"/>
        <v>Error?</v>
      </c>
    </row>
    <row r="6883" spans="1:4" x14ac:dyDescent="0.2">
      <c r="A6883">
        <v>6822</v>
      </c>
      <c r="B6883" s="138">
        <f>'Expenditures 15-22'!K23</f>
        <v>50556</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898436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450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450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110998</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441315</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552313</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49811</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49811</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36926</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36926</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215986</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805675</v>
      </c>
      <c r="D6977" s="2" t="str">
        <f t="shared" si="108"/>
        <v>Error?</v>
      </c>
    </row>
    <row r="6978" spans="1:4" x14ac:dyDescent="0.2">
      <c r="A6978">
        <v>6917</v>
      </c>
      <c r="B6978" s="138">
        <f>'Expenditures 15-22'!J74</f>
        <v>49811</v>
      </c>
      <c r="D6978" s="2" t="str">
        <f t="shared" si="108"/>
        <v>Error?</v>
      </c>
    </row>
    <row r="6979" spans="1:4" x14ac:dyDescent="0.2">
      <c r="A6979">
        <v>6918</v>
      </c>
      <c r="B6979" s="138">
        <f>'Expenditures 15-22'!I75</f>
        <v>9655</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155601</v>
      </c>
      <c r="D6983" s="2" t="str">
        <f t="shared" si="108"/>
        <v>Error?</v>
      </c>
    </row>
    <row r="6984" spans="1:4" x14ac:dyDescent="0.2">
      <c r="A6984">
        <v>6923</v>
      </c>
      <c r="B6984" s="138">
        <f>'Expenditures 15-22'!K86</f>
        <v>155601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155601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1713766</v>
      </c>
      <c r="D7020" s="2" t="str">
        <f t="shared" si="108"/>
        <v>Error?</v>
      </c>
    </row>
    <row r="7021" spans="1:4" x14ac:dyDescent="0.2">
      <c r="A7021">
        <v>6960</v>
      </c>
      <c r="B7021" s="138">
        <f>'Expenditures 15-22'!J114</f>
        <v>49811</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73481</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73481</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73481</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1488509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73481</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1577972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76274</v>
      </c>
      <c r="D7073" s="2" t="str">
        <f t="shared" si="109"/>
        <v>Error?</v>
      </c>
    </row>
    <row r="7074" spans="1:4" x14ac:dyDescent="0.2">
      <c r="A7074">
        <v>7013</v>
      </c>
      <c r="B7074" s="138">
        <f>'Expenditures 15-22'!K216</f>
        <v>76274</v>
      </c>
      <c r="D7074" s="2" t="str">
        <f t="shared" si="109"/>
        <v>Error?</v>
      </c>
    </row>
    <row r="7075" spans="1:4" x14ac:dyDescent="0.2">
      <c r="A7075">
        <v>7014</v>
      </c>
      <c r="B7075" s="138">
        <f>'Expenditures 15-22'!D218</f>
        <v>50459</v>
      </c>
      <c r="D7075" s="2" t="str">
        <f t="shared" si="109"/>
        <v>Error?</v>
      </c>
    </row>
    <row r="7076" spans="1:4" x14ac:dyDescent="0.2">
      <c r="A7076">
        <v>7015</v>
      </c>
      <c r="B7076" s="138">
        <f>'Expenditures 15-22'!K218</f>
        <v>50459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858280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858280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13121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13121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558108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558108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59000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59000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1429509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59000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1488509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1429509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59000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1488509</v>
      </c>
      <c r="D7224" s="2" t="str">
        <f t="shared" si="111"/>
        <v>Error?</v>
      </c>
    </row>
    <row r="7225" spans="1:4" x14ac:dyDescent="0.2">
      <c r="A7225">
        <v>7164</v>
      </c>
      <c r="B7225" s="138">
        <f>'Expenditures 15-22'!K343</f>
        <v>89463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342853</v>
      </c>
      <c r="D7246" s="2" t="str">
        <f t="shared" si="112"/>
        <v>Error?</v>
      </c>
    </row>
    <row r="7247" spans="1:4" x14ac:dyDescent="0.2">
      <c r="A7247">
        <f t="shared" si="113"/>
        <v>7186</v>
      </c>
      <c r="B7247" s="138">
        <f>'Expenditures 15-22'!E7</f>
        <v>18108</v>
      </c>
      <c r="D7247" s="2" t="str">
        <f t="shared" si="112"/>
        <v>Error?</v>
      </c>
    </row>
    <row r="7248" spans="1:4" x14ac:dyDescent="0.2">
      <c r="A7248">
        <f t="shared" si="113"/>
        <v>7187</v>
      </c>
      <c r="B7248" s="138">
        <f>'Expenditures 15-22'!F7</f>
        <v>275146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626378</v>
      </c>
      <c r="D7251" s="2" t="str">
        <f t="shared" si="112"/>
        <v>Error?</v>
      </c>
    </row>
    <row r="7252" spans="1:4" x14ac:dyDescent="0.2">
      <c r="A7252">
        <f t="shared" si="113"/>
        <v>7191</v>
      </c>
      <c r="B7252" s="138">
        <f>'Expenditures 15-22'!D9</f>
        <v>159124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9079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1787247</v>
      </c>
      <c r="D7624" s="2" t="str">
        <f t="shared" si="124"/>
        <v>Error?</v>
      </c>
      <c r="E7624" s="2" t="s">
        <v>19</v>
      </c>
    </row>
    <row r="7625" spans="1:5" x14ac:dyDescent="0.2">
      <c r="A7625">
        <f t="shared" si="123"/>
        <v>7564</v>
      </c>
      <c r="B7625" s="138">
        <f>'Cap Outlay Deprec 26'!I17</f>
        <v>178724.7</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7672432.7000000002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135000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7000000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23661</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1467193</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1431</v>
      </c>
    </row>
    <row r="7757" spans="1:6" x14ac:dyDescent="0.2">
      <c r="A7757">
        <v>7696</v>
      </c>
      <c r="B7757" s="138">
        <f>'Aud Quest 2'!E87</f>
        <v>0</v>
      </c>
      <c r="D7757" s="2" t="str">
        <f t="shared" si="127"/>
        <v>Error?</v>
      </c>
      <c r="E7757" s="4" t="s">
        <v>1333</v>
      </c>
      <c r="F7757" t="s">
        <v>1431</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1408</v>
      </c>
    </row>
    <row r="7762" spans="1:5" x14ac:dyDescent="0.2">
      <c r="A7762">
        <v>7701</v>
      </c>
      <c r="B7762" s="138">
        <f>'Expenditures 15-22'!E6</f>
        <v>0</v>
      </c>
      <c r="D7762" s="2" t="str">
        <f t="shared" si="127"/>
        <v>Error?</v>
      </c>
      <c r="E7762" s="4" t="s">
        <v>1418</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1446</v>
      </c>
    </row>
    <row r="7765" spans="1:5" x14ac:dyDescent="0.2">
      <c r="A7765">
        <v>7704</v>
      </c>
      <c r="B7765" s="138">
        <f>'Revenues 9-14'!C254</f>
        <v>0</v>
      </c>
      <c r="D7765" s="2" t="str">
        <f t="shared" si="127"/>
        <v>Error?</v>
      </c>
      <c r="E7765" s="4" t="s">
        <v>1450</v>
      </c>
    </row>
    <row r="7766" spans="1:5" x14ac:dyDescent="0.2">
      <c r="A7766">
        <v>7705</v>
      </c>
      <c r="B7766" s="138">
        <f>'Revenues 9-14'!D254</f>
        <v>0</v>
      </c>
      <c r="D7766" s="2" t="str">
        <f t="shared" si="127"/>
        <v>Error?</v>
      </c>
      <c r="E7766" s="4" t="s">
        <v>1450</v>
      </c>
    </row>
    <row r="7767" spans="1:5" x14ac:dyDescent="0.2">
      <c r="A7767" s="129">
        <v>7706</v>
      </c>
      <c r="E7767" s="4"/>
    </row>
    <row r="7768" spans="1:5" x14ac:dyDescent="0.2">
      <c r="A7768">
        <v>7707</v>
      </c>
      <c r="B7768" s="138">
        <f>'Revenues 9-14'!F254</f>
        <v>0</v>
      </c>
      <c r="D7768" s="2" t="str">
        <f t="shared" si="127"/>
        <v>Error?</v>
      </c>
      <c r="E7768" s="4" t="s">
        <v>1450</v>
      </c>
    </row>
    <row r="7769" spans="1:5" x14ac:dyDescent="0.2">
      <c r="A7769">
        <v>7708</v>
      </c>
      <c r="B7769" s="138">
        <f>'Revenues 9-14'!G254</f>
        <v>0</v>
      </c>
      <c r="D7769" s="2" t="str">
        <f t="shared" si="127"/>
        <v>Error?</v>
      </c>
      <c r="E7769" s="4" t="s">
        <v>1450</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1451</v>
      </c>
    </row>
    <row r="7773" spans="1:5" x14ac:dyDescent="0.2">
      <c r="A7773">
        <v>7712</v>
      </c>
      <c r="B7773" s="138">
        <f>'Rest Tax Levies-Tort Im 25'!J22</f>
        <v>0</v>
      </c>
      <c r="D7773" s="2" t="str">
        <f t="shared" si="127"/>
        <v>Error?</v>
      </c>
      <c r="E7773" s="4" t="s">
        <v>1522</v>
      </c>
    </row>
    <row r="7774" spans="1:5" x14ac:dyDescent="0.2">
      <c r="A7774">
        <v>7713</v>
      </c>
      <c r="B7774" s="138">
        <f>'Expenditures 15-22'!E133</f>
        <v>0</v>
      </c>
      <c r="D7774" s="2" t="str">
        <f t="shared" si="127"/>
        <v>Error?</v>
      </c>
      <c r="E7774" s="4" t="s">
        <v>1817</v>
      </c>
    </row>
    <row r="7775" spans="1:5" x14ac:dyDescent="0.2">
      <c r="A7775">
        <v>7714</v>
      </c>
      <c r="B7775" s="138">
        <f>'Expenditures 15-22'!H133</f>
        <v>0</v>
      </c>
      <c r="D7775" s="2" t="str">
        <f t="shared" si="127"/>
        <v>Error?</v>
      </c>
      <c r="E7775" s="4" t="s">
        <v>1817</v>
      </c>
    </row>
    <row r="7776" spans="1:5" x14ac:dyDescent="0.2">
      <c r="A7776">
        <v>7715</v>
      </c>
      <c r="B7776" s="138">
        <f>'Expenditures 15-22'!K133</f>
        <v>0</v>
      </c>
      <c r="D7776" s="2" t="str">
        <f t="shared" si="127"/>
        <v>Error?</v>
      </c>
      <c r="E7776" s="4" t="s">
        <v>1817</v>
      </c>
    </row>
    <row r="7777" spans="1:5" x14ac:dyDescent="0.2">
      <c r="A7777">
        <v>7716</v>
      </c>
      <c r="B7777" s="138">
        <f>'Expenditures 15-22'!H157</f>
        <v>0</v>
      </c>
      <c r="D7777" s="2" t="str">
        <f t="shared" si="127"/>
        <v>Error?</v>
      </c>
      <c r="E7777" s="4" t="s">
        <v>1817</v>
      </c>
    </row>
    <row r="7778" spans="1:5" x14ac:dyDescent="0.2">
      <c r="A7778">
        <v>7717</v>
      </c>
      <c r="B7778" s="138">
        <f>'Expenditures 15-22'!K157</f>
        <v>0</v>
      </c>
      <c r="D7778" s="2" t="str">
        <f t="shared" si="127"/>
        <v>Error?</v>
      </c>
      <c r="E7778" s="4" t="s">
        <v>1817</v>
      </c>
    </row>
    <row r="7779" spans="1:5" x14ac:dyDescent="0.2">
      <c r="A7779">
        <v>7718</v>
      </c>
      <c r="B7779" s="138">
        <f>'Expenditures 15-22'!H158</f>
        <v>0</v>
      </c>
      <c r="D7779" s="2" t="str">
        <f t="shared" si="127"/>
        <v>Error?</v>
      </c>
      <c r="E7779" s="4" t="s">
        <v>1817</v>
      </c>
    </row>
    <row r="7780" spans="1:5" x14ac:dyDescent="0.2">
      <c r="A7780">
        <v>7719</v>
      </c>
      <c r="B7780" s="138">
        <f>'Expenditures 15-22'!K158</f>
        <v>0</v>
      </c>
      <c r="D7780" s="2" t="str">
        <f t="shared" si="127"/>
        <v>Error?</v>
      </c>
      <c r="E7780" s="4" t="s">
        <v>1817</v>
      </c>
    </row>
    <row r="7781" spans="1:5" x14ac:dyDescent="0.2">
      <c r="A7781">
        <v>7720</v>
      </c>
      <c r="B7781" s="138">
        <f>'Expenditures 15-22'!H159</f>
        <v>0</v>
      </c>
      <c r="D7781" s="2" t="str">
        <f t="shared" si="127"/>
        <v>Error?</v>
      </c>
      <c r="E7781" s="4" t="s">
        <v>1817</v>
      </c>
    </row>
    <row r="7782" spans="1:5" x14ac:dyDescent="0.2">
      <c r="A7782">
        <v>7721</v>
      </c>
      <c r="B7782" s="138">
        <f>'Expenditures 15-22'!K159</f>
        <v>0</v>
      </c>
      <c r="D7782" s="2" t="str">
        <f t="shared" si="127"/>
        <v>Error?</v>
      </c>
      <c r="E7782" s="4" t="s">
        <v>1817</v>
      </c>
    </row>
    <row r="7783" spans="1:5" x14ac:dyDescent="0.2">
      <c r="A7783">
        <v>7722</v>
      </c>
      <c r="B7783" s="138">
        <f>'Expenditures 15-22'!D282</f>
        <v>0</v>
      </c>
      <c r="D7783" s="2" t="str">
        <f t="shared" si="127"/>
        <v>Error?</v>
      </c>
      <c r="E7783" s="4" t="s">
        <v>1817</v>
      </c>
    </row>
    <row r="7784" spans="1:5" x14ac:dyDescent="0.2">
      <c r="A7784">
        <v>7723</v>
      </c>
      <c r="B7784" s="138">
        <f>'Expenditures 15-22'!K282</f>
        <v>0</v>
      </c>
      <c r="D7784" s="2" t="str">
        <f t="shared" si="127"/>
        <v>Error?</v>
      </c>
      <c r="E7784" s="4" t="s">
        <v>1817</v>
      </c>
    </row>
    <row r="7785" spans="1:5" x14ac:dyDescent="0.2">
      <c r="A7785">
        <v>7724</v>
      </c>
      <c r="B7785" s="138">
        <f>'Expenditures 15-22'!H332</f>
        <v>0</v>
      </c>
      <c r="D7785" s="2" t="str">
        <f t="shared" si="127"/>
        <v>Error?</v>
      </c>
      <c r="E7785" s="4" t="s">
        <v>1817</v>
      </c>
    </row>
    <row r="7786" spans="1:5" x14ac:dyDescent="0.2">
      <c r="A7786">
        <v>7725</v>
      </c>
      <c r="B7786" s="138">
        <f>'Expenditures 15-22'!K332</f>
        <v>0</v>
      </c>
      <c r="D7786" s="2" t="str">
        <f t="shared" si="127"/>
        <v>Error?</v>
      </c>
      <c r="E7786" s="4" t="s">
        <v>1817</v>
      </c>
    </row>
    <row r="7787" spans="1:5" x14ac:dyDescent="0.2">
      <c r="A7787">
        <v>7726</v>
      </c>
      <c r="B7787" s="138">
        <f>'Expenditures 15-22'!H333</f>
        <v>0</v>
      </c>
      <c r="D7787" s="2" t="str">
        <f t="shared" si="127"/>
        <v>Error?</v>
      </c>
      <c r="E7787" s="4" t="s">
        <v>1817</v>
      </c>
    </row>
    <row r="7788" spans="1:5" x14ac:dyDescent="0.2">
      <c r="A7788">
        <v>7727</v>
      </c>
      <c r="B7788" s="138">
        <f>'Expenditures 15-22'!K333</f>
        <v>0</v>
      </c>
      <c r="D7788" s="2" t="str">
        <f t="shared" si="127"/>
        <v>Error?</v>
      </c>
      <c r="E7788" s="4" t="s">
        <v>1817</v>
      </c>
    </row>
    <row r="7789" spans="1:5" x14ac:dyDescent="0.2">
      <c r="A7789">
        <v>7728</v>
      </c>
      <c r="B7789" s="138">
        <f>'Expenditures 15-22'!H334</f>
        <v>0</v>
      </c>
      <c r="D7789" s="2" t="str">
        <f t="shared" si="127"/>
        <v>Error?</v>
      </c>
      <c r="E7789" s="4" t="s">
        <v>1817</v>
      </c>
    </row>
    <row r="7790" spans="1:5" x14ac:dyDescent="0.2">
      <c r="A7790">
        <v>7729</v>
      </c>
      <c r="B7790" s="138">
        <f>'Expenditures 15-22'!K334</f>
        <v>0</v>
      </c>
      <c r="D7790" s="2" t="str">
        <f t="shared" si="127"/>
        <v>Error?</v>
      </c>
      <c r="E7790" s="4" t="s">
        <v>1817</v>
      </c>
    </row>
    <row r="7791" spans="1:5" x14ac:dyDescent="0.2">
      <c r="A7791">
        <v>7730</v>
      </c>
      <c r="B7791" s="138">
        <f>'Expenditures 15-22'!H354</f>
        <v>0</v>
      </c>
      <c r="D7791" s="2" t="str">
        <f t="shared" si="127"/>
        <v>Error?</v>
      </c>
      <c r="E7791" s="4" t="s">
        <v>1817</v>
      </c>
    </row>
    <row r="7792" spans="1:5" x14ac:dyDescent="0.2">
      <c r="A7792">
        <v>7731</v>
      </c>
      <c r="B7792" s="138">
        <f>'Expenditures 15-22'!K354</f>
        <v>0</v>
      </c>
      <c r="D7792" s="2" t="str">
        <f t="shared" si="127"/>
        <v>Error?</v>
      </c>
      <c r="E7792" s="4" t="s">
        <v>1817</v>
      </c>
    </row>
    <row r="7793" spans="1:5" x14ac:dyDescent="0.2">
      <c r="A7793">
        <v>7732</v>
      </c>
      <c r="B7793" s="138">
        <f>'Expenditures 15-22'!H355</f>
        <v>0</v>
      </c>
      <c r="D7793" s="2" t="str">
        <f t="shared" si="127"/>
        <v>Error?</v>
      </c>
      <c r="E7793" s="4" t="s">
        <v>1817</v>
      </c>
    </row>
    <row r="7794" spans="1:5" x14ac:dyDescent="0.2">
      <c r="A7794">
        <v>7733</v>
      </c>
      <c r="B7794" s="138">
        <f>'Expenditures 15-22'!K355</f>
        <v>0</v>
      </c>
      <c r="D7794" s="2" t="str">
        <f t="shared" si="127"/>
        <v>Error?</v>
      </c>
      <c r="E7794" s="4" t="s">
        <v>1817</v>
      </c>
    </row>
    <row r="7795" spans="1:5" x14ac:dyDescent="0.2">
      <c r="A7795">
        <v>7734</v>
      </c>
      <c r="B7795" s="138">
        <f>'Expenditures 15-22'!E138</f>
        <v>0</v>
      </c>
      <c r="D7795" s="2" t="str">
        <f t="shared" si="127"/>
        <v>Error?</v>
      </c>
      <c r="E7795" s="4" t="s">
        <v>1817</v>
      </c>
    </row>
    <row r="7796" spans="1:5" x14ac:dyDescent="0.2">
      <c r="A7796">
        <v>7735</v>
      </c>
      <c r="B7796" s="138">
        <f>'Acct Summary 7-8'!J15</f>
        <v>0</v>
      </c>
      <c r="D7796" s="2" t="str">
        <f t="shared" si="127"/>
        <v>Error?</v>
      </c>
      <c r="E7796" s="4" t="s">
        <v>1817</v>
      </c>
    </row>
    <row r="7797" spans="1:5" x14ac:dyDescent="0.2">
      <c r="A7797">
        <v>7736</v>
      </c>
      <c r="B7797" s="138">
        <f>'Contracts Paid in CY 29'!D141</f>
        <v>11889854.309999999</v>
      </c>
      <c r="D7797" s="2" t="str">
        <f t="shared" si="127"/>
        <v>Error?</v>
      </c>
      <c r="E7797" s="4" t="s">
        <v>1866</v>
      </c>
    </row>
    <row r="7798" spans="1:5" x14ac:dyDescent="0.2">
      <c r="A7798">
        <v>7737</v>
      </c>
      <c r="B7798" s="138">
        <f>'Contracts Paid in CY 29'!F141</f>
        <v>1861379.0799999998</v>
      </c>
      <c r="D7798" s="2" t="str">
        <f t="shared" si="127"/>
        <v>Error?</v>
      </c>
      <c r="E7798" s="4" t="s">
        <v>1866</v>
      </c>
    </row>
    <row r="7799" spans="1:5" x14ac:dyDescent="0.2">
      <c r="A7799">
        <v>7738</v>
      </c>
      <c r="B7799" s="138">
        <f>'Contracts Paid in CY 29'!G141</f>
        <v>10028475.229999999</v>
      </c>
      <c r="D7799" s="2" t="str">
        <f t="shared" si="127"/>
        <v>Error?</v>
      </c>
      <c r="E7799" s="4" t="s">
        <v>1866</v>
      </c>
    </row>
    <row r="7800" spans="1:5" x14ac:dyDescent="0.2">
      <c r="A7800">
        <v>7739</v>
      </c>
      <c r="D7800" s="2" t="str">
        <f t="shared" si="127"/>
        <v>OK</v>
      </c>
    </row>
    <row r="7801" spans="1:5" x14ac:dyDescent="0.2">
      <c r="A7801">
        <v>7740</v>
      </c>
      <c r="B7801" s="138">
        <f>'Revenues 9-14'!C120</f>
        <v>0</v>
      </c>
      <c r="D7801" s="2" t="str">
        <f t="shared" si="127"/>
        <v>Error?</v>
      </c>
      <c r="E7801" s="4" t="s">
        <v>1901</v>
      </c>
    </row>
    <row r="7802" spans="1:5" x14ac:dyDescent="0.2">
      <c r="A7802">
        <v>7741</v>
      </c>
      <c r="B7802" s="138">
        <f>'Revenues 9-14'!D120</f>
        <v>0</v>
      </c>
      <c r="D7802" s="2" t="str">
        <f t="shared" si="127"/>
        <v>Error?</v>
      </c>
      <c r="E7802" s="4" t="s">
        <v>1901</v>
      </c>
    </row>
    <row r="7803" spans="1:5" x14ac:dyDescent="0.2">
      <c r="A7803">
        <v>7742</v>
      </c>
      <c r="B7803" s="138">
        <f>'Revenues 9-14'!E120</f>
        <v>0</v>
      </c>
      <c r="D7803" s="2" t="str">
        <f t="shared" si="127"/>
        <v>Error?</v>
      </c>
      <c r="E7803" s="4" t="s">
        <v>1901</v>
      </c>
    </row>
    <row r="7804" spans="1:5" x14ac:dyDescent="0.2">
      <c r="A7804">
        <v>7743</v>
      </c>
      <c r="B7804" s="138">
        <f>'Revenues 9-14'!F120</f>
        <v>0</v>
      </c>
      <c r="D7804" s="2" t="str">
        <f t="shared" si="127"/>
        <v>Error?</v>
      </c>
      <c r="E7804" s="4" t="s">
        <v>1901</v>
      </c>
    </row>
    <row r="7805" spans="1:5" x14ac:dyDescent="0.2">
      <c r="A7805">
        <v>7744</v>
      </c>
      <c r="B7805" s="138">
        <f>'Revenues 9-14'!G120</f>
        <v>0</v>
      </c>
      <c r="D7805" s="2" t="str">
        <f t="shared" si="127"/>
        <v>Error?</v>
      </c>
      <c r="E7805" s="4" t="s">
        <v>1901</v>
      </c>
    </row>
    <row r="7806" spans="1:5" x14ac:dyDescent="0.2">
      <c r="A7806">
        <v>7745</v>
      </c>
      <c r="B7806" s="138">
        <f>'Revenues 9-14'!H120</f>
        <v>0</v>
      </c>
      <c r="D7806" s="2" t="str">
        <f t="shared" si="127"/>
        <v>Error?</v>
      </c>
      <c r="E7806" s="4" t="s">
        <v>1901</v>
      </c>
    </row>
    <row r="7807" spans="1:5" x14ac:dyDescent="0.2">
      <c r="A7807">
        <v>7746</v>
      </c>
      <c r="B7807" s="138">
        <f>'Revenues 9-14'!J120</f>
        <v>0</v>
      </c>
      <c r="D7807" s="2" t="str">
        <f t="shared" ref="D7807:D7816" si="128">IF(ISBLANK(B7807),"OK",IF(A7807-B7807=0,"OK","Error?"))</f>
        <v>Error?</v>
      </c>
      <c r="E7807" s="4" t="s">
        <v>1901</v>
      </c>
    </row>
    <row r="7808" spans="1:5" x14ac:dyDescent="0.2">
      <c r="A7808">
        <v>7747</v>
      </c>
      <c r="B7808" s="138">
        <f>'Revenues 9-14'!K120</f>
        <v>0</v>
      </c>
      <c r="D7808" s="2" t="str">
        <f t="shared" si="128"/>
        <v>Error?</v>
      </c>
      <c r="E7808" s="4" t="s">
        <v>1901</v>
      </c>
    </row>
    <row r="7809" spans="1:5" x14ac:dyDescent="0.2">
      <c r="A7809">
        <v>7748</v>
      </c>
      <c r="B7809" s="138">
        <f>'Revenues 9-14'!C261</f>
        <v>0</v>
      </c>
      <c r="D7809" s="2" t="str">
        <f t="shared" si="128"/>
        <v>Error?</v>
      </c>
      <c r="E7809" s="4" t="s">
        <v>1902</v>
      </c>
    </row>
    <row r="7810" spans="1:5" x14ac:dyDescent="0.2">
      <c r="A7810">
        <v>7749</v>
      </c>
      <c r="B7810" s="138">
        <f>'Revenues 9-14'!D261</f>
        <v>0</v>
      </c>
      <c r="D7810" s="2" t="str">
        <f t="shared" si="128"/>
        <v>Error?</v>
      </c>
      <c r="E7810" s="4" t="s">
        <v>1902</v>
      </c>
    </row>
    <row r="7811" spans="1:5" x14ac:dyDescent="0.2">
      <c r="A7811">
        <v>7750</v>
      </c>
      <c r="B7811" s="138">
        <f>'Revenues 9-14'!F261</f>
        <v>0</v>
      </c>
      <c r="D7811" s="2" t="str">
        <f t="shared" si="128"/>
        <v>Error?</v>
      </c>
      <c r="E7811" s="4" t="s">
        <v>1902</v>
      </c>
    </row>
    <row r="7812" spans="1:5" x14ac:dyDescent="0.2">
      <c r="A7812">
        <v>7751</v>
      </c>
      <c r="B7812" s="138">
        <f>'Revenues 9-14'!G261</f>
        <v>0</v>
      </c>
      <c r="D7812" s="2" t="str">
        <f t="shared" si="128"/>
        <v>Error?</v>
      </c>
      <c r="E7812" s="4" t="s">
        <v>1902</v>
      </c>
    </row>
    <row r="7813" spans="1:5" x14ac:dyDescent="0.2">
      <c r="A7813">
        <v>7752</v>
      </c>
      <c r="B7813" s="138">
        <f>'Revenues 9-14'!C262</f>
        <v>0</v>
      </c>
      <c r="D7813" s="2" t="str">
        <f t="shared" si="128"/>
        <v>Error?</v>
      </c>
      <c r="E7813" s="4" t="s">
        <v>1903</v>
      </c>
    </row>
    <row r="7814" spans="1:5" x14ac:dyDescent="0.2">
      <c r="A7814">
        <v>7753</v>
      </c>
      <c r="B7814" s="138">
        <f>'Revenues 9-14'!D262</f>
        <v>0</v>
      </c>
      <c r="D7814" s="2" t="str">
        <f t="shared" si="128"/>
        <v>Error?</v>
      </c>
      <c r="E7814" s="4" t="s">
        <v>1903</v>
      </c>
    </row>
    <row r="7815" spans="1:5" x14ac:dyDescent="0.2">
      <c r="A7815">
        <v>7754</v>
      </c>
      <c r="B7815" s="138">
        <f>'Revenues 9-14'!F262</f>
        <v>0</v>
      </c>
      <c r="D7815" s="2" t="str">
        <f t="shared" si="128"/>
        <v>Error?</v>
      </c>
      <c r="E7815" s="4" t="s">
        <v>1903</v>
      </c>
    </row>
    <row r="7816" spans="1:5" x14ac:dyDescent="0.2">
      <c r="A7816">
        <v>7755</v>
      </c>
      <c r="B7816" s="138">
        <f>'Revenues 9-14'!G262</f>
        <v>0</v>
      </c>
      <c r="D7816" s="2" t="str">
        <f t="shared" si="128"/>
        <v>Error?</v>
      </c>
      <c r="E7816" s="4" t="s">
        <v>1903</v>
      </c>
    </row>
  </sheetData>
  <sheetProtection password="F60E" sheet="1" objects="1" scenarios="1"/>
  <phoneticPr fontId="20"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22" zoomScale="110" zoomScaleNormal="110" workbookViewId="0">
      <selection activeCell="B42" sqref="B42"/>
    </sheetView>
  </sheetViews>
  <sheetFormatPr defaultColWidth="9.140625" defaultRowHeight="12.75" x14ac:dyDescent="0.2"/>
  <cols>
    <col min="1" max="1" width="7.85546875" style="1153" customWidth="1"/>
    <col min="2" max="2" width="2.28515625" style="1149" customWidth="1"/>
    <col min="3" max="3" width="9.140625" style="1153"/>
    <col min="4" max="4" width="13" style="1153" customWidth="1"/>
    <col min="5" max="5" width="16" style="1153" customWidth="1"/>
    <col min="6" max="6" width="4.140625" style="1153" customWidth="1"/>
    <col min="7" max="7" width="3.7109375" style="1153" customWidth="1"/>
    <col min="8" max="8" width="9.7109375" style="1153" customWidth="1"/>
    <col min="9" max="9" width="10.7109375" style="1153" customWidth="1"/>
    <col min="10" max="10" width="5" style="1153" customWidth="1"/>
    <col min="11" max="11" width="6.5703125" style="1153" customWidth="1"/>
    <col min="12" max="12" width="12.85546875" style="1153" customWidth="1"/>
    <col min="13" max="13" width="2.7109375" style="1153" customWidth="1"/>
    <col min="14" max="14" width="13.140625" style="1153" customWidth="1"/>
    <col min="15" max="15" width="7.140625" style="1153" customWidth="1"/>
    <col min="16" max="16" width="7" style="1153" customWidth="1"/>
    <col min="17" max="17" width="9.7109375" style="1153" customWidth="1"/>
    <col min="18" max="19" width="9.85546875" style="1153" customWidth="1"/>
    <col min="20" max="16384" width="9.140625" style="1153"/>
  </cols>
  <sheetData>
    <row r="1" spans="1:29" x14ac:dyDescent="0.2">
      <c r="A1" s="1148"/>
      <c r="C1" s="1148"/>
      <c r="D1" s="1148"/>
      <c r="E1" s="1148"/>
      <c r="F1" s="1150"/>
      <c r="G1" s="1150"/>
      <c r="H1" s="1148"/>
      <c r="I1" s="1148"/>
      <c r="J1" s="1148"/>
      <c r="K1" s="1148"/>
      <c r="L1" s="1151"/>
      <c r="M1" s="1152"/>
    </row>
    <row r="2" spans="1:29" ht="13.5" customHeight="1" x14ac:dyDescent="0.2">
      <c r="A2" s="2435" t="s">
        <v>1191</v>
      </c>
      <c r="B2" s="2435"/>
      <c r="C2" s="2435"/>
      <c r="D2" s="2435"/>
      <c r="E2" s="2435"/>
      <c r="F2" s="2435"/>
      <c r="G2" s="2435"/>
      <c r="H2" s="2435"/>
      <c r="I2" s="2435"/>
      <c r="J2" s="2435"/>
      <c r="K2" s="2435"/>
      <c r="L2" s="2435"/>
    </row>
    <row r="3" spans="1:29" ht="13.5" customHeight="1" x14ac:dyDescent="0.2">
      <c r="A3" s="2421" t="s">
        <v>1190</v>
      </c>
      <c r="B3" s="2421"/>
      <c r="C3" s="2421"/>
      <c r="D3" s="2421"/>
      <c r="E3" s="2421"/>
      <c r="F3" s="2421"/>
      <c r="G3" s="2421"/>
      <c r="H3" s="2421"/>
      <c r="I3" s="2421"/>
      <c r="J3" s="2421"/>
      <c r="K3" s="2421"/>
      <c r="L3" s="2421"/>
    </row>
    <row r="4" spans="1:29" ht="13.5" customHeight="1" x14ac:dyDescent="0.2">
      <c r="A4" s="2435" t="s">
        <v>1948</v>
      </c>
      <c r="B4" s="2452"/>
      <c r="C4" s="2452"/>
      <c r="D4" s="2452"/>
      <c r="E4" s="2452"/>
      <c r="F4" s="2452"/>
      <c r="G4" s="2452"/>
      <c r="H4" s="2452"/>
      <c r="I4" s="2452"/>
      <c r="J4" s="2452"/>
      <c r="K4" s="2452"/>
      <c r="L4" s="2452"/>
    </row>
    <row r="5" spans="1:29" ht="29.85" customHeight="1" x14ac:dyDescent="0.2">
      <c r="A5" s="1154"/>
      <c r="B5" s="1155"/>
      <c r="C5" s="1154"/>
      <c r="D5" s="1154"/>
      <c r="E5" s="1154"/>
      <c r="F5" s="1154"/>
      <c r="G5" s="1154"/>
      <c r="H5" s="1154"/>
      <c r="I5" s="1154"/>
      <c r="J5" s="1154"/>
      <c r="K5" s="1154"/>
      <c r="L5" s="1154"/>
      <c r="V5" s="1156"/>
      <c r="W5" s="1156"/>
      <c r="X5" s="1156"/>
      <c r="Y5" s="1156"/>
      <c r="Z5" s="1156"/>
      <c r="AA5" s="1156"/>
      <c r="AB5" s="1156"/>
      <c r="AC5" s="1156"/>
    </row>
    <row r="6" spans="1:29" ht="13.5" customHeight="1" x14ac:dyDescent="0.2">
      <c r="A6" s="1157" t="s">
        <v>1189</v>
      </c>
      <c r="B6" s="1158"/>
      <c r="C6" s="1159"/>
      <c r="D6" s="1159"/>
      <c r="E6" s="1160" t="s">
        <v>1188</v>
      </c>
      <c r="F6" s="1161"/>
      <c r="G6" s="1162" t="s">
        <v>1187</v>
      </c>
      <c r="H6" s="1159"/>
      <c r="I6" s="1159"/>
      <c r="J6" s="1159"/>
      <c r="K6" s="1159"/>
      <c r="L6" s="1163"/>
      <c r="V6" s="1156"/>
      <c r="W6" s="1156"/>
      <c r="X6" s="1156"/>
      <c r="Y6" s="1156"/>
      <c r="Z6" s="1156"/>
      <c r="AA6" s="1156"/>
      <c r="AB6" s="1156"/>
      <c r="AC6" s="1156"/>
    </row>
    <row r="7" spans="1:29" ht="16.5" customHeight="1" x14ac:dyDescent="0.2">
      <c r="A7" s="2415" t="str">
        <f>COVER!A17</f>
        <v>Cicero SD 99</v>
      </c>
      <c r="B7" s="2416"/>
      <c r="C7" s="2416"/>
      <c r="D7" s="2453"/>
      <c r="E7" s="2454">
        <f>COVER!A13</f>
        <v>6016099002</v>
      </c>
      <c r="F7" s="2455"/>
      <c r="G7" s="2422" t="str">
        <f>COVER!T23</f>
        <v>066-005142</v>
      </c>
      <c r="H7" s="2423"/>
      <c r="I7" s="2423"/>
      <c r="J7" s="2423"/>
      <c r="K7" s="2423"/>
      <c r="L7" s="2424"/>
    </row>
    <row r="8" spans="1:29" ht="13.5" customHeight="1" x14ac:dyDescent="0.2">
      <c r="A8" s="1157" t="s">
        <v>1503</v>
      </c>
      <c r="B8" s="1158"/>
      <c r="C8" s="1159"/>
      <c r="D8" s="1159"/>
      <c r="E8" s="1164"/>
      <c r="F8" s="1163"/>
      <c r="G8" s="1165" t="s">
        <v>1186</v>
      </c>
      <c r="H8" s="1166"/>
      <c r="I8" s="1166"/>
      <c r="J8" s="1166"/>
      <c r="K8" s="1166"/>
      <c r="L8" s="1167"/>
    </row>
    <row r="9" spans="1:29" ht="13.5" customHeight="1" x14ac:dyDescent="0.2">
      <c r="A9" s="2425"/>
      <c r="B9" s="2426"/>
      <c r="C9" s="2426"/>
      <c r="D9" s="2426"/>
      <c r="E9" s="2426"/>
      <c r="F9" s="2427"/>
      <c r="G9" s="2428" t="str">
        <f>COVER!T13</f>
        <v>EDER, CASELLA &amp; CO.</v>
      </c>
      <c r="H9" s="2429"/>
      <c r="I9" s="2429"/>
      <c r="J9" s="2429"/>
      <c r="K9" s="2429"/>
      <c r="L9" s="2430"/>
    </row>
    <row r="10" spans="1:29" ht="13.5" customHeight="1" x14ac:dyDescent="0.2">
      <c r="A10" s="2412">
        <f>COVER!A38</f>
        <v>0</v>
      </c>
      <c r="B10" s="2413"/>
      <c r="C10" s="2413"/>
      <c r="D10" s="2413"/>
      <c r="E10" s="2413"/>
      <c r="F10" s="2414"/>
      <c r="G10" s="2428" t="str">
        <f>COVER!T17</f>
        <v>5400 WEST ELM STREET, SUITE 203</v>
      </c>
      <c r="H10" s="2441"/>
      <c r="I10" s="2441"/>
      <c r="J10" s="2441"/>
      <c r="K10" s="2441"/>
      <c r="L10" s="2442"/>
    </row>
    <row r="11" spans="1:29" ht="13.5" customHeight="1" x14ac:dyDescent="0.2">
      <c r="A11" s="1157" t="s">
        <v>1505</v>
      </c>
      <c r="B11" s="1158"/>
      <c r="C11" s="1159"/>
      <c r="D11" s="1164"/>
      <c r="E11" s="1159"/>
      <c r="F11" s="1163"/>
      <c r="G11" s="2428" t="str">
        <f>COVER!T19</f>
        <v>MCHENRY</v>
      </c>
      <c r="H11" s="2441"/>
      <c r="I11" s="2441"/>
      <c r="J11" s="2441"/>
      <c r="K11" s="2441"/>
      <c r="L11" s="2442"/>
    </row>
    <row r="12" spans="1:29" ht="13.5" customHeight="1" x14ac:dyDescent="0.2">
      <c r="A12" s="2446" t="s">
        <v>1504</v>
      </c>
      <c r="B12" s="2447"/>
      <c r="C12" s="2447"/>
      <c r="D12" s="2447"/>
      <c r="E12" s="2447"/>
      <c r="F12" s="2448"/>
      <c r="G12" s="2443"/>
      <c r="H12" s="2444"/>
      <c r="I12" s="2444"/>
      <c r="J12" s="2444"/>
      <c r="K12" s="2444"/>
      <c r="L12" s="2445"/>
    </row>
    <row r="13" spans="1:29" ht="13.5" customHeight="1" x14ac:dyDescent="0.2">
      <c r="A13" s="2428"/>
      <c r="B13" s="2441"/>
      <c r="C13" s="2441"/>
      <c r="D13" s="2441"/>
      <c r="E13" s="2441"/>
      <c r="F13" s="2442"/>
      <c r="G13" s="2436" t="s">
        <v>1506</v>
      </c>
      <c r="H13" s="2437"/>
      <c r="I13" s="2449" t="str">
        <f>COVER!T25</f>
        <v>CPAS@EDERCASELLA.COM</v>
      </c>
      <c r="J13" s="2450"/>
      <c r="K13" s="2450"/>
      <c r="L13" s="2451"/>
    </row>
    <row r="14" spans="1:29" ht="13.5" customHeight="1" x14ac:dyDescent="0.2">
      <c r="A14" s="2428" t="str">
        <f>COVER!A19</f>
        <v>5110 WEST 24TH STREET</v>
      </c>
      <c r="B14" s="2441"/>
      <c r="C14" s="2441"/>
      <c r="D14" s="2441"/>
      <c r="E14" s="2441"/>
      <c r="F14" s="2442"/>
      <c r="G14" s="1168" t="s">
        <v>1185</v>
      </c>
      <c r="H14" s="1166"/>
      <c r="I14" s="1166"/>
      <c r="J14" s="1166"/>
      <c r="K14" s="1166"/>
      <c r="L14" s="1167"/>
    </row>
    <row r="15" spans="1:29" ht="13.5" customHeight="1" x14ac:dyDescent="0.2">
      <c r="A15" s="2428" t="str">
        <f>COVER!A21</f>
        <v>CICERO</v>
      </c>
      <c r="B15" s="2441"/>
      <c r="C15" s="2441"/>
      <c r="D15" s="2441"/>
      <c r="E15" s="2441"/>
      <c r="F15" s="2442"/>
      <c r="G15" s="2438" t="str">
        <f>COVER!T15</f>
        <v>KEVIN SMITH</v>
      </c>
      <c r="H15" s="2439"/>
      <c r="I15" s="2439"/>
      <c r="J15" s="2439"/>
      <c r="K15" s="2439"/>
      <c r="L15" s="2440"/>
    </row>
    <row r="16" spans="1:29" ht="12.2" customHeight="1" x14ac:dyDescent="0.2">
      <c r="A16" s="2418">
        <f>COVER!A25</f>
        <v>60804</v>
      </c>
      <c r="B16" s="2419"/>
      <c r="C16" s="2419"/>
      <c r="D16" s="2419"/>
      <c r="E16" s="2419"/>
      <c r="F16" s="2420"/>
      <c r="G16" s="2431"/>
      <c r="H16" s="2432"/>
      <c r="I16" s="2432"/>
      <c r="J16" s="2432"/>
      <c r="K16" s="2432"/>
      <c r="L16" s="2433"/>
    </row>
    <row r="17" spans="1:13" ht="12.2" customHeight="1" x14ac:dyDescent="0.2">
      <c r="A17" s="2434"/>
      <c r="B17" s="2419"/>
      <c r="C17" s="2419"/>
      <c r="D17" s="2419"/>
      <c r="E17" s="2419"/>
      <c r="F17" s="2420"/>
      <c r="G17" s="1168" t="s">
        <v>1184</v>
      </c>
      <c r="H17" s="1166"/>
      <c r="I17" s="1166"/>
      <c r="J17" s="1166"/>
      <c r="K17" s="1170" t="s">
        <v>1183</v>
      </c>
      <c r="L17" s="1163"/>
      <c r="M17" s="1156"/>
    </row>
    <row r="18" spans="1:13" ht="12.2" customHeight="1" x14ac:dyDescent="0.2">
      <c r="A18" s="2412"/>
      <c r="B18" s="2413"/>
      <c r="C18" s="2413"/>
      <c r="D18" s="2413"/>
      <c r="E18" s="2413"/>
      <c r="F18" s="2414"/>
      <c r="G18" s="2415" t="str">
        <f>COVER!T21</f>
        <v>815-344-1300</v>
      </c>
      <c r="H18" s="2416"/>
      <c r="I18" s="2416"/>
      <c r="J18" s="2416"/>
      <c r="K18" s="2415" t="str">
        <f>COVER!X21</f>
        <v>815-344-1320</v>
      </c>
      <c r="L18" s="2417"/>
    </row>
    <row r="19" spans="1:13" ht="12.2" customHeight="1" x14ac:dyDescent="0.2">
      <c r="A19" s="1171"/>
      <c r="C19" s="1171"/>
      <c r="D19" s="1171"/>
      <c r="E19" s="1171"/>
      <c r="F19" s="1171"/>
      <c r="G19" s="1171"/>
      <c r="H19" s="1171"/>
      <c r="I19" s="1171"/>
      <c r="J19" s="1171"/>
      <c r="K19" s="1171"/>
      <c r="L19" s="1171"/>
    </row>
    <row r="20" spans="1:13" ht="12.2" customHeight="1" x14ac:dyDescent="0.2">
      <c r="A20" s="1171"/>
      <c r="C20" s="1171"/>
      <c r="D20" s="1171"/>
      <c r="E20" s="1171"/>
      <c r="F20" s="1171"/>
      <c r="G20" s="1171"/>
      <c r="H20" s="1171"/>
      <c r="I20" s="1171"/>
      <c r="J20" s="1171" t="s">
        <v>1169</v>
      </c>
      <c r="K20" s="1149" t="s">
        <v>1169</v>
      </c>
    </row>
    <row r="21" spans="1:13" ht="12.2" customHeight="1" x14ac:dyDescent="0.2">
      <c r="A21" s="1172" t="s">
        <v>1663</v>
      </c>
    </row>
    <row r="22" spans="1:13" ht="12.2" customHeight="1" x14ac:dyDescent="0.2">
      <c r="A22" s="1173"/>
    </row>
    <row r="23" spans="1:13" ht="12.2" customHeight="1" x14ac:dyDescent="0.2">
      <c r="A23" s="1173"/>
      <c r="B23" s="1174" t="s">
        <v>2084</v>
      </c>
      <c r="C23" s="1175" t="s">
        <v>1182</v>
      </c>
    </row>
    <row r="24" spans="1:13" ht="10.15" customHeight="1" x14ac:dyDescent="0.2">
      <c r="A24" s="1173"/>
      <c r="C24" s="1175" t="s">
        <v>1181</v>
      </c>
    </row>
    <row r="25" spans="1:13" ht="9" customHeight="1" x14ac:dyDescent="0.2">
      <c r="B25" s="1176" t="s">
        <v>1169</v>
      </c>
      <c r="C25" s="1177"/>
    </row>
    <row r="26" spans="1:13" s="1171" customFormat="1" ht="12.2" customHeight="1" x14ac:dyDescent="0.2">
      <c r="B26" s="1174" t="s">
        <v>2084</v>
      </c>
      <c r="C26" s="1175" t="s">
        <v>1664</v>
      </c>
    </row>
    <row r="27" spans="1:13" s="1171" customFormat="1" ht="9" customHeight="1" x14ac:dyDescent="0.2">
      <c r="B27" s="1176"/>
      <c r="C27" s="1175"/>
    </row>
    <row r="28" spans="1:13" s="1171" customFormat="1" ht="12.2" customHeight="1" x14ac:dyDescent="0.2">
      <c r="A28" s="1178"/>
      <c r="B28" s="1174" t="s">
        <v>2084</v>
      </c>
      <c r="C28" s="1175" t="s">
        <v>1665</v>
      </c>
    </row>
    <row r="29" spans="1:13" s="1171" customFormat="1" ht="9" customHeight="1" x14ac:dyDescent="0.2">
      <c r="A29" s="1178"/>
      <c r="B29" s="1176"/>
      <c r="C29" s="1175"/>
    </row>
    <row r="30" spans="1:13" s="1171" customFormat="1" ht="12.2" customHeight="1" x14ac:dyDescent="0.2">
      <c r="B30" s="1174" t="s">
        <v>2084</v>
      </c>
      <c r="C30" s="1175" t="s">
        <v>1531</v>
      </c>
      <c r="D30" s="1169"/>
      <c r="E30" s="1169"/>
    </row>
    <row r="31" spans="1:13" s="1171" customFormat="1" ht="9" customHeight="1" x14ac:dyDescent="0.2">
      <c r="B31" s="1176"/>
      <c r="C31" s="1175"/>
      <c r="D31" s="1169"/>
      <c r="E31" s="1169"/>
    </row>
    <row r="32" spans="1:13" s="1171" customFormat="1" ht="12.2" customHeight="1" x14ac:dyDescent="0.2">
      <c r="B32" s="1174" t="s">
        <v>2084</v>
      </c>
      <c r="C32" s="1175" t="s">
        <v>1532</v>
      </c>
      <c r="D32" s="1169"/>
      <c r="E32" s="1169"/>
    </row>
    <row r="33" spans="1:8" s="1171" customFormat="1" ht="10.9" customHeight="1" x14ac:dyDescent="0.2">
      <c r="B33" s="1176"/>
      <c r="C33" s="1179" t="s">
        <v>1666</v>
      </c>
      <c r="D33" s="1169"/>
      <c r="E33" s="1169"/>
    </row>
    <row r="34" spans="1:8" ht="9" customHeight="1" x14ac:dyDescent="0.2">
      <c r="B34" s="1176"/>
      <c r="C34" s="1179"/>
    </row>
    <row r="35" spans="1:8" s="1171" customFormat="1" ht="13.5" customHeight="1" x14ac:dyDescent="0.2">
      <c r="B35" s="1174" t="s">
        <v>2084</v>
      </c>
      <c r="C35" s="1175" t="s">
        <v>1533</v>
      </c>
    </row>
    <row r="36" spans="1:8" s="1171" customFormat="1" ht="10.9" customHeight="1" x14ac:dyDescent="0.2">
      <c r="B36" s="1176"/>
      <c r="C36" s="1179" t="s">
        <v>1534</v>
      </c>
    </row>
    <row r="37" spans="1:8" ht="9" customHeight="1" x14ac:dyDescent="0.2">
      <c r="B37" s="1176"/>
      <c r="C37" s="1179"/>
    </row>
    <row r="38" spans="1:8" s="1171" customFormat="1" ht="12.2" customHeight="1" x14ac:dyDescent="0.2">
      <c r="B38" s="1174" t="s">
        <v>2084</v>
      </c>
      <c r="C38" s="1175" t="s">
        <v>1535</v>
      </c>
    </row>
    <row r="39" spans="1:8" ht="9" customHeight="1" x14ac:dyDescent="0.2">
      <c r="B39" s="1176"/>
      <c r="C39" s="1179"/>
    </row>
    <row r="40" spans="1:8" s="1171" customFormat="1" ht="13.5" customHeight="1" x14ac:dyDescent="0.2">
      <c r="B40" s="1174" t="s">
        <v>2084</v>
      </c>
      <c r="C40" s="1175" t="s">
        <v>1536</v>
      </c>
    </row>
    <row r="41" spans="1:8" ht="9" customHeight="1" x14ac:dyDescent="0.2">
      <c r="A41" s="1180"/>
      <c r="B41" s="1176"/>
      <c r="C41" s="1179"/>
    </row>
    <row r="42" spans="1:8" s="1171" customFormat="1" ht="13.5" customHeight="1" x14ac:dyDescent="0.2">
      <c r="B42" s="1174" t="s">
        <v>2084</v>
      </c>
      <c r="C42" s="1175" t="s">
        <v>1798</v>
      </c>
      <c r="D42" s="1169"/>
      <c r="E42" s="1169"/>
      <c r="F42" s="1169"/>
      <c r="G42" s="1169"/>
      <c r="H42" s="1169"/>
    </row>
    <row r="43" spans="1:8" s="1171" customFormat="1" ht="12.95" customHeight="1" x14ac:dyDescent="0.2">
      <c r="B43" s="1176"/>
      <c r="C43" s="1166"/>
      <c r="D43" s="1169"/>
      <c r="E43" s="1169"/>
      <c r="F43" s="1169"/>
      <c r="G43" s="1169"/>
      <c r="H43" s="1169"/>
    </row>
    <row r="44" spans="1:8" s="1171" customFormat="1" ht="13.5" customHeight="1" x14ac:dyDescent="0.2">
      <c r="A44" s="1172" t="s">
        <v>1180</v>
      </c>
      <c r="B44" s="1176"/>
      <c r="D44" s="1169"/>
      <c r="E44" s="1169"/>
      <c r="F44" s="1169"/>
      <c r="G44" s="1169"/>
      <c r="H44" s="1169"/>
    </row>
    <row r="45" spans="1:8" ht="12" customHeight="1" x14ac:dyDescent="0.2">
      <c r="B45" s="1176"/>
      <c r="D45" s="1181"/>
      <c r="E45" s="1181"/>
      <c r="F45" s="1181"/>
      <c r="G45" s="1181"/>
      <c r="H45" s="1181"/>
    </row>
    <row r="46" spans="1:8" s="1171" customFormat="1" ht="12.2" customHeight="1" x14ac:dyDescent="0.2">
      <c r="B46" s="1174"/>
      <c r="C46" s="1182" t="s">
        <v>1537</v>
      </c>
      <c r="D46" s="1169"/>
      <c r="E46" s="1169"/>
      <c r="F46" s="1169"/>
      <c r="G46" s="1169"/>
      <c r="H46" s="1169"/>
    </row>
    <row r="47" spans="1:8" ht="9" customHeight="1" x14ac:dyDescent="0.2"/>
    <row r="48" spans="1:8" ht="12.2" customHeight="1" x14ac:dyDescent="0.2">
      <c r="B48" s="1870"/>
      <c r="C48" s="1183" t="s">
        <v>1538</v>
      </c>
    </row>
    <row r="49" spans="1:12" ht="9" customHeight="1" x14ac:dyDescent="0.2"/>
    <row r="50" spans="1:12" ht="6" customHeight="1" x14ac:dyDescent="0.2">
      <c r="C50" s="1183"/>
    </row>
    <row r="51" spans="1:12" ht="12.2" customHeight="1" x14ac:dyDescent="0.2">
      <c r="A51" s="1181"/>
    </row>
    <row r="52" spans="1:12" ht="12.2" customHeight="1" x14ac:dyDescent="0.2"/>
    <row r="53" spans="1:12" ht="12.2" customHeight="1" x14ac:dyDescent="0.2"/>
    <row r="54" spans="1:12" ht="12.2" customHeight="1" x14ac:dyDescent="0.2"/>
    <row r="55" spans="1:12" ht="12.2" customHeight="1" x14ac:dyDescent="0.2">
      <c r="A55" s="1184"/>
    </row>
    <row r="58" spans="1:12" ht="12.75" customHeight="1" x14ac:dyDescent="0.2"/>
    <row r="59" spans="1:12" ht="36" customHeight="1" x14ac:dyDescent="0.2">
      <c r="L59" s="1151"/>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D24" sqref="D24"/>
    </sheetView>
  </sheetViews>
  <sheetFormatPr defaultColWidth="10.7109375" defaultRowHeight="11.25" x14ac:dyDescent="0.2"/>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x14ac:dyDescent="0.2">
      <c r="A1" s="2456" t="str">
        <f>'Single Audit Cover'!A7</f>
        <v>Cicero SD 99</v>
      </c>
      <c r="B1" s="2452"/>
      <c r="C1" s="2452"/>
      <c r="D1" s="2452"/>
    </row>
    <row r="2" spans="1:11" s="1185" customFormat="1" ht="12.75" x14ac:dyDescent="0.2">
      <c r="A2" s="2457">
        <f>'Single Audit Cover'!E7</f>
        <v>6016099002</v>
      </c>
      <c r="B2" s="2458"/>
      <c r="C2" s="2458"/>
      <c r="D2" s="2458"/>
    </row>
    <row r="3" spans="1:11" s="1185" customFormat="1" ht="12.75" x14ac:dyDescent="0.2">
      <c r="A3" s="2456" t="s">
        <v>1499</v>
      </c>
      <c r="B3" s="2452"/>
      <c r="C3" s="2452"/>
      <c r="D3" s="2452"/>
    </row>
    <row r="4" spans="1:11" s="1185" customFormat="1" ht="4.5" customHeight="1" x14ac:dyDescent="0.2">
      <c r="A4" s="1186"/>
      <c r="B4" s="1187"/>
      <c r="C4" s="1187"/>
      <c r="D4" s="1187"/>
    </row>
    <row r="5" spans="1:11" x14ac:dyDescent="0.2">
      <c r="B5" s="1189" t="s">
        <v>1500</v>
      </c>
      <c r="C5" s="1190"/>
      <c r="D5" s="1191"/>
    </row>
    <row r="6" spans="1:11" x14ac:dyDescent="0.2">
      <c r="B6" s="1189" t="s">
        <v>1225</v>
      </c>
      <c r="C6" s="1190"/>
      <c r="D6" s="1191"/>
    </row>
    <row r="7" spans="1:11" x14ac:dyDescent="0.2">
      <c r="B7" s="1189" t="s">
        <v>1501</v>
      </c>
      <c r="C7" s="1190"/>
      <c r="D7" s="1191"/>
    </row>
    <row r="8" spans="1:11" ht="4.5" customHeight="1" x14ac:dyDescent="0.2">
      <c r="B8" s="1189"/>
      <c r="C8" s="1190"/>
      <c r="D8" s="1191"/>
    </row>
    <row r="9" spans="1:11" x14ac:dyDescent="0.2">
      <c r="B9" s="1193" t="s">
        <v>1224</v>
      </c>
      <c r="C9" s="1194"/>
      <c r="D9" s="1191"/>
    </row>
    <row r="10" spans="1:11" ht="4.5" customHeight="1" x14ac:dyDescent="0.2">
      <c r="B10" s="1193"/>
      <c r="C10" s="1194"/>
      <c r="D10" s="1191"/>
    </row>
    <row r="11" spans="1:11" x14ac:dyDescent="0.2">
      <c r="B11" s="1195"/>
      <c r="C11" s="1196">
        <v>1</v>
      </c>
      <c r="D11" s="1197" t="s">
        <v>1667</v>
      </c>
      <c r="E11" s="1198"/>
      <c r="F11" s="1198"/>
      <c r="G11" s="1198"/>
      <c r="H11" s="1198"/>
      <c r="I11" s="1198"/>
      <c r="J11" s="1198"/>
      <c r="K11" s="1198"/>
    </row>
    <row r="12" spans="1:11" ht="3" customHeight="1" x14ac:dyDescent="0.2">
      <c r="B12" s="1199"/>
      <c r="C12" s="1196"/>
      <c r="D12" s="1197"/>
      <c r="E12" s="1198"/>
      <c r="F12" s="1198"/>
      <c r="G12" s="1198"/>
      <c r="H12" s="1198"/>
      <c r="I12" s="1198"/>
      <c r="J12" s="1198"/>
      <c r="K12" s="1198"/>
    </row>
    <row r="13" spans="1:11" x14ac:dyDescent="0.2">
      <c r="B13" s="1195"/>
      <c r="C13" s="1196">
        <f>C11+1</f>
        <v>2</v>
      </c>
      <c r="D13" s="1200" t="s">
        <v>1668</v>
      </c>
      <c r="E13" s="1198"/>
      <c r="F13" s="1198"/>
      <c r="G13" s="1198"/>
      <c r="H13" s="1198"/>
      <c r="I13" s="1198"/>
      <c r="J13" s="1198"/>
      <c r="K13" s="1198"/>
    </row>
    <row r="14" spans="1:11" ht="3" customHeight="1" x14ac:dyDescent="0.2">
      <c r="B14" s="1199"/>
      <c r="C14" s="1196"/>
      <c r="D14" s="1200"/>
      <c r="E14" s="1198"/>
      <c r="F14" s="1198"/>
      <c r="G14" s="1198"/>
      <c r="H14" s="1198"/>
      <c r="I14" s="1198"/>
      <c r="J14" s="1198"/>
      <c r="K14" s="1198"/>
    </row>
    <row r="15" spans="1:11" x14ac:dyDescent="0.2">
      <c r="B15" s="1195"/>
      <c r="C15" s="1196">
        <f>C13+1</f>
        <v>3</v>
      </c>
      <c r="D15" s="1197" t="s">
        <v>1669</v>
      </c>
      <c r="E15" s="1198"/>
      <c r="F15" s="1198"/>
      <c r="G15" s="1198"/>
      <c r="H15" s="1198"/>
      <c r="I15" s="1198"/>
      <c r="J15" s="1198"/>
      <c r="K15" s="1198"/>
    </row>
    <row r="16" spans="1:11" ht="10.5" customHeight="1" x14ac:dyDescent="0.2">
      <c r="B16" s="1201"/>
      <c r="D16" s="1200" t="s">
        <v>1223</v>
      </c>
      <c r="E16" s="1198"/>
      <c r="F16" s="1198"/>
      <c r="G16" s="1198"/>
      <c r="H16" s="1198"/>
      <c r="I16" s="1198"/>
      <c r="J16" s="1198"/>
      <c r="K16" s="1198"/>
    </row>
    <row r="17" spans="1:11" ht="3" customHeight="1" x14ac:dyDescent="0.2">
      <c r="B17" s="1201"/>
      <c r="D17" s="1200"/>
      <c r="E17" s="1198"/>
      <c r="F17" s="1198"/>
      <c r="G17" s="1198"/>
      <c r="H17" s="1198"/>
      <c r="I17" s="1198"/>
      <c r="J17" s="1198"/>
      <c r="K17" s="1198"/>
    </row>
    <row r="18" spans="1:11" x14ac:dyDescent="0.2">
      <c r="B18" s="1195"/>
      <c r="C18" s="1196">
        <f>C15+1</f>
        <v>4</v>
      </c>
      <c r="D18" s="1203" t="s">
        <v>1670</v>
      </c>
      <c r="E18" s="1198"/>
      <c r="F18" s="1198"/>
      <c r="G18" s="1198"/>
      <c r="H18" s="1198"/>
      <c r="I18" s="1198"/>
      <c r="J18" s="1198"/>
      <c r="K18" s="1198"/>
    </row>
    <row r="19" spans="1:11" ht="9.75" customHeight="1" x14ac:dyDescent="0.2">
      <c r="A19" s="1192"/>
      <c r="B19" s="1201"/>
      <c r="D19" s="1200" t="s">
        <v>1222</v>
      </c>
      <c r="E19" s="1198"/>
      <c r="F19" s="1198"/>
      <c r="G19" s="1198"/>
      <c r="H19" s="1198"/>
      <c r="I19" s="1198"/>
      <c r="J19" s="1198"/>
      <c r="K19" s="1198"/>
    </row>
    <row r="20" spans="1:11" ht="3" customHeight="1" x14ac:dyDescent="0.2">
      <c r="A20" s="1192"/>
      <c r="B20" s="1201"/>
      <c r="D20" s="1200"/>
      <c r="E20" s="1198"/>
      <c r="F20" s="1198"/>
      <c r="G20" s="1198"/>
      <c r="H20" s="1198"/>
      <c r="I20" s="1198"/>
      <c r="J20" s="1198"/>
      <c r="K20" s="1198"/>
    </row>
    <row r="21" spans="1:11" x14ac:dyDescent="0.2">
      <c r="A21" s="1192"/>
      <c r="B21" s="1195"/>
      <c r="C21" s="1196">
        <f>C18+1</f>
        <v>5</v>
      </c>
      <c r="D21" s="1200" t="s">
        <v>1221</v>
      </c>
      <c r="E21" s="1198"/>
      <c r="F21" s="1198"/>
      <c r="G21" s="1198"/>
      <c r="H21" s="1198"/>
      <c r="I21" s="1198"/>
      <c r="J21" s="1198"/>
      <c r="K21" s="1198"/>
    </row>
    <row r="22" spans="1:11" ht="10.5" customHeight="1" x14ac:dyDescent="0.2">
      <c r="A22" s="1192"/>
      <c r="B22" s="1201"/>
      <c r="D22" s="1200" t="s">
        <v>1220</v>
      </c>
      <c r="E22" s="1198"/>
      <c r="F22" s="1198"/>
      <c r="G22" s="1198"/>
      <c r="H22" s="1198"/>
      <c r="I22" s="1198"/>
      <c r="J22" s="1198"/>
      <c r="K22" s="1198"/>
    </row>
    <row r="23" spans="1:11" ht="3" customHeight="1" x14ac:dyDescent="0.2">
      <c r="A23" s="1192"/>
      <c r="B23" s="1201"/>
      <c r="D23" s="1200"/>
      <c r="E23" s="1198"/>
      <c r="F23" s="1198"/>
      <c r="G23" s="1198"/>
      <c r="H23" s="1198"/>
      <c r="I23" s="1198"/>
      <c r="J23" s="1198"/>
      <c r="K23" s="1198"/>
    </row>
    <row r="24" spans="1:11" x14ac:dyDescent="0.2">
      <c r="A24" s="1192"/>
      <c r="B24" s="1195"/>
      <c r="C24" s="1196">
        <f>C21+1</f>
        <v>6</v>
      </c>
      <c r="D24" s="1204" t="s">
        <v>1691</v>
      </c>
      <c r="E24" s="1198"/>
      <c r="F24" s="1198"/>
      <c r="G24" s="1198"/>
      <c r="H24" s="1198"/>
      <c r="I24" s="1198"/>
      <c r="J24" s="1198"/>
      <c r="K24" s="1198"/>
    </row>
    <row r="25" spans="1:11" x14ac:dyDescent="0.2">
      <c r="A25" s="1192"/>
      <c r="B25" s="1201"/>
      <c r="D25" s="1200" t="s">
        <v>1671</v>
      </c>
      <c r="E25" s="1198"/>
      <c r="F25" s="1198"/>
      <c r="G25" s="1198"/>
      <c r="H25" s="1198"/>
      <c r="I25" s="1198"/>
      <c r="J25" s="1198"/>
      <c r="K25" s="1198"/>
    </row>
    <row r="26" spans="1:11" x14ac:dyDescent="0.2">
      <c r="A26" s="1192"/>
      <c r="B26" s="1201"/>
      <c r="D26" s="1205" t="s">
        <v>1672</v>
      </c>
      <c r="E26" s="1198"/>
      <c r="F26" s="1198"/>
      <c r="G26" s="1198"/>
      <c r="H26" s="1198"/>
      <c r="I26" s="1198"/>
      <c r="J26" s="1198"/>
      <c r="K26" s="1198"/>
    </row>
    <row r="27" spans="1:11" ht="3" customHeight="1" x14ac:dyDescent="0.2">
      <c r="A27" s="1192"/>
      <c r="B27" s="1201"/>
      <c r="D27" s="1205"/>
      <c r="E27" s="1198"/>
      <c r="F27" s="1198"/>
      <c r="G27" s="1198"/>
      <c r="H27" s="1198"/>
      <c r="I27" s="1198"/>
      <c r="J27" s="1198"/>
      <c r="K27" s="1198"/>
    </row>
    <row r="28" spans="1:11" x14ac:dyDescent="0.2">
      <c r="A28" s="1192"/>
      <c r="B28" s="1195"/>
      <c r="C28" s="1202">
        <f>C24+1</f>
        <v>7</v>
      </c>
      <c r="D28" s="1205" t="s">
        <v>1539</v>
      </c>
      <c r="E28" s="1198"/>
      <c r="F28" s="1198"/>
      <c r="G28" s="1198"/>
      <c r="H28" s="1198"/>
      <c r="I28" s="1198"/>
      <c r="J28" s="1198"/>
      <c r="K28" s="1198"/>
    </row>
    <row r="29" spans="1:11" ht="10.5" customHeight="1" x14ac:dyDescent="0.2">
      <c r="A29" s="1192"/>
      <c r="D29" s="1206" t="s">
        <v>1540</v>
      </c>
    </row>
    <row r="30" spans="1:11" ht="6" customHeight="1" x14ac:dyDescent="0.2">
      <c r="A30" s="1192"/>
      <c r="D30" s="1191"/>
    </row>
    <row r="31" spans="1:11" x14ac:dyDescent="0.2">
      <c r="A31" s="1192"/>
      <c r="B31" s="1193" t="s">
        <v>1219</v>
      </c>
      <c r="C31" s="1194"/>
      <c r="D31" s="1191"/>
    </row>
    <row r="32" spans="1:11" ht="4.5" customHeight="1" x14ac:dyDescent="0.2">
      <c r="A32" s="1192"/>
      <c r="B32" s="1193"/>
      <c r="C32" s="1194"/>
      <c r="D32" s="1191"/>
    </row>
    <row r="33" spans="1:5" x14ac:dyDescent="0.2">
      <c r="A33" s="1192"/>
      <c r="B33" s="1195"/>
      <c r="C33" s="1196">
        <v>8</v>
      </c>
      <c r="D33" s="1207" t="s">
        <v>1218</v>
      </c>
    </row>
    <row r="34" spans="1:5" ht="10.5" customHeight="1" x14ac:dyDescent="0.2">
      <c r="A34" s="1192"/>
      <c r="B34" s="1208"/>
      <c r="C34" s="1196"/>
      <c r="D34" s="1207" t="s">
        <v>1541</v>
      </c>
    </row>
    <row r="35" spans="1:5" ht="3" customHeight="1" x14ac:dyDescent="0.2">
      <c r="A35" s="1192"/>
      <c r="B35" s="1201"/>
      <c r="D35" s="1191"/>
    </row>
    <row r="36" spans="1:5" x14ac:dyDescent="0.2">
      <c r="A36" s="1192"/>
      <c r="B36" s="1195"/>
      <c r="C36" s="1196">
        <f>C33+1</f>
        <v>9</v>
      </c>
      <c r="D36" s="1207" t="s">
        <v>1217</v>
      </c>
    </row>
    <row r="37" spans="1:5" ht="10.5" customHeight="1" x14ac:dyDescent="0.2">
      <c r="A37" s="1192"/>
      <c r="B37" s="1201"/>
      <c r="D37" s="1207" t="s">
        <v>1541</v>
      </c>
    </row>
    <row r="38" spans="1:5" ht="3" customHeight="1" x14ac:dyDescent="0.2">
      <c r="A38" s="1192"/>
      <c r="B38" s="1209"/>
      <c r="C38" s="1210"/>
      <c r="D38" s="1191"/>
    </row>
    <row r="39" spans="1:5" x14ac:dyDescent="0.2">
      <c r="A39" s="1192"/>
      <c r="B39" s="1211"/>
      <c r="C39" s="1202">
        <f>C36+1</f>
        <v>10</v>
      </c>
      <c r="D39" s="1191" t="s">
        <v>1216</v>
      </c>
    </row>
    <row r="40" spans="1:5" ht="10.5" customHeight="1" x14ac:dyDescent="0.2">
      <c r="A40" s="1192"/>
      <c r="B40" s="1212"/>
      <c r="C40" s="1210"/>
      <c r="D40" s="1191" t="s">
        <v>1542</v>
      </c>
    </row>
    <row r="41" spans="1:5" ht="3" customHeight="1" x14ac:dyDescent="0.2">
      <c r="A41" s="1192"/>
      <c r="B41" s="1209"/>
      <c r="C41" s="1210"/>
      <c r="D41" s="1191"/>
    </row>
    <row r="42" spans="1:5" ht="10.5" customHeight="1" x14ac:dyDescent="0.2">
      <c r="A42" s="1192"/>
      <c r="B42" s="1211"/>
      <c r="C42" s="1202">
        <v>11</v>
      </c>
      <c r="D42" s="1213" t="s">
        <v>1543</v>
      </c>
      <c r="E42" s="312"/>
    </row>
    <row r="43" spans="1:5" ht="3" customHeight="1" x14ac:dyDescent="0.2">
      <c r="A43" s="1192"/>
      <c r="B43" s="1209"/>
      <c r="C43" s="1210"/>
      <c r="D43" s="1191"/>
    </row>
    <row r="44" spans="1:5" x14ac:dyDescent="0.2">
      <c r="A44" s="1192"/>
      <c r="B44" s="1195"/>
      <c r="C44" s="1196">
        <f>C42+1</f>
        <v>12</v>
      </c>
      <c r="D44" s="1207" t="s">
        <v>1215</v>
      </c>
    </row>
    <row r="45" spans="1:5" ht="10.5" customHeight="1" x14ac:dyDescent="0.2">
      <c r="A45" s="1192"/>
      <c r="B45" s="1208"/>
      <c r="C45" s="1196"/>
      <c r="D45" s="1207" t="s">
        <v>1214</v>
      </c>
    </row>
    <row r="46" spans="1:5" ht="10.5" customHeight="1" x14ac:dyDescent="0.2">
      <c r="A46" s="1192"/>
      <c r="B46" s="1209"/>
      <c r="C46" s="1210"/>
      <c r="D46" s="1207" t="s">
        <v>1213</v>
      </c>
    </row>
    <row r="47" spans="1:5" ht="3" customHeight="1" x14ac:dyDescent="0.2">
      <c r="A47" s="1192"/>
      <c r="B47" s="1209"/>
      <c r="C47" s="1210"/>
      <c r="D47" s="1207"/>
    </row>
    <row r="48" spans="1:5" x14ac:dyDescent="0.2">
      <c r="A48" s="1192"/>
      <c r="B48" s="1195"/>
      <c r="C48" s="1196">
        <f>C44+1</f>
        <v>13</v>
      </c>
      <c r="D48" s="1207" t="s">
        <v>1544</v>
      </c>
    </row>
    <row r="49" spans="1:4" ht="3" customHeight="1" x14ac:dyDescent="0.2">
      <c r="A49" s="1192"/>
      <c r="B49" s="1199"/>
      <c r="C49" s="1196"/>
      <c r="D49" s="1207"/>
    </row>
    <row r="50" spans="1:4" x14ac:dyDescent="0.2">
      <c r="A50" s="1192"/>
      <c r="B50" s="1195"/>
      <c r="C50" s="1196">
        <f>C48+1</f>
        <v>14</v>
      </c>
      <c r="D50" s="1207" t="s">
        <v>1212</v>
      </c>
    </row>
    <row r="51" spans="1:4" ht="3" customHeight="1" x14ac:dyDescent="0.2">
      <c r="A51" s="1192"/>
      <c r="B51" s="1199"/>
      <c r="C51" s="1196"/>
      <c r="D51" s="1207"/>
    </row>
    <row r="52" spans="1:4" x14ac:dyDescent="0.2">
      <c r="A52" s="1192"/>
      <c r="B52" s="1195"/>
      <c r="C52" s="1196">
        <f>C50+1</f>
        <v>15</v>
      </c>
      <c r="D52" s="1207" t="s">
        <v>1211</v>
      </c>
    </row>
    <row r="53" spans="1:4" ht="3" customHeight="1" x14ac:dyDescent="0.2">
      <c r="A53" s="1192"/>
      <c r="B53" s="1199"/>
      <c r="C53" s="1196"/>
      <c r="D53" s="1207"/>
    </row>
    <row r="54" spans="1:4" x14ac:dyDescent="0.2">
      <c r="A54" s="1192"/>
      <c r="B54" s="1195"/>
      <c r="C54" s="1196">
        <f>C52+1</f>
        <v>16</v>
      </c>
      <c r="D54" s="1207" t="s">
        <v>1210</v>
      </c>
    </row>
    <row r="55" spans="1:4" ht="3" customHeight="1" x14ac:dyDescent="0.2">
      <c r="A55" s="1192"/>
      <c r="B55" s="1199"/>
      <c r="C55" s="1196"/>
      <c r="D55" s="1207"/>
    </row>
    <row r="56" spans="1:4" x14ac:dyDescent="0.2">
      <c r="A56" s="1192"/>
      <c r="B56" s="1195"/>
      <c r="C56" s="1196">
        <f>C54+1</f>
        <v>17</v>
      </c>
      <c r="D56" s="1191" t="s">
        <v>1673</v>
      </c>
    </row>
    <row r="57" spans="1:4" ht="10.5" customHeight="1" x14ac:dyDescent="0.2">
      <c r="A57" s="1192"/>
      <c r="D57" s="1207" t="s">
        <v>1674</v>
      </c>
    </row>
    <row r="58" spans="1:4" x14ac:dyDescent="0.2">
      <c r="A58" s="1192"/>
      <c r="C58" s="1214"/>
      <c r="D58" s="1207" t="s">
        <v>1675</v>
      </c>
    </row>
    <row r="59" spans="1:4" ht="10.5" customHeight="1" x14ac:dyDescent="0.2">
      <c r="A59" s="1192"/>
      <c r="D59" s="1191" t="s">
        <v>1209</v>
      </c>
    </row>
    <row r="60" spans="1:4" ht="10.5" customHeight="1" x14ac:dyDescent="0.2">
      <c r="A60" s="1192"/>
      <c r="D60" s="1215" t="s">
        <v>1568</v>
      </c>
    </row>
    <row r="61" spans="1:4" ht="10.5" customHeight="1" x14ac:dyDescent="0.2">
      <c r="A61" s="1192"/>
      <c r="C61" s="1214"/>
      <c r="D61" s="1207" t="s">
        <v>1676</v>
      </c>
    </row>
    <row r="62" spans="1:4" ht="10.5" customHeight="1" x14ac:dyDescent="0.2">
      <c r="A62" s="1192"/>
      <c r="D62" s="1216" t="s">
        <v>1208</v>
      </c>
    </row>
    <row r="63" spans="1:4" ht="10.5" customHeight="1" x14ac:dyDescent="0.2">
      <c r="A63" s="1192"/>
      <c r="D63" s="1191" t="s">
        <v>1545</v>
      </c>
    </row>
    <row r="64" spans="1:4" ht="10.5" customHeight="1" x14ac:dyDescent="0.2">
      <c r="A64" s="1192"/>
      <c r="D64" s="1215" t="s">
        <v>1567</v>
      </c>
    </row>
    <row r="65" spans="1:4" x14ac:dyDescent="0.2">
      <c r="A65" s="1192"/>
      <c r="C65" s="1214"/>
      <c r="D65" s="1207" t="s">
        <v>1677</v>
      </c>
    </row>
    <row r="66" spans="1:4" ht="10.5" customHeight="1" x14ac:dyDescent="0.2">
      <c r="A66" s="1192"/>
      <c r="D66" s="1217" t="s">
        <v>1207</v>
      </c>
    </row>
    <row r="67" spans="1:4" ht="10.5" customHeight="1" x14ac:dyDescent="0.2">
      <c r="A67" s="1192"/>
      <c r="D67" s="1191" t="s">
        <v>1546</v>
      </c>
    </row>
    <row r="68" spans="1:4" ht="10.5" customHeight="1" x14ac:dyDescent="0.2">
      <c r="A68" s="1192"/>
      <c r="D68" s="1215" t="s">
        <v>1567</v>
      </c>
    </row>
    <row r="69" spans="1:4" ht="10.5" customHeight="1" x14ac:dyDescent="0.2">
      <c r="A69" s="1192"/>
      <c r="C69" s="1214"/>
      <c r="D69" s="1207" t="s">
        <v>1678</v>
      </c>
    </row>
    <row r="70" spans="1:4" x14ac:dyDescent="0.2">
      <c r="A70" s="1192"/>
      <c r="D70" s="1216" t="s">
        <v>1206</v>
      </c>
    </row>
    <row r="71" spans="1:4" ht="3" customHeight="1" x14ac:dyDescent="0.2">
      <c r="A71" s="1192"/>
      <c r="D71" s="1191"/>
    </row>
    <row r="72" spans="1:4" x14ac:dyDescent="0.2">
      <c r="A72" s="1192"/>
      <c r="B72" s="1195"/>
      <c r="C72" s="1196">
        <f>C56+1</f>
        <v>18</v>
      </c>
      <c r="D72" s="1217" t="s">
        <v>1679</v>
      </c>
    </row>
    <row r="73" spans="1:4" ht="3" customHeight="1" x14ac:dyDescent="0.2">
      <c r="A73" s="1192"/>
      <c r="B73" s="1199"/>
      <c r="C73" s="1196"/>
      <c r="D73" s="1217"/>
    </row>
    <row r="74" spans="1:4" x14ac:dyDescent="0.2">
      <c r="A74" s="1192"/>
      <c r="B74" s="1195"/>
      <c r="C74" s="1196">
        <f>C72+1</f>
        <v>19</v>
      </c>
      <c r="D74" s="1207" t="s">
        <v>1205</v>
      </c>
    </row>
    <row r="75" spans="1:4" ht="3" customHeight="1" x14ac:dyDescent="0.2">
      <c r="A75" s="1192"/>
      <c r="B75" s="1199"/>
      <c r="C75" s="1196"/>
      <c r="D75" s="1207"/>
    </row>
    <row r="76" spans="1:4" x14ac:dyDescent="0.2">
      <c r="A76" s="1192"/>
      <c r="B76" s="1195"/>
      <c r="C76" s="1196">
        <f>C74+1</f>
        <v>20</v>
      </c>
      <c r="D76" s="1218" t="s">
        <v>1680</v>
      </c>
    </row>
    <row r="77" spans="1:4" ht="3" customHeight="1" x14ac:dyDescent="0.2">
      <c r="A77" s="1192"/>
      <c r="B77" s="1199"/>
      <c r="C77" s="1196"/>
      <c r="D77" s="1218"/>
    </row>
    <row r="78" spans="1:4" x14ac:dyDescent="0.2">
      <c r="A78" s="1192"/>
      <c r="B78" s="1195"/>
      <c r="C78" s="1196">
        <f>C76+1</f>
        <v>21</v>
      </c>
      <c r="D78" s="1191" t="s">
        <v>1681</v>
      </c>
    </row>
    <row r="79" spans="1:4" ht="3" customHeight="1" x14ac:dyDescent="0.2">
      <c r="A79" s="1192"/>
      <c r="B79" s="1199"/>
      <c r="C79" s="1196"/>
      <c r="D79" s="1191"/>
    </row>
    <row r="80" spans="1:4" x14ac:dyDescent="0.2">
      <c r="A80" s="1192"/>
      <c r="B80" s="1195"/>
      <c r="C80" s="1196">
        <f>C78+1</f>
        <v>22</v>
      </c>
      <c r="D80" s="1219" t="s">
        <v>1682</v>
      </c>
    </row>
    <row r="81" spans="1:4" ht="3" customHeight="1" x14ac:dyDescent="0.2">
      <c r="A81" s="1192"/>
      <c r="B81" s="1199"/>
      <c r="C81" s="1196"/>
      <c r="D81" s="1219"/>
    </row>
    <row r="82" spans="1:4" x14ac:dyDescent="0.2">
      <c r="A82" s="1192"/>
      <c r="B82" s="1195"/>
      <c r="C82" s="1196">
        <f>C80+1</f>
        <v>23</v>
      </c>
      <c r="D82" s="1218" t="s">
        <v>1683</v>
      </c>
    </row>
    <row r="83" spans="1:4" ht="10.5" customHeight="1" x14ac:dyDescent="0.2">
      <c r="A83" s="1192"/>
      <c r="B83" s="1201"/>
      <c r="D83" s="1207" t="s">
        <v>1204</v>
      </c>
    </row>
    <row r="84" spans="1:4" ht="3" customHeight="1" x14ac:dyDescent="0.2">
      <c r="A84" s="1192"/>
      <c r="B84" s="1201"/>
      <c r="D84" s="1207"/>
    </row>
    <row r="85" spans="1:4" x14ac:dyDescent="0.2">
      <c r="A85" s="1192"/>
      <c r="B85" s="1195"/>
      <c r="C85" s="1196">
        <f>C82+1</f>
        <v>24</v>
      </c>
      <c r="D85" s="1207" t="s">
        <v>1203</v>
      </c>
    </row>
    <row r="86" spans="1:4" ht="3" customHeight="1" x14ac:dyDescent="0.2">
      <c r="A86" s="1192"/>
      <c r="B86" s="1199"/>
      <c r="C86" s="1196"/>
      <c r="D86" s="1207"/>
    </row>
    <row r="87" spans="1:4" x14ac:dyDescent="0.2">
      <c r="A87" s="1192"/>
      <c r="B87" s="1195"/>
      <c r="C87" s="1196">
        <f>C85+1</f>
        <v>25</v>
      </c>
      <c r="D87" s="1207" t="s">
        <v>1202</v>
      </c>
    </row>
    <row r="88" spans="1:4" ht="3" customHeight="1" x14ac:dyDescent="0.2">
      <c r="A88" s="1192"/>
      <c r="B88" s="1199"/>
      <c r="C88" s="1196"/>
      <c r="D88" s="1207"/>
    </row>
    <row r="89" spans="1:4" x14ac:dyDescent="0.2">
      <c r="A89" s="1192"/>
      <c r="B89" s="1195"/>
      <c r="C89" s="1196">
        <f>C87+1</f>
        <v>26</v>
      </c>
      <c r="D89" s="1207" t="s">
        <v>1201</v>
      </c>
    </row>
    <row r="90" spans="1:4" ht="3" customHeight="1" x14ac:dyDescent="0.2">
      <c r="A90" s="1192"/>
      <c r="B90" s="1199"/>
      <c r="C90" s="1196"/>
      <c r="D90" s="1207"/>
    </row>
    <row r="91" spans="1:4" x14ac:dyDescent="0.2">
      <c r="A91" s="1192"/>
      <c r="B91" s="1195"/>
      <c r="C91" s="1196">
        <f>C89+1</f>
        <v>27</v>
      </c>
      <c r="D91" s="1207" t="s">
        <v>1684</v>
      </c>
    </row>
    <row r="92" spans="1:4" x14ac:dyDescent="0.2">
      <c r="A92" s="1192"/>
      <c r="B92" s="1220"/>
      <c r="C92" s="1214"/>
      <c r="D92" s="1207" t="s">
        <v>1200</v>
      </c>
    </row>
    <row r="93" spans="1:4" ht="4.5" customHeight="1" x14ac:dyDescent="0.2">
      <c r="A93" s="1192"/>
      <c r="D93" s="1191"/>
    </row>
    <row r="94" spans="1:4" x14ac:dyDescent="0.2">
      <c r="A94" s="1192"/>
      <c r="B94" s="1193" t="s">
        <v>1547</v>
      </c>
      <c r="C94" s="1194"/>
      <c r="D94" s="1191"/>
    </row>
    <row r="95" spans="1:4" ht="4.5" customHeight="1" x14ac:dyDescent="0.2">
      <c r="A95" s="1192"/>
      <c r="B95" s="1193"/>
      <c r="C95" s="1194"/>
      <c r="D95" s="1191"/>
    </row>
    <row r="96" spans="1:4" x14ac:dyDescent="0.2">
      <c r="A96" s="1192"/>
      <c r="B96" s="1195"/>
      <c r="C96" s="1196">
        <f>C91+1</f>
        <v>28</v>
      </c>
      <c r="D96" s="1207" t="s">
        <v>1685</v>
      </c>
    </row>
    <row r="97" spans="1:4" ht="3" customHeight="1" x14ac:dyDescent="0.2">
      <c r="A97" s="1192"/>
      <c r="B97" s="1199"/>
      <c r="C97" s="1196"/>
      <c r="D97" s="1207"/>
    </row>
    <row r="98" spans="1:4" x14ac:dyDescent="0.2">
      <c r="A98" s="1192"/>
      <c r="B98" s="1195"/>
      <c r="C98" s="1196">
        <f>C96+1</f>
        <v>29</v>
      </c>
      <c r="D98" s="1221" t="s">
        <v>1686</v>
      </c>
    </row>
    <row r="99" spans="1:4" ht="3" customHeight="1" x14ac:dyDescent="0.2">
      <c r="A99" s="1192"/>
      <c r="B99" s="1199"/>
      <c r="C99" s="1196"/>
      <c r="D99" s="1221"/>
    </row>
    <row r="100" spans="1:4" x14ac:dyDescent="0.2">
      <c r="A100" s="1192"/>
      <c r="B100" s="1195"/>
      <c r="C100" s="1196">
        <f>C98+1</f>
        <v>30</v>
      </c>
      <c r="D100" s="1207" t="s">
        <v>1687</v>
      </c>
    </row>
    <row r="101" spans="1:4" ht="3" customHeight="1" x14ac:dyDescent="0.2">
      <c r="A101" s="1192"/>
      <c r="B101" s="1199"/>
      <c r="C101" s="1196"/>
      <c r="D101" s="1222"/>
    </row>
    <row r="102" spans="1:4" x14ac:dyDescent="0.2">
      <c r="A102" s="1192"/>
      <c r="B102" s="1195"/>
      <c r="C102" s="1196">
        <f>C100+1</f>
        <v>31</v>
      </c>
      <c r="D102" s="1207" t="s">
        <v>1548</v>
      </c>
    </row>
    <row r="103" spans="1:4" ht="4.5" customHeight="1" x14ac:dyDescent="0.2">
      <c r="A103" s="1192"/>
      <c r="B103" s="312"/>
      <c r="C103" s="1196"/>
      <c r="D103" s="1207"/>
    </row>
    <row r="104" spans="1:4" ht="14.1" customHeight="1" x14ac:dyDescent="0.2">
      <c r="A104" s="1192"/>
      <c r="B104" s="1223" t="s">
        <v>1199</v>
      </c>
    </row>
    <row r="105" spans="1:4" ht="4.5" customHeight="1" x14ac:dyDescent="0.2">
      <c r="A105" s="1192"/>
      <c r="B105" s="1223"/>
    </row>
    <row r="106" spans="1:4" x14ac:dyDescent="0.2">
      <c r="A106" s="1192"/>
      <c r="B106" s="1195"/>
      <c r="C106" s="1196">
        <f>C102+1</f>
        <v>32</v>
      </c>
      <c r="D106" s="1191" t="s">
        <v>1549</v>
      </c>
    </row>
    <row r="107" spans="1:4" ht="3" customHeight="1" x14ac:dyDescent="0.2">
      <c r="A107" s="1192"/>
      <c r="B107" s="1199"/>
      <c r="C107" s="1196"/>
      <c r="D107" s="1191"/>
    </row>
    <row r="108" spans="1:4" x14ac:dyDescent="0.2">
      <c r="A108" s="1192"/>
      <c r="B108" s="1195"/>
      <c r="C108" s="1196">
        <v>33</v>
      </c>
      <c r="D108" s="1191" t="s">
        <v>1688</v>
      </c>
    </row>
    <row r="109" spans="1:4" ht="3" customHeight="1" x14ac:dyDescent="0.2">
      <c r="A109" s="1192"/>
      <c r="B109" s="1199"/>
      <c r="C109" s="1196"/>
      <c r="D109" s="1191"/>
    </row>
    <row r="110" spans="1:4" x14ac:dyDescent="0.2">
      <c r="A110" s="1192"/>
      <c r="B110" s="1195"/>
      <c r="C110" s="1196">
        <f>C108+1</f>
        <v>34</v>
      </c>
      <c r="D110" s="1191" t="s">
        <v>1198</v>
      </c>
    </row>
    <row r="111" spans="1:4" ht="3" customHeight="1" x14ac:dyDescent="0.2">
      <c r="A111" s="1192"/>
      <c r="B111" s="1199"/>
      <c r="C111" s="1196"/>
      <c r="D111" s="1191"/>
    </row>
    <row r="112" spans="1:4" x14ac:dyDescent="0.2">
      <c r="A112" s="1192"/>
      <c r="B112" s="1195"/>
      <c r="C112" s="1196">
        <f>C110+1</f>
        <v>35</v>
      </c>
      <c r="D112" s="1191" t="s">
        <v>1197</v>
      </c>
    </row>
    <row r="113" spans="1:4" ht="11.25" customHeight="1" x14ac:dyDescent="0.2">
      <c r="A113" s="1192"/>
      <c r="B113" s="1224"/>
      <c r="C113" s="1196"/>
      <c r="D113" s="1225" t="s">
        <v>1196</v>
      </c>
    </row>
    <row r="114" spans="1:4" ht="3" customHeight="1" x14ac:dyDescent="0.2">
      <c r="A114" s="1192"/>
      <c r="B114" s="1226"/>
      <c r="C114" s="1196"/>
      <c r="D114" s="1225"/>
    </row>
    <row r="115" spans="1:4" x14ac:dyDescent="0.2">
      <c r="A115" s="1192"/>
      <c r="B115" s="1195"/>
      <c r="C115" s="1196">
        <f>C112+1</f>
        <v>36</v>
      </c>
      <c r="D115" s="1207" t="s">
        <v>1195</v>
      </c>
    </row>
    <row r="116" spans="1:4" ht="3" customHeight="1" x14ac:dyDescent="0.2">
      <c r="A116" s="1192"/>
      <c r="B116" s="1199"/>
      <c r="C116" s="1196"/>
      <c r="D116" s="1207"/>
    </row>
    <row r="117" spans="1:4" x14ac:dyDescent="0.2">
      <c r="A117" s="1192"/>
      <c r="B117" s="1195"/>
      <c r="C117" s="1196">
        <f>C115+1</f>
        <v>37</v>
      </c>
      <c r="D117" s="1207" t="s">
        <v>1689</v>
      </c>
    </row>
    <row r="118" spans="1:4" ht="3" customHeight="1" x14ac:dyDescent="0.2">
      <c r="A118" s="1192"/>
      <c r="B118" s="1199"/>
      <c r="C118" s="1196"/>
      <c r="D118" s="1207"/>
    </row>
    <row r="119" spans="1:4" x14ac:dyDescent="0.2">
      <c r="A119" s="1192"/>
      <c r="B119" s="1195"/>
      <c r="C119" s="1196">
        <f>C117+1</f>
        <v>38</v>
      </c>
      <c r="D119" s="1207" t="s">
        <v>1690</v>
      </c>
    </row>
    <row r="120" spans="1:4" ht="10.5" customHeight="1" x14ac:dyDescent="0.2">
      <c r="A120" s="1192"/>
      <c r="B120" s="1220"/>
      <c r="C120" s="1196"/>
      <c r="D120" s="1207" t="s">
        <v>1194</v>
      </c>
    </row>
    <row r="121" spans="1:4" ht="10.5" customHeight="1" x14ac:dyDescent="0.2">
      <c r="A121" s="1192"/>
      <c r="B121" s="1220"/>
      <c r="C121" s="1196"/>
      <c r="D121" s="1207" t="s">
        <v>1193</v>
      </c>
    </row>
    <row r="122" spans="1:4" ht="3" customHeight="1" x14ac:dyDescent="0.2">
      <c r="A122" s="1192"/>
      <c r="B122" s="1220"/>
      <c r="C122" s="1196"/>
      <c r="D122" s="1207"/>
    </row>
    <row r="123" spans="1:4" x14ac:dyDescent="0.2">
      <c r="A123" s="1192"/>
      <c r="B123" s="1195"/>
      <c r="C123" s="1196">
        <f>C119+1</f>
        <v>39</v>
      </c>
      <c r="D123" s="1217" t="s">
        <v>1799</v>
      </c>
    </row>
    <row r="124" spans="1:4" x14ac:dyDescent="0.2">
      <c r="A124" s="1192"/>
      <c r="B124" s="312"/>
      <c r="C124" s="1196"/>
      <c r="D124" s="1207" t="s">
        <v>1192</v>
      </c>
    </row>
    <row r="125" spans="1:4" ht="4.5" customHeight="1" x14ac:dyDescent="0.2">
      <c r="A125" s="1192"/>
      <c r="D125" s="1191"/>
    </row>
    <row r="126" spans="1:4" x14ac:dyDescent="0.2">
      <c r="A126" s="1192"/>
      <c r="B126" s="1227"/>
      <c r="C126" s="1196"/>
      <c r="D126" s="1207"/>
    </row>
    <row r="127" spans="1:4" x14ac:dyDescent="0.2">
      <c r="A127" s="1192"/>
      <c r="D127" s="1207"/>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43" bottom="0.35" header="0.3" footer="0.3"/>
  <pageSetup scale="70" firstPageNumber="36" orientation="portrait" useFirstPageNumber="1" r:id="rId5"/>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topLeftCell="A19" zoomScale="110" zoomScaleNormal="110" zoomScaleSheetLayoutView="100" workbookViewId="0">
      <selection activeCell="D45" sqref="D45"/>
    </sheetView>
  </sheetViews>
  <sheetFormatPr defaultColWidth="15.7109375" defaultRowHeight="12.75" x14ac:dyDescent="0.2"/>
  <cols>
    <col min="1" max="1" width="31.85546875" style="317" customWidth="1"/>
    <col min="2" max="2" width="29.5703125" style="1228" customWidth="1"/>
    <col min="3" max="3" width="1.28515625" style="1228" customWidth="1"/>
    <col min="4" max="4" width="24.42578125" style="1229" customWidth="1"/>
    <col min="5" max="5" width="5" style="317" customWidth="1"/>
    <col min="6" max="16384" width="15.7109375" style="317"/>
  </cols>
  <sheetData>
    <row r="1" spans="1:5" x14ac:dyDescent="0.2">
      <c r="A1" s="2460" t="str">
        <f>'Single Audit Cover'!A7</f>
        <v>Cicero SD 99</v>
      </c>
      <c r="B1" s="2460"/>
      <c r="C1" s="2460"/>
      <c r="D1" s="2460"/>
      <c r="E1" s="2460"/>
    </row>
    <row r="2" spans="1:5" x14ac:dyDescent="0.2">
      <c r="A2" s="2461">
        <f>'Single Audit Cover'!E7</f>
        <v>6016099002</v>
      </c>
      <c r="B2" s="2461"/>
      <c r="C2" s="2461"/>
      <c r="D2" s="2461"/>
      <c r="E2" s="2461"/>
    </row>
    <row r="3" spans="1:5" ht="4.5" customHeight="1" x14ac:dyDescent="0.2"/>
    <row r="4" spans="1:5" x14ac:dyDescent="0.2">
      <c r="A4" s="2460" t="s">
        <v>1245</v>
      </c>
      <c r="B4" s="2460"/>
      <c r="C4" s="2460"/>
      <c r="D4" s="2460"/>
      <c r="E4" s="2460"/>
    </row>
    <row r="5" spans="1:5" x14ac:dyDescent="0.2">
      <c r="A5" s="2463" t="str">
        <f>'Single Audit Cover'!A4</f>
        <v>Year Ending June 30, 2019</v>
      </c>
      <c r="B5" s="2463"/>
      <c r="C5" s="2463"/>
      <c r="D5" s="2463"/>
      <c r="E5" s="2463"/>
    </row>
    <row r="6" spans="1:5" x14ac:dyDescent="0.2">
      <c r="A6" s="2460" t="s">
        <v>1244</v>
      </c>
      <c r="B6" s="2460"/>
      <c r="C6" s="2460"/>
      <c r="D6" s="2460"/>
      <c r="E6" s="2460"/>
    </row>
    <row r="8" spans="1:5" x14ac:dyDescent="0.2">
      <c r="A8" s="1230" t="s">
        <v>1243</v>
      </c>
    </row>
    <row r="10" spans="1:5" x14ac:dyDescent="0.2">
      <c r="A10" s="1231" t="s">
        <v>1242</v>
      </c>
      <c r="B10" s="1232" t="s">
        <v>1241</v>
      </c>
      <c r="C10" s="1232"/>
      <c r="D10" s="1233">
        <f>SUM('Acct Summary 7-8'!C7:K7)</f>
        <v>18904841</v>
      </c>
    </row>
    <row r="11" spans="1:5" ht="18" customHeight="1" x14ac:dyDescent="0.2">
      <c r="A11" s="1231" t="s">
        <v>1240</v>
      </c>
      <c r="B11" s="1232"/>
      <c r="C11" s="1232"/>
    </row>
    <row r="12" spans="1:5" x14ac:dyDescent="0.2">
      <c r="A12" s="1231" t="s">
        <v>1239</v>
      </c>
      <c r="B12" s="1232" t="s">
        <v>1238</v>
      </c>
      <c r="C12" s="1232"/>
      <c r="D12" s="1234">
        <f>SUM('Revenues 9-14'!C112:D112,'Revenues 9-14'!F112:G112)</f>
        <v>0</v>
      </c>
    </row>
    <row r="13" spans="1:5" x14ac:dyDescent="0.2">
      <c r="A13" s="1231" t="s">
        <v>1237</v>
      </c>
      <c r="B13" s="1232"/>
      <c r="C13" s="1232"/>
    </row>
    <row r="14" spans="1:5" x14ac:dyDescent="0.2">
      <c r="A14" s="1231" t="s">
        <v>1692</v>
      </c>
      <c r="B14" s="1232"/>
      <c r="C14" s="1232"/>
      <c r="D14" s="1234">
        <f>'ICR Computation 30'!E11</f>
        <v>547279</v>
      </c>
    </row>
    <row r="15" spans="1:5" x14ac:dyDescent="0.2">
      <c r="A15" s="1231"/>
      <c r="B15" s="1232"/>
      <c r="C15" s="1232"/>
    </row>
    <row r="16" spans="1:5" x14ac:dyDescent="0.2">
      <c r="A16" s="1231" t="s">
        <v>1806</v>
      </c>
      <c r="B16" s="1232"/>
      <c r="C16" s="1232"/>
    </row>
    <row r="17" spans="1:4" x14ac:dyDescent="0.2">
      <c r="A17" s="1231" t="s">
        <v>2020</v>
      </c>
      <c r="B17" s="1232" t="s">
        <v>1236</v>
      </c>
      <c r="C17" s="1232"/>
      <c r="D17" s="1234">
        <f>-SUM('Revenues 9-14'!C264:D264,'Revenues 9-14'!F264:G264)</f>
        <v>-764442</v>
      </c>
    </row>
    <row r="19" spans="1:4" ht="13.5" thickBot="1" x14ac:dyDescent="0.25">
      <c r="A19" s="1235" t="s">
        <v>1235</v>
      </c>
      <c r="D19" s="1236">
        <f>SUM(D10:D17)</f>
        <v>18687678</v>
      </c>
    </row>
    <row r="20" spans="1:4" ht="21.75" customHeight="1" thickTop="1" x14ac:dyDescent="0.2"/>
    <row r="21" spans="1:4" x14ac:dyDescent="0.2">
      <c r="A21" s="1230" t="s">
        <v>1234</v>
      </c>
    </row>
    <row r="22" spans="1:4" ht="8.25" customHeight="1" x14ac:dyDescent="0.2"/>
    <row r="23" spans="1:4" x14ac:dyDescent="0.2">
      <c r="A23" s="1237" t="s">
        <v>1228</v>
      </c>
    </row>
    <row r="24" spans="1:4" x14ac:dyDescent="0.2">
      <c r="A24" s="2462"/>
      <c r="B24" s="2462"/>
      <c r="D24" s="1238"/>
    </row>
    <row r="25" spans="1:4" x14ac:dyDescent="0.2">
      <c r="A25" s="2459"/>
      <c r="B25" s="2459"/>
      <c r="D25" s="1238"/>
    </row>
    <row r="26" spans="1:4" x14ac:dyDescent="0.2">
      <c r="A26" s="2459"/>
      <c r="B26" s="2459"/>
      <c r="D26" s="1238"/>
    </row>
    <row r="27" spans="1:4" x14ac:dyDescent="0.2">
      <c r="A27" s="2459"/>
      <c r="B27" s="2459"/>
      <c r="D27" s="1238"/>
    </row>
    <row r="28" spans="1:4" x14ac:dyDescent="0.2">
      <c r="A28" s="2459"/>
      <c r="B28" s="2459"/>
      <c r="D28" s="1238"/>
    </row>
    <row r="29" spans="1:4" x14ac:dyDescent="0.2">
      <c r="A29" s="2459"/>
      <c r="B29" s="2459"/>
      <c r="D29" s="1238"/>
    </row>
    <row r="30" spans="1:4" x14ac:dyDescent="0.2">
      <c r="A30" s="2459"/>
      <c r="B30" s="2459"/>
      <c r="D30" s="1238"/>
    </row>
    <row r="32" spans="1:4" x14ac:dyDescent="0.2">
      <c r="A32" s="1230" t="s">
        <v>1233</v>
      </c>
      <c r="D32" s="1233">
        <f>SUM(D19:D30)</f>
        <v>18687678</v>
      </c>
    </row>
    <row r="33" spans="1:4" x14ac:dyDescent="0.2">
      <c r="D33" s="1239"/>
    </row>
    <row r="34" spans="1:4" x14ac:dyDescent="0.2">
      <c r="A34" s="317" t="s">
        <v>1232</v>
      </c>
    </row>
    <row r="35" spans="1:4" x14ac:dyDescent="0.2">
      <c r="A35" s="317" t="s">
        <v>1231</v>
      </c>
      <c r="B35" s="1228" t="s">
        <v>1230</v>
      </c>
      <c r="D35" s="1240">
        <v>17220484</v>
      </c>
    </row>
    <row r="37" spans="1:4" x14ac:dyDescent="0.2">
      <c r="A37" s="1230" t="s">
        <v>1229</v>
      </c>
    </row>
    <row r="39" spans="1:4" ht="13.35" customHeight="1" x14ac:dyDescent="0.2">
      <c r="A39" s="1237" t="s">
        <v>1228</v>
      </c>
    </row>
    <row r="40" spans="1:4" x14ac:dyDescent="0.2">
      <c r="A40" s="2459" t="s">
        <v>467</v>
      </c>
      <c r="B40" s="2459"/>
      <c r="D40" s="1238">
        <v>1077063</v>
      </c>
    </row>
    <row r="41" spans="1:4" x14ac:dyDescent="0.2">
      <c r="A41" s="2459" t="s">
        <v>465</v>
      </c>
      <c r="B41" s="2459"/>
      <c r="D41" s="1241">
        <v>390130</v>
      </c>
    </row>
    <row r="42" spans="1:4" x14ac:dyDescent="0.2">
      <c r="A42" s="2459" t="s">
        <v>2081</v>
      </c>
      <c r="B42" s="2459"/>
      <c r="D42" s="1241">
        <v>1</v>
      </c>
    </row>
    <row r="43" spans="1:4" x14ac:dyDescent="0.2">
      <c r="A43" s="2459"/>
      <c r="B43" s="2459"/>
      <c r="D43" s="1241"/>
    </row>
    <row r="44" spans="1:4" x14ac:dyDescent="0.2">
      <c r="A44" s="2459"/>
      <c r="B44" s="2459"/>
      <c r="D44" s="1241"/>
    </row>
    <row r="45" spans="1:4" x14ac:dyDescent="0.2">
      <c r="A45" s="2459"/>
      <c r="B45" s="2459"/>
      <c r="D45" s="1241"/>
    </row>
    <row r="47" spans="1:4" x14ac:dyDescent="0.2">
      <c r="B47" s="1242" t="s">
        <v>1227</v>
      </c>
      <c r="C47" s="1242"/>
      <c r="D47" s="1243">
        <f>SUM(D35:D45)</f>
        <v>18687678</v>
      </c>
    </row>
    <row r="49" spans="2:4" x14ac:dyDescent="0.2">
      <c r="B49" s="1242" t="s">
        <v>1226</v>
      </c>
      <c r="C49" s="1242"/>
      <c r="D49" s="1243">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2"/>
  <sheetViews>
    <sheetView showGridLines="0" zoomScaleNormal="100" workbookViewId="0">
      <selection activeCell="I19" sqref="I19:I20"/>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21" t="str">
        <f>'Single Audit Cover'!A7</f>
        <v>Cicero SD 99</v>
      </c>
      <c r="C1" s="2464"/>
      <c r="D1" s="2464"/>
      <c r="E1" s="2464"/>
      <c r="F1" s="2464"/>
      <c r="G1" s="2464"/>
      <c r="H1" s="2464"/>
      <c r="I1" s="2464"/>
      <c r="J1" s="2464"/>
      <c r="K1" s="2464"/>
      <c r="L1" s="2464"/>
      <c r="M1" s="2464"/>
    </row>
    <row r="2" spans="2:14" ht="15" x14ac:dyDescent="0.2">
      <c r="B2" s="2465">
        <f>'Single Audit Cover'!E7</f>
        <v>6016099002</v>
      </c>
      <c r="C2" s="2465"/>
      <c r="D2" s="2465"/>
      <c r="E2" s="2465"/>
      <c r="F2" s="2465"/>
      <c r="G2" s="2465"/>
      <c r="H2" s="2465"/>
      <c r="I2" s="2465"/>
      <c r="J2" s="2465"/>
      <c r="K2" s="2465"/>
      <c r="L2" s="2465"/>
      <c r="M2" s="2465"/>
      <c r="N2" s="1272"/>
    </row>
    <row r="3" spans="2:14" ht="15" x14ac:dyDescent="0.2">
      <c r="B3" s="2466" t="s">
        <v>1219</v>
      </c>
      <c r="C3" s="2466"/>
      <c r="D3" s="2466"/>
      <c r="E3" s="2466"/>
      <c r="F3" s="2466"/>
      <c r="G3" s="2466"/>
      <c r="H3" s="2466"/>
      <c r="I3" s="2466"/>
      <c r="J3" s="2466"/>
      <c r="K3" s="2466"/>
      <c r="L3" s="2466"/>
      <c r="M3" s="2466"/>
      <c r="N3" s="1272"/>
    </row>
    <row r="4" spans="2:14" ht="15" x14ac:dyDescent="0.2">
      <c r="B4" s="2467" t="str">
        <f>'Single Audit Cover'!A4</f>
        <v>Year Ending June 30, 2019</v>
      </c>
      <c r="C4" s="2467"/>
      <c r="D4" s="2467"/>
      <c r="E4" s="2467"/>
      <c r="F4" s="2467"/>
      <c r="G4" s="2467"/>
      <c r="H4" s="2467"/>
      <c r="I4" s="2467"/>
      <c r="J4" s="2467"/>
      <c r="K4" s="2467"/>
      <c r="L4" s="2467"/>
      <c r="M4" s="2467"/>
      <c r="N4" s="1272"/>
    </row>
    <row r="6" spans="2:14" x14ac:dyDescent="0.2">
      <c r="B6" s="1273"/>
      <c r="C6" s="1274"/>
      <c r="D6" s="1275" t="s">
        <v>1265</v>
      </c>
      <c r="E6" s="1276" t="s">
        <v>527</v>
      </c>
      <c r="F6" s="1277"/>
      <c r="G6" s="1278" t="s">
        <v>1696</v>
      </c>
      <c r="H6" s="1276"/>
      <c r="I6" s="1276"/>
      <c r="J6" s="1276"/>
      <c r="K6" s="1279"/>
      <c r="L6" s="1280"/>
      <c r="M6" s="1281"/>
    </row>
    <row r="7" spans="2:14" x14ac:dyDescent="0.2">
      <c r="B7" s="1282" t="s">
        <v>1550</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1801</v>
      </c>
      <c r="I8" s="1289" t="s">
        <v>1262</v>
      </c>
      <c r="J8" s="1288" t="s">
        <v>1949</v>
      </c>
      <c r="K8" s="1289" t="s">
        <v>1261</v>
      </c>
      <c r="L8" s="1290" t="s">
        <v>1257</v>
      </c>
      <c r="M8" s="1291" t="s">
        <v>30</v>
      </c>
    </row>
    <row r="9" spans="2:14" ht="14.25" x14ac:dyDescent="0.2">
      <c r="B9" s="1295" t="s">
        <v>1259</v>
      </c>
      <c r="C9" s="1283" t="s">
        <v>1697</v>
      </c>
      <c r="D9" s="1284" t="s">
        <v>1698</v>
      </c>
      <c r="E9" s="1292" t="s">
        <v>1801</v>
      </c>
      <c r="F9" s="1293" t="s">
        <v>1949</v>
      </c>
      <c r="G9" s="1294" t="s">
        <v>1801</v>
      </c>
      <c r="H9" s="1287" t="s">
        <v>1551</v>
      </c>
      <c r="I9" s="1289" t="s">
        <v>1949</v>
      </c>
      <c r="J9" s="1288" t="s">
        <v>1551</v>
      </c>
      <c r="K9" s="1289" t="s">
        <v>1258</v>
      </c>
      <c r="L9" s="1296" t="s">
        <v>1552</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2031</v>
      </c>
      <c r="C11" s="1308"/>
      <c r="D11" s="1309"/>
      <c r="E11" s="1310"/>
      <c r="F11" s="1310"/>
      <c r="G11" s="1310"/>
      <c r="H11" s="1310"/>
      <c r="I11" s="1310"/>
      <c r="J11" s="1310"/>
      <c r="K11" s="1310"/>
      <c r="L11" s="1310">
        <f>+G11+I11+K11</f>
        <v>0</v>
      </c>
      <c r="M11" s="1310"/>
    </row>
    <row r="12" spans="2:14" ht="20.100000000000001" customHeight="1" x14ac:dyDescent="0.2">
      <c r="B12" s="1307" t="s">
        <v>2033</v>
      </c>
      <c r="C12" s="1311"/>
      <c r="D12" s="1312"/>
      <c r="E12" s="1313"/>
      <c r="F12" s="1313"/>
      <c r="G12" s="1313"/>
      <c r="H12" s="1313"/>
      <c r="I12" s="1313"/>
      <c r="J12" s="1313"/>
      <c r="K12" s="1313"/>
      <c r="L12" s="1310">
        <f t="shared" ref="L12:L27" si="0">+G12+I12+K12</f>
        <v>0</v>
      </c>
      <c r="M12" s="1313"/>
    </row>
    <row r="13" spans="2:14" ht="20.100000000000001" customHeight="1" x14ac:dyDescent="0.2">
      <c r="B13" s="1307" t="s">
        <v>2074</v>
      </c>
      <c r="C13" s="1311">
        <v>10.555</v>
      </c>
      <c r="D13" s="1312" t="s">
        <v>2032</v>
      </c>
      <c r="E13" s="1313">
        <v>0</v>
      </c>
      <c r="F13" s="1313">
        <v>547279</v>
      </c>
      <c r="G13" s="1313">
        <v>0</v>
      </c>
      <c r="H13" s="1313">
        <v>0</v>
      </c>
      <c r="I13" s="1313">
        <v>547279</v>
      </c>
      <c r="J13" s="1313">
        <v>0</v>
      </c>
      <c r="K13" s="1313">
        <v>0</v>
      </c>
      <c r="L13" s="1310">
        <f t="shared" si="0"/>
        <v>547279</v>
      </c>
      <c r="M13" s="1313" t="s">
        <v>2040</v>
      </c>
    </row>
    <row r="14" spans="2:14" ht="20.100000000000001" customHeight="1" x14ac:dyDescent="0.2">
      <c r="B14" s="1307"/>
      <c r="C14" s="1311"/>
      <c r="D14" s="1312"/>
      <c r="E14" s="1313"/>
      <c r="F14" s="1313"/>
      <c r="G14" s="1313"/>
      <c r="H14" s="1313"/>
      <c r="I14" s="1313"/>
      <c r="J14" s="1313"/>
      <c r="K14" s="1313"/>
      <c r="L14" s="1310">
        <f t="shared" si="0"/>
        <v>0</v>
      </c>
      <c r="M14" s="1313"/>
    </row>
    <row r="15" spans="2:14" ht="20.100000000000001" customHeight="1" x14ac:dyDescent="0.2">
      <c r="B15" s="1307" t="s">
        <v>2031</v>
      </c>
      <c r="C15" s="1311"/>
      <c r="D15" s="1312"/>
      <c r="E15" s="1313"/>
      <c r="F15" s="1313"/>
      <c r="G15" s="1313"/>
      <c r="H15" s="1313"/>
      <c r="I15" s="1313"/>
      <c r="J15" s="1313"/>
      <c r="K15" s="1313"/>
      <c r="L15" s="1310">
        <f t="shared" si="0"/>
        <v>0</v>
      </c>
      <c r="M15" s="1313"/>
    </row>
    <row r="16" spans="2:14" ht="20.100000000000001" customHeight="1" x14ac:dyDescent="0.2">
      <c r="B16" s="1307" t="s">
        <v>2034</v>
      </c>
      <c r="C16" s="1311"/>
      <c r="D16" s="1312"/>
      <c r="E16" s="1313"/>
      <c r="F16" s="1313"/>
      <c r="G16" s="1313"/>
      <c r="H16" s="1313"/>
      <c r="I16" s="1313"/>
      <c r="J16" s="1313"/>
      <c r="K16" s="1313"/>
      <c r="L16" s="1310">
        <f t="shared" si="0"/>
        <v>0</v>
      </c>
      <c r="M16" s="1313"/>
    </row>
    <row r="17" spans="2:14" ht="20.100000000000001" customHeight="1" x14ac:dyDescent="0.2">
      <c r="B17" s="1307" t="s">
        <v>2075</v>
      </c>
      <c r="C17" s="1311">
        <v>10.555</v>
      </c>
      <c r="D17" s="1312" t="s">
        <v>2036</v>
      </c>
      <c r="E17" s="1313">
        <v>4315406</v>
      </c>
      <c r="F17" s="1313">
        <v>833096.25</v>
      </c>
      <c r="G17" s="1313">
        <v>4367568</v>
      </c>
      <c r="H17" s="1313">
        <v>0</v>
      </c>
      <c r="I17" s="1313">
        <v>780934</v>
      </c>
      <c r="J17" s="1313">
        <v>0</v>
      </c>
      <c r="K17" s="1313">
        <v>0</v>
      </c>
      <c r="L17" s="1310">
        <f t="shared" si="0"/>
        <v>5148502</v>
      </c>
      <c r="M17" s="1313" t="s">
        <v>2040</v>
      </c>
    </row>
    <row r="18" spans="2:14" ht="20.100000000000001" customHeight="1" x14ac:dyDescent="0.2">
      <c r="B18" s="1307" t="s">
        <v>2075</v>
      </c>
      <c r="C18" s="1311">
        <v>10.555</v>
      </c>
      <c r="D18" s="1312" t="s">
        <v>2038</v>
      </c>
      <c r="E18" s="1313">
        <v>0</v>
      </c>
      <c r="F18" s="1313">
        <v>4237941</v>
      </c>
      <c r="G18" s="1313">
        <v>0</v>
      </c>
      <c r="H18" s="1313">
        <v>0</v>
      </c>
      <c r="I18" s="1313">
        <v>4237941</v>
      </c>
      <c r="J18" s="1313">
        <v>0</v>
      </c>
      <c r="K18" s="1313">
        <v>0</v>
      </c>
      <c r="L18" s="1310">
        <f t="shared" si="0"/>
        <v>4237941</v>
      </c>
      <c r="M18" s="1313" t="s">
        <v>2040</v>
      </c>
    </row>
    <row r="19" spans="2:14" ht="20.100000000000001" customHeight="1" x14ac:dyDescent="0.2">
      <c r="B19" s="1307" t="s">
        <v>2076</v>
      </c>
      <c r="C19" s="1311">
        <v>10.553000000000001</v>
      </c>
      <c r="D19" s="1312" t="s">
        <v>2037</v>
      </c>
      <c r="E19" s="1313">
        <v>1794428</v>
      </c>
      <c r="F19" s="1313">
        <v>357049</v>
      </c>
      <c r="G19" s="1313">
        <v>1831703</v>
      </c>
      <c r="H19" s="1313">
        <v>0</v>
      </c>
      <c r="I19" s="1313">
        <v>319773.78000000003</v>
      </c>
      <c r="J19" s="1313">
        <v>0</v>
      </c>
      <c r="K19" s="1313">
        <v>0</v>
      </c>
      <c r="L19" s="1310">
        <f t="shared" si="0"/>
        <v>2151476.7800000003</v>
      </c>
      <c r="M19" s="1313" t="s">
        <v>2040</v>
      </c>
    </row>
    <row r="20" spans="2:14" ht="20.100000000000001" customHeight="1" x14ac:dyDescent="0.2">
      <c r="B20" s="1307" t="s">
        <v>2076</v>
      </c>
      <c r="C20" s="1311">
        <v>10.553000000000001</v>
      </c>
      <c r="D20" s="1312" t="s">
        <v>2039</v>
      </c>
      <c r="E20" s="1313">
        <v>0</v>
      </c>
      <c r="F20" s="1313">
        <v>1649270</v>
      </c>
      <c r="G20" s="1313">
        <v>0</v>
      </c>
      <c r="H20" s="1313">
        <v>0</v>
      </c>
      <c r="I20" s="1313">
        <v>1667426</v>
      </c>
      <c r="J20" s="1313">
        <v>0</v>
      </c>
      <c r="K20" s="1313">
        <v>0</v>
      </c>
      <c r="L20" s="1310">
        <f t="shared" si="0"/>
        <v>1667426</v>
      </c>
      <c r="M20" s="1313" t="s">
        <v>2040</v>
      </c>
    </row>
    <row r="21" spans="2:14" ht="20.100000000000001" customHeight="1" x14ac:dyDescent="0.2">
      <c r="B21" s="1307"/>
      <c r="C21" s="1311"/>
      <c r="D21" s="1312"/>
      <c r="E21" s="1313"/>
      <c r="F21" s="1313"/>
      <c r="G21" s="1313"/>
      <c r="H21" s="1313"/>
      <c r="I21" s="1313"/>
      <c r="J21" s="1313"/>
      <c r="K21" s="1313"/>
      <c r="L21" s="1310">
        <f t="shared" si="0"/>
        <v>0</v>
      </c>
      <c r="M21" s="1313"/>
    </row>
    <row r="22" spans="2:14" ht="20.100000000000001" customHeight="1" x14ac:dyDescent="0.2">
      <c r="B22" s="1307" t="s">
        <v>2041</v>
      </c>
      <c r="C22" s="1311"/>
      <c r="D22" s="1312"/>
      <c r="E22" s="1313">
        <f>SUM(E13:E20)</f>
        <v>6109834</v>
      </c>
      <c r="F22" s="1313">
        <f>SUM(F13:F20)</f>
        <v>7624635.25</v>
      </c>
      <c r="G22" s="1313">
        <f>SUM(G13:G20)</f>
        <v>6199271</v>
      </c>
      <c r="H22" s="1313">
        <f>SUM(H13:H20)</f>
        <v>0</v>
      </c>
      <c r="I22" s="1313">
        <f>SUM(I13:I20)</f>
        <v>7553353.7800000003</v>
      </c>
      <c r="J22" s="1313">
        <f>SUM(J13:J21)</f>
        <v>0</v>
      </c>
      <c r="K22" s="1313">
        <f>SUM(K13:K20)</f>
        <v>0</v>
      </c>
      <c r="L22" s="1310">
        <f t="shared" si="0"/>
        <v>13752624.780000001</v>
      </c>
      <c r="M22" s="1313"/>
    </row>
    <row r="23" spans="2:14" ht="20.100000000000001" customHeight="1" x14ac:dyDescent="0.2">
      <c r="B23" s="1307"/>
      <c r="C23" s="1311"/>
      <c r="D23" s="1312"/>
      <c r="E23" s="1313"/>
      <c r="F23" s="1313"/>
      <c r="G23" s="1313"/>
      <c r="H23" s="1313"/>
      <c r="I23" s="1313"/>
      <c r="J23" s="1313"/>
      <c r="K23" s="1313"/>
      <c r="L23" s="1310">
        <f t="shared" si="0"/>
        <v>0</v>
      </c>
      <c r="M23" s="1313"/>
    </row>
    <row r="24" spans="2:14" ht="20.100000000000001" customHeight="1" x14ac:dyDescent="0.2">
      <c r="B24" s="1307" t="s">
        <v>2035</v>
      </c>
      <c r="C24" s="1311"/>
      <c r="D24" s="1312"/>
      <c r="E24" s="1313">
        <f t="shared" ref="E24:K24" si="1">E22</f>
        <v>6109834</v>
      </c>
      <c r="F24" s="1313">
        <f t="shared" si="1"/>
        <v>7624635.25</v>
      </c>
      <c r="G24" s="1313">
        <f t="shared" si="1"/>
        <v>6199271</v>
      </c>
      <c r="H24" s="1313">
        <f t="shared" si="1"/>
        <v>0</v>
      </c>
      <c r="I24" s="1313">
        <f t="shared" si="1"/>
        <v>7553353.7800000003</v>
      </c>
      <c r="J24" s="1313">
        <f t="shared" si="1"/>
        <v>0</v>
      </c>
      <c r="K24" s="1313">
        <f t="shared" si="1"/>
        <v>0</v>
      </c>
      <c r="L24" s="1310">
        <f t="shared" si="0"/>
        <v>13752624.780000001</v>
      </c>
      <c r="M24" s="1313"/>
    </row>
    <row r="25" spans="2:14" ht="20.100000000000001" customHeight="1" x14ac:dyDescent="0.2">
      <c r="B25" s="1307"/>
      <c r="C25" s="1311"/>
      <c r="D25" s="1312"/>
      <c r="E25" s="1313"/>
      <c r="F25" s="1313"/>
      <c r="G25" s="1313"/>
      <c r="H25" s="1313"/>
      <c r="I25" s="1313"/>
      <c r="J25" s="1313"/>
      <c r="K25" s="1313"/>
      <c r="L25" s="1310">
        <f t="shared" si="0"/>
        <v>0</v>
      </c>
      <c r="M25" s="1313"/>
    </row>
    <row r="26" spans="2:14" ht="20.100000000000001" customHeight="1" x14ac:dyDescent="0.2">
      <c r="B26" s="1307"/>
      <c r="C26" s="1311"/>
      <c r="D26" s="1312"/>
      <c r="E26" s="1313"/>
      <c r="F26" s="1313"/>
      <c r="G26" s="1313"/>
      <c r="H26" s="1313"/>
      <c r="I26" s="1313"/>
      <c r="J26" s="1313"/>
      <c r="K26" s="1313"/>
      <c r="L26" s="1310">
        <f t="shared" si="0"/>
        <v>0</v>
      </c>
      <c r="M26" s="1313"/>
    </row>
    <row r="27" spans="2:14" ht="20.100000000000001" customHeight="1" x14ac:dyDescent="0.2">
      <c r="B27" s="1307"/>
      <c r="C27" s="1311"/>
      <c r="D27" s="1312"/>
      <c r="E27" s="1313"/>
      <c r="F27" s="1313"/>
      <c r="G27" s="1313"/>
      <c r="H27" s="1313"/>
      <c r="I27" s="1313"/>
      <c r="J27" s="1313"/>
      <c r="K27" s="1313"/>
      <c r="L27" s="1310">
        <f t="shared" si="0"/>
        <v>0</v>
      </c>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1699</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1802</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1700</v>
      </c>
      <c r="C37" s="1335"/>
      <c r="D37" s="1335"/>
      <c r="E37" s="1335"/>
      <c r="F37" s="1335"/>
      <c r="G37" s="1335"/>
      <c r="H37" s="1335"/>
      <c r="I37" s="1336"/>
      <c r="J37" s="1336"/>
      <c r="K37" s="1336"/>
      <c r="L37" s="1336"/>
      <c r="M37" s="1336"/>
    </row>
    <row r="38" spans="2:13" ht="11.25" customHeight="1" x14ac:dyDescent="0.2">
      <c r="B38" s="1337" t="s">
        <v>1553</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1701</v>
      </c>
      <c r="C40" s="1336"/>
      <c r="D40" s="1336"/>
      <c r="E40" s="1336"/>
      <c r="F40" s="1336"/>
      <c r="G40" s="1336"/>
      <c r="H40" s="1336"/>
      <c r="I40" s="1336"/>
      <c r="J40" s="1336"/>
      <c r="K40" s="1336"/>
      <c r="L40" s="1336"/>
      <c r="M40" s="1336"/>
    </row>
    <row r="41" spans="2:13" ht="11.25" customHeight="1" x14ac:dyDescent="0.2">
      <c r="B41" s="1270" t="s">
        <v>1554</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1702</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1703</v>
      </c>
      <c r="C45" s="1338"/>
      <c r="D45" s="1339"/>
      <c r="E45" s="1270"/>
      <c r="F45" s="1270"/>
      <c r="G45" s="1270"/>
      <c r="H45" s="1270"/>
      <c r="I45" s="1270"/>
      <c r="J45" s="1270"/>
      <c r="K45" s="1340"/>
      <c r="L45" s="1340"/>
      <c r="M45" s="1270"/>
    </row>
    <row r="46" spans="2:13" ht="11.25" customHeight="1" x14ac:dyDescent="0.2">
      <c r="B46" s="1270" t="s">
        <v>1555</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4FADE-109B-43A8-A907-E160D46082CD}">
  <sheetPr>
    <tabColor rgb="FF92D050"/>
    <pageSetUpPr fitToPage="1"/>
  </sheetPr>
  <dimension ref="B1:N152"/>
  <sheetViews>
    <sheetView showGridLines="0" zoomScaleNormal="100" workbookViewId="0">
      <selection activeCell="I25" sqref="I25:I26"/>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21" t="str">
        <f>'Single Audit Cover'!A7</f>
        <v>Cicero SD 99</v>
      </c>
      <c r="C1" s="2464"/>
      <c r="D1" s="2464"/>
      <c r="E1" s="2464"/>
      <c r="F1" s="2464"/>
      <c r="G1" s="2464"/>
      <c r="H1" s="2464"/>
      <c r="I1" s="2464"/>
      <c r="J1" s="2464"/>
      <c r="K1" s="2464"/>
      <c r="L1" s="2464"/>
      <c r="M1" s="2464"/>
    </row>
    <row r="2" spans="2:14" ht="15" x14ac:dyDescent="0.2">
      <c r="B2" s="2465">
        <f>'Single Audit Cover'!E7</f>
        <v>6016099002</v>
      </c>
      <c r="C2" s="2465"/>
      <c r="D2" s="2465"/>
      <c r="E2" s="2465"/>
      <c r="F2" s="2465"/>
      <c r="G2" s="2465"/>
      <c r="H2" s="2465"/>
      <c r="I2" s="2465"/>
      <c r="J2" s="2465"/>
      <c r="K2" s="2465"/>
      <c r="L2" s="2465"/>
      <c r="M2" s="2465"/>
      <c r="N2" s="1272"/>
    </row>
    <row r="3" spans="2:14" ht="15" x14ac:dyDescent="0.2">
      <c r="B3" s="2466" t="s">
        <v>1219</v>
      </c>
      <c r="C3" s="2466"/>
      <c r="D3" s="2466"/>
      <c r="E3" s="2466"/>
      <c r="F3" s="2466"/>
      <c r="G3" s="2466"/>
      <c r="H3" s="2466"/>
      <c r="I3" s="2466"/>
      <c r="J3" s="2466"/>
      <c r="K3" s="2466"/>
      <c r="L3" s="2466"/>
      <c r="M3" s="2466"/>
      <c r="N3" s="1272"/>
    </row>
    <row r="4" spans="2:14" ht="15" x14ac:dyDescent="0.2">
      <c r="B4" s="2467" t="str">
        <f>'Single Audit Cover'!A4</f>
        <v>Year Ending June 30, 2019</v>
      </c>
      <c r="C4" s="2467"/>
      <c r="D4" s="2467"/>
      <c r="E4" s="2467"/>
      <c r="F4" s="2467"/>
      <c r="G4" s="2467"/>
      <c r="H4" s="2467"/>
      <c r="I4" s="2467"/>
      <c r="J4" s="2467"/>
      <c r="K4" s="2467"/>
      <c r="L4" s="2467"/>
      <c r="M4" s="2467"/>
      <c r="N4" s="1272"/>
    </row>
    <row r="6" spans="2:14" x14ac:dyDescent="0.2">
      <c r="B6" s="1273"/>
      <c r="C6" s="1274"/>
      <c r="D6" s="1275" t="s">
        <v>1265</v>
      </c>
      <c r="E6" s="1276" t="s">
        <v>527</v>
      </c>
      <c r="F6" s="1277"/>
      <c r="G6" s="1278" t="s">
        <v>1696</v>
      </c>
      <c r="H6" s="1276"/>
      <c r="I6" s="1276"/>
      <c r="J6" s="1276"/>
      <c r="K6" s="1279"/>
      <c r="L6" s="1280"/>
      <c r="M6" s="1281"/>
    </row>
    <row r="7" spans="2:14" x14ac:dyDescent="0.2">
      <c r="B7" s="1282" t="s">
        <v>1550</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1801</v>
      </c>
      <c r="I8" s="1289" t="s">
        <v>1262</v>
      </c>
      <c r="J8" s="1288" t="s">
        <v>1949</v>
      </c>
      <c r="K8" s="1289" t="s">
        <v>1261</v>
      </c>
      <c r="L8" s="1290" t="s">
        <v>1257</v>
      </c>
      <c r="M8" s="1291" t="s">
        <v>30</v>
      </c>
    </row>
    <row r="9" spans="2:14" ht="14.25" x14ac:dyDescent="0.2">
      <c r="B9" s="1295" t="s">
        <v>1259</v>
      </c>
      <c r="C9" s="1283" t="s">
        <v>1697</v>
      </c>
      <c r="D9" s="1284" t="s">
        <v>1698</v>
      </c>
      <c r="E9" s="1292" t="s">
        <v>1801</v>
      </c>
      <c r="F9" s="1293" t="s">
        <v>1949</v>
      </c>
      <c r="G9" s="1294" t="s">
        <v>1801</v>
      </c>
      <c r="H9" s="1287" t="s">
        <v>1551</v>
      </c>
      <c r="I9" s="1289" t="s">
        <v>1949</v>
      </c>
      <c r="J9" s="1288" t="s">
        <v>1551</v>
      </c>
      <c r="K9" s="1289" t="s">
        <v>1258</v>
      </c>
      <c r="L9" s="1296" t="s">
        <v>1552</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2042</v>
      </c>
      <c r="C11" s="1308"/>
      <c r="D11" s="1309"/>
      <c r="E11" s="1310"/>
      <c r="F11" s="1310"/>
      <c r="G11" s="1310"/>
      <c r="H11" s="1310"/>
      <c r="I11" s="1310"/>
      <c r="J11" s="1310"/>
      <c r="K11" s="1310"/>
      <c r="L11" s="1310">
        <f>+G11+I11+K11</f>
        <v>0</v>
      </c>
      <c r="M11" s="1310"/>
    </row>
    <row r="12" spans="2:14" ht="20.100000000000001" customHeight="1" x14ac:dyDescent="0.2">
      <c r="B12" s="1307" t="s">
        <v>2034</v>
      </c>
      <c r="C12" s="1311"/>
      <c r="D12" s="1312"/>
      <c r="E12" s="1313"/>
      <c r="F12" s="1313"/>
      <c r="G12" s="1313"/>
      <c r="H12" s="1313"/>
      <c r="I12" s="1313"/>
      <c r="J12" s="1313"/>
      <c r="K12" s="1313"/>
      <c r="L12" s="1310">
        <f t="shared" ref="L12:L27" si="0">+G12+I12+K12</f>
        <v>0</v>
      </c>
      <c r="M12" s="1313"/>
    </row>
    <row r="13" spans="2:14" ht="20.100000000000001" customHeight="1" x14ac:dyDescent="0.2">
      <c r="B13" s="1307" t="s">
        <v>2079</v>
      </c>
      <c r="C13" s="1311">
        <v>84.173000000000002</v>
      </c>
      <c r="D13" s="1312" t="s">
        <v>2044</v>
      </c>
      <c r="E13" s="1313">
        <v>65623</v>
      </c>
      <c r="F13" s="1313">
        <f>24606-2265</f>
        <v>22341</v>
      </c>
      <c r="G13" s="1313">
        <f>90229-2265</f>
        <v>87964</v>
      </c>
      <c r="H13" s="1313">
        <v>0</v>
      </c>
      <c r="I13" s="1313">
        <v>0</v>
      </c>
      <c r="J13" s="1313">
        <v>0</v>
      </c>
      <c r="K13" s="1313">
        <v>0</v>
      </c>
      <c r="L13" s="1310">
        <f t="shared" si="0"/>
        <v>87964</v>
      </c>
      <c r="M13" s="1313">
        <v>91453</v>
      </c>
    </row>
    <row r="14" spans="2:14" ht="20.100000000000001" customHeight="1" x14ac:dyDescent="0.2">
      <c r="B14" s="1307" t="s">
        <v>2079</v>
      </c>
      <c r="C14" s="1311">
        <v>84.173000000000002</v>
      </c>
      <c r="D14" s="1312" t="s">
        <v>2045</v>
      </c>
      <c r="E14" s="1313">
        <v>0</v>
      </c>
      <c r="F14" s="1313">
        <f>48223+2265</f>
        <v>50488</v>
      </c>
      <c r="G14" s="1313">
        <v>0</v>
      </c>
      <c r="H14" s="1313">
        <v>0</v>
      </c>
      <c r="I14" s="1313">
        <v>76114</v>
      </c>
      <c r="J14" s="1313">
        <v>0</v>
      </c>
      <c r="K14" s="1313">
        <v>6710</v>
      </c>
      <c r="L14" s="1310">
        <f t="shared" si="0"/>
        <v>82824</v>
      </c>
      <c r="M14" s="1313">
        <v>84915</v>
      </c>
    </row>
    <row r="15" spans="2:14" ht="20.100000000000001" customHeight="1" x14ac:dyDescent="0.2">
      <c r="B15" s="1307" t="s">
        <v>2080</v>
      </c>
      <c r="C15" s="1311">
        <v>84.027000000000001</v>
      </c>
      <c r="D15" s="1312" t="s">
        <v>2046</v>
      </c>
      <c r="E15" s="1313">
        <v>1463130</v>
      </c>
      <c r="F15" s="1313">
        <v>941251</v>
      </c>
      <c r="G15" s="1313">
        <v>2244716</v>
      </c>
      <c r="H15" s="1313">
        <v>0</v>
      </c>
      <c r="I15" s="1313">
        <v>159665</v>
      </c>
      <c r="J15" s="1313">
        <v>0</v>
      </c>
      <c r="K15" s="1313">
        <v>0</v>
      </c>
      <c r="L15" s="1310">
        <f t="shared" si="0"/>
        <v>2404381</v>
      </c>
      <c r="M15" s="1313">
        <v>2721381</v>
      </c>
    </row>
    <row r="16" spans="2:14" ht="20.100000000000001" customHeight="1" x14ac:dyDescent="0.2">
      <c r="B16" s="1307" t="s">
        <v>2080</v>
      </c>
      <c r="C16" s="1311">
        <v>84.027000000000001</v>
      </c>
      <c r="D16" s="1312" t="s">
        <v>2047</v>
      </c>
      <c r="E16" s="1313">
        <v>0</v>
      </c>
      <c r="F16" s="1313">
        <v>1619321</v>
      </c>
      <c r="G16" s="1313">
        <v>0</v>
      </c>
      <c r="H16" s="1313">
        <v>0</v>
      </c>
      <c r="I16" s="1313">
        <v>2365332</v>
      </c>
      <c r="J16" s="1313">
        <v>0</v>
      </c>
      <c r="K16" s="1313">
        <v>220000</v>
      </c>
      <c r="L16" s="1310">
        <f t="shared" si="0"/>
        <v>2585332</v>
      </c>
      <c r="M16" s="1313">
        <v>3016087</v>
      </c>
    </row>
    <row r="17" spans="2:14" ht="20.100000000000001" customHeight="1" x14ac:dyDescent="0.2">
      <c r="B17" s="1307"/>
      <c r="C17" s="1311"/>
      <c r="D17" s="1312"/>
      <c r="E17" s="1313"/>
      <c r="F17" s="1313"/>
      <c r="G17" s="1313"/>
      <c r="H17" s="1313"/>
      <c r="I17" s="1313"/>
      <c r="J17" s="1313"/>
      <c r="K17" s="1313"/>
      <c r="L17" s="1310">
        <f t="shared" si="0"/>
        <v>0</v>
      </c>
      <c r="M17" s="1313"/>
    </row>
    <row r="18" spans="2:14" ht="20.100000000000001" customHeight="1" x14ac:dyDescent="0.2">
      <c r="B18" s="1307" t="s">
        <v>2043</v>
      </c>
      <c r="C18" s="1311"/>
      <c r="D18" s="1312"/>
      <c r="E18" s="1313">
        <f t="shared" ref="E18:K18" si="1">SUM(E13:E16)</f>
        <v>1528753</v>
      </c>
      <c r="F18" s="1313">
        <f t="shared" si="1"/>
        <v>2633401</v>
      </c>
      <c r="G18" s="1313">
        <f t="shared" si="1"/>
        <v>2332680</v>
      </c>
      <c r="H18" s="1313">
        <f t="shared" si="1"/>
        <v>0</v>
      </c>
      <c r="I18" s="1313">
        <f t="shared" si="1"/>
        <v>2601111</v>
      </c>
      <c r="J18" s="1313">
        <f t="shared" si="1"/>
        <v>0</v>
      </c>
      <c r="K18" s="1313">
        <f t="shared" si="1"/>
        <v>226710</v>
      </c>
      <c r="L18" s="1310">
        <f t="shared" si="0"/>
        <v>5160501</v>
      </c>
      <c r="M18" s="1313"/>
    </row>
    <row r="19" spans="2:14" ht="20.100000000000001" customHeight="1" x14ac:dyDescent="0.2">
      <c r="B19" s="1307"/>
      <c r="C19" s="1311"/>
      <c r="D19" s="1312"/>
      <c r="E19" s="1313"/>
      <c r="F19" s="1313"/>
      <c r="G19" s="1313"/>
      <c r="H19" s="1313"/>
      <c r="I19" s="1313"/>
      <c r="J19" s="1313"/>
      <c r="K19" s="1313"/>
      <c r="L19" s="1310">
        <f t="shared" si="0"/>
        <v>0</v>
      </c>
      <c r="M19" s="1313"/>
    </row>
    <row r="20" spans="2:14" ht="20.100000000000001" customHeight="1" x14ac:dyDescent="0.2">
      <c r="B20" s="1307" t="s">
        <v>2042</v>
      </c>
      <c r="C20" s="1311"/>
      <c r="D20" s="1312"/>
      <c r="E20" s="1313"/>
      <c r="F20" s="1313"/>
      <c r="G20" s="1313"/>
      <c r="H20" s="1313"/>
      <c r="I20" s="1313"/>
      <c r="J20" s="1313"/>
      <c r="K20" s="1313"/>
      <c r="L20" s="1310">
        <f t="shared" si="0"/>
        <v>0</v>
      </c>
      <c r="M20" s="1313"/>
    </row>
    <row r="21" spans="2:14" ht="20.100000000000001" customHeight="1" x14ac:dyDescent="0.2">
      <c r="B21" s="1307" t="s">
        <v>2034</v>
      </c>
      <c r="C21" s="1311"/>
      <c r="D21" s="1312"/>
      <c r="E21" s="1313"/>
      <c r="F21" s="1313"/>
      <c r="G21" s="1313"/>
      <c r="H21" s="1313"/>
      <c r="I21" s="1313"/>
      <c r="J21" s="1313"/>
      <c r="K21" s="1313"/>
      <c r="L21" s="1310">
        <f t="shared" si="0"/>
        <v>0</v>
      </c>
      <c r="M21" s="1313"/>
    </row>
    <row r="22" spans="2:14" ht="20.100000000000001" customHeight="1" x14ac:dyDescent="0.2">
      <c r="B22" s="1307" t="s">
        <v>2077</v>
      </c>
      <c r="C22" s="1311">
        <v>84.01</v>
      </c>
      <c r="D22" s="1312" t="s">
        <v>2069</v>
      </c>
      <c r="E22" s="1313">
        <v>3287146</v>
      </c>
      <c r="F22" s="1313">
        <v>2032027</v>
      </c>
      <c r="G22" s="1313">
        <v>4106636</v>
      </c>
      <c r="H22" s="1313">
        <v>0</v>
      </c>
      <c r="I22" s="1313">
        <f>888402+324135</f>
        <v>1212537</v>
      </c>
      <c r="J22" s="1313">
        <v>0</v>
      </c>
      <c r="K22" s="1313">
        <v>0</v>
      </c>
      <c r="L22" s="1310">
        <f t="shared" si="0"/>
        <v>5319173</v>
      </c>
      <c r="M22" s="1313">
        <v>6022758</v>
      </c>
    </row>
    <row r="23" spans="2:14" ht="20.100000000000001" customHeight="1" x14ac:dyDescent="0.2">
      <c r="B23" s="1307" t="s">
        <v>2077</v>
      </c>
      <c r="C23" s="1311">
        <v>84.01</v>
      </c>
      <c r="D23" s="1312" t="s">
        <v>2070</v>
      </c>
      <c r="E23" s="1313">
        <v>0</v>
      </c>
      <c r="F23" s="1313">
        <v>2618706</v>
      </c>
      <c r="G23" s="1313">
        <v>0</v>
      </c>
      <c r="H23" s="1313">
        <v>0</v>
      </c>
      <c r="I23" s="1313">
        <v>4039030</v>
      </c>
      <c r="J23" s="1313">
        <v>0</v>
      </c>
      <c r="K23" s="1313">
        <v>1542256</v>
      </c>
      <c r="L23" s="1310">
        <f t="shared" si="0"/>
        <v>5581286</v>
      </c>
      <c r="M23" s="1313">
        <v>6188567</v>
      </c>
    </row>
    <row r="24" spans="2:14" ht="20.100000000000001" customHeight="1" x14ac:dyDescent="0.2">
      <c r="B24" s="1307" t="s">
        <v>2078</v>
      </c>
      <c r="C24" s="1311">
        <v>84.01</v>
      </c>
      <c r="D24" s="1312" t="s">
        <v>2073</v>
      </c>
      <c r="E24" s="1313">
        <v>0</v>
      </c>
      <c r="F24" s="1313">
        <v>0</v>
      </c>
      <c r="G24" s="1313">
        <v>0</v>
      </c>
      <c r="H24" s="1313">
        <v>0</v>
      </c>
      <c r="I24" s="1313">
        <v>330671</v>
      </c>
      <c r="J24" s="1313">
        <v>0</v>
      </c>
      <c r="K24" s="1313">
        <v>60000</v>
      </c>
      <c r="L24" s="1310">
        <f t="shared" si="0"/>
        <v>390671</v>
      </c>
      <c r="M24" s="1313">
        <v>594832</v>
      </c>
    </row>
    <row r="25" spans="2:14" ht="20.100000000000001" customHeight="1" x14ac:dyDescent="0.2">
      <c r="B25" s="1307" t="s">
        <v>2048</v>
      </c>
      <c r="C25" s="1311">
        <v>84.424000000000007</v>
      </c>
      <c r="D25" s="1312" t="s">
        <v>2071</v>
      </c>
      <c r="E25" s="1313">
        <v>17124</v>
      </c>
      <c r="F25" s="1313">
        <v>23260</v>
      </c>
      <c r="G25" s="1313">
        <v>17832</v>
      </c>
      <c r="H25" s="1313">
        <v>0</v>
      </c>
      <c r="I25" s="1313">
        <f>207+22345</f>
        <v>22552</v>
      </c>
      <c r="J25" s="1313">
        <v>0</v>
      </c>
      <c r="K25" s="1313">
        <v>0</v>
      </c>
      <c r="L25" s="1310">
        <f t="shared" si="0"/>
        <v>40384</v>
      </c>
      <c r="M25" s="1313">
        <v>95179</v>
      </c>
    </row>
    <row r="26" spans="2:14" ht="20.100000000000001" customHeight="1" x14ac:dyDescent="0.2">
      <c r="B26" s="1307" t="s">
        <v>2048</v>
      </c>
      <c r="C26" s="1311">
        <v>84.424000000000007</v>
      </c>
      <c r="D26" s="1312" t="s">
        <v>2072</v>
      </c>
      <c r="E26" s="1313">
        <v>0</v>
      </c>
      <c r="F26" s="1313">
        <v>49798</v>
      </c>
      <c r="G26" s="1313">
        <v>0</v>
      </c>
      <c r="H26" s="1313">
        <v>0</v>
      </c>
      <c r="I26" s="1313">
        <v>228107</v>
      </c>
      <c r="J26" s="1313">
        <v>0</v>
      </c>
      <c r="K26" s="1313">
        <v>231329</v>
      </c>
      <c r="L26" s="1310">
        <f t="shared" si="0"/>
        <v>459436</v>
      </c>
      <c r="M26" s="1313">
        <v>548272</v>
      </c>
    </row>
    <row r="27" spans="2:14" ht="20.100000000000001" customHeight="1" x14ac:dyDescent="0.2">
      <c r="B27" s="1307"/>
      <c r="C27" s="1311"/>
      <c r="D27" s="1312"/>
      <c r="E27" s="1313"/>
      <c r="F27" s="1313"/>
      <c r="G27" s="1313"/>
      <c r="H27" s="1313"/>
      <c r="I27" s="1313"/>
      <c r="J27" s="1313"/>
      <c r="K27" s="1313"/>
      <c r="L27" s="1310">
        <f t="shared" si="0"/>
        <v>0</v>
      </c>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1699</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1802</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1700</v>
      </c>
      <c r="C37" s="1335"/>
      <c r="D37" s="1335"/>
      <c r="E37" s="1335"/>
      <c r="F37" s="1335"/>
      <c r="G37" s="1335"/>
      <c r="H37" s="1335"/>
      <c r="I37" s="1336"/>
      <c r="J37" s="1336"/>
      <c r="K37" s="1336"/>
      <c r="L37" s="1336"/>
      <c r="M37" s="1336"/>
    </row>
    <row r="38" spans="2:13" ht="11.25" customHeight="1" x14ac:dyDescent="0.2">
      <c r="B38" s="1337" t="s">
        <v>1553</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1701</v>
      </c>
      <c r="C40" s="1336"/>
      <c r="D40" s="1336"/>
      <c r="E40" s="1336"/>
      <c r="F40" s="1336"/>
      <c r="G40" s="1336"/>
      <c r="H40" s="1336"/>
      <c r="I40" s="1336"/>
      <c r="J40" s="1336"/>
      <c r="K40" s="1336"/>
      <c r="L40" s="1336"/>
      <c r="M40" s="1336"/>
    </row>
    <row r="41" spans="2:13" ht="11.25" customHeight="1" x14ac:dyDescent="0.2">
      <c r="B41" s="1270" t="s">
        <v>1554</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1702</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1703</v>
      </c>
      <c r="C45" s="1338"/>
      <c r="D45" s="1339"/>
      <c r="E45" s="1270"/>
      <c r="F45" s="1270"/>
      <c r="G45" s="1270"/>
      <c r="H45" s="1270"/>
      <c r="I45" s="1270"/>
      <c r="J45" s="1270"/>
      <c r="K45" s="1340"/>
      <c r="L45" s="1340"/>
      <c r="M45" s="1270"/>
    </row>
    <row r="46" spans="2:13" ht="11.25" customHeight="1" x14ac:dyDescent="0.2">
      <c r="B46" s="1270" t="s">
        <v>1555</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4"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284B1-96CB-4DFB-B078-DB3A8A66373A}">
  <sheetPr>
    <tabColor rgb="FF92D050"/>
    <pageSetUpPr fitToPage="1"/>
  </sheetPr>
  <dimension ref="B1:N152"/>
  <sheetViews>
    <sheetView showGridLines="0" topLeftCell="A5" zoomScaleNormal="100" workbookViewId="0">
      <selection activeCell="I26" sqref="I26"/>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21" t="str">
        <f>'Single Audit Cover'!A7</f>
        <v>Cicero SD 99</v>
      </c>
      <c r="C1" s="2464"/>
      <c r="D1" s="2464"/>
      <c r="E1" s="2464"/>
      <c r="F1" s="2464"/>
      <c r="G1" s="2464"/>
      <c r="H1" s="2464"/>
      <c r="I1" s="2464"/>
      <c r="J1" s="2464"/>
      <c r="K1" s="2464"/>
      <c r="L1" s="2464"/>
      <c r="M1" s="2464"/>
    </row>
    <row r="2" spans="2:14" ht="15" x14ac:dyDescent="0.2">
      <c r="B2" s="2465">
        <f>'Single Audit Cover'!E7</f>
        <v>6016099002</v>
      </c>
      <c r="C2" s="2465"/>
      <c r="D2" s="2465"/>
      <c r="E2" s="2465"/>
      <c r="F2" s="2465"/>
      <c r="G2" s="2465"/>
      <c r="H2" s="2465"/>
      <c r="I2" s="2465"/>
      <c r="J2" s="2465"/>
      <c r="K2" s="2465"/>
      <c r="L2" s="2465"/>
      <c r="M2" s="2465"/>
      <c r="N2" s="1272"/>
    </row>
    <row r="3" spans="2:14" ht="15" x14ac:dyDescent="0.2">
      <c r="B3" s="2466" t="s">
        <v>1219</v>
      </c>
      <c r="C3" s="2466"/>
      <c r="D3" s="2466"/>
      <c r="E3" s="2466"/>
      <c r="F3" s="2466"/>
      <c r="G3" s="2466"/>
      <c r="H3" s="2466"/>
      <c r="I3" s="2466"/>
      <c r="J3" s="2466"/>
      <c r="K3" s="2466"/>
      <c r="L3" s="2466"/>
      <c r="M3" s="2466"/>
      <c r="N3" s="1272"/>
    </row>
    <row r="4" spans="2:14" ht="15" x14ac:dyDescent="0.2">
      <c r="B4" s="2467" t="str">
        <f>'Single Audit Cover'!A4</f>
        <v>Year Ending June 30, 2019</v>
      </c>
      <c r="C4" s="2467"/>
      <c r="D4" s="2467"/>
      <c r="E4" s="2467"/>
      <c r="F4" s="2467"/>
      <c r="G4" s="2467"/>
      <c r="H4" s="2467"/>
      <c r="I4" s="2467"/>
      <c r="J4" s="2467"/>
      <c r="K4" s="2467"/>
      <c r="L4" s="2467"/>
      <c r="M4" s="2467"/>
      <c r="N4" s="1272"/>
    </row>
    <row r="6" spans="2:14" x14ac:dyDescent="0.2">
      <c r="B6" s="1273"/>
      <c r="C6" s="1274"/>
      <c r="D6" s="1275" t="s">
        <v>1265</v>
      </c>
      <c r="E6" s="1276" t="s">
        <v>527</v>
      </c>
      <c r="F6" s="1277"/>
      <c r="G6" s="1278" t="s">
        <v>1696</v>
      </c>
      <c r="H6" s="1276"/>
      <c r="I6" s="1276"/>
      <c r="J6" s="1276"/>
      <c r="K6" s="1279"/>
      <c r="L6" s="1280"/>
      <c r="M6" s="1281"/>
    </row>
    <row r="7" spans="2:14" x14ac:dyDescent="0.2">
      <c r="B7" s="1282" t="s">
        <v>1550</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1801</v>
      </c>
      <c r="I8" s="1289" t="s">
        <v>1262</v>
      </c>
      <c r="J8" s="1288" t="s">
        <v>1949</v>
      </c>
      <c r="K8" s="1289" t="s">
        <v>1261</v>
      </c>
      <c r="L8" s="1290" t="s">
        <v>1257</v>
      </c>
      <c r="M8" s="1291" t="s">
        <v>30</v>
      </c>
    </row>
    <row r="9" spans="2:14" ht="14.25" x14ac:dyDescent="0.2">
      <c r="B9" s="1295" t="s">
        <v>1259</v>
      </c>
      <c r="C9" s="1283" t="s">
        <v>1697</v>
      </c>
      <c r="D9" s="1284" t="s">
        <v>1698</v>
      </c>
      <c r="E9" s="1292" t="s">
        <v>1801</v>
      </c>
      <c r="F9" s="1293" t="s">
        <v>1949</v>
      </c>
      <c r="G9" s="1294" t="s">
        <v>1801</v>
      </c>
      <c r="H9" s="1287" t="s">
        <v>1551</v>
      </c>
      <c r="I9" s="1289" t="s">
        <v>1949</v>
      </c>
      <c r="J9" s="1288" t="s">
        <v>1551</v>
      </c>
      <c r="K9" s="1289" t="s">
        <v>1258</v>
      </c>
      <c r="L9" s="1296" t="s">
        <v>1552</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2042</v>
      </c>
      <c r="C11" s="1308"/>
      <c r="D11" s="1309"/>
      <c r="E11" s="1310"/>
      <c r="F11" s="1310"/>
      <c r="G11" s="1310"/>
      <c r="H11" s="1310"/>
      <c r="I11" s="1310"/>
      <c r="J11" s="1310"/>
      <c r="K11" s="1310"/>
      <c r="L11" s="1310">
        <f>+G11+I11+K11</f>
        <v>0</v>
      </c>
      <c r="M11" s="1310"/>
    </row>
    <row r="12" spans="2:14" ht="20.100000000000001" customHeight="1" x14ac:dyDescent="0.2">
      <c r="B12" s="1307" t="s">
        <v>2034</v>
      </c>
      <c r="C12" s="1311"/>
      <c r="D12" s="1312"/>
      <c r="E12" s="1313"/>
      <c r="F12" s="1313"/>
      <c r="G12" s="1313"/>
      <c r="H12" s="1313"/>
      <c r="I12" s="1313"/>
      <c r="J12" s="1313"/>
      <c r="K12" s="1313"/>
      <c r="L12" s="1310">
        <f t="shared" ref="L12:L27" si="0">+G12+I12+K12</f>
        <v>0</v>
      </c>
      <c r="M12" s="1313"/>
    </row>
    <row r="13" spans="2:14" ht="20.100000000000001" customHeight="1" x14ac:dyDescent="0.2">
      <c r="B13" s="1307" t="s">
        <v>2049</v>
      </c>
      <c r="C13" s="1311">
        <v>84.364999999999995</v>
      </c>
      <c r="D13" s="1312" t="s">
        <v>2063</v>
      </c>
      <c r="E13" s="1313">
        <v>0</v>
      </c>
      <c r="F13" s="1313">
        <v>11978</v>
      </c>
      <c r="G13" s="1313">
        <v>10225</v>
      </c>
      <c r="H13" s="1313">
        <v>0</v>
      </c>
      <c r="I13" s="1313">
        <v>1753</v>
      </c>
      <c r="J13" s="1313">
        <v>0</v>
      </c>
      <c r="K13" s="1313">
        <v>0</v>
      </c>
      <c r="L13" s="1310">
        <f t="shared" si="0"/>
        <v>11978</v>
      </c>
      <c r="M13" s="1313">
        <v>28192</v>
      </c>
    </row>
    <row r="14" spans="2:14" ht="20.100000000000001" customHeight="1" x14ac:dyDescent="0.2">
      <c r="B14" s="1307" t="s">
        <v>2049</v>
      </c>
      <c r="C14" s="1311">
        <v>84.364999999999995</v>
      </c>
      <c r="D14" s="1312" t="s">
        <v>2064</v>
      </c>
      <c r="E14" s="1313">
        <v>0</v>
      </c>
      <c r="F14" s="1313">
        <v>0</v>
      </c>
      <c r="G14" s="1313">
        <v>0</v>
      </c>
      <c r="H14" s="1313">
        <v>0</v>
      </c>
      <c r="I14" s="1313">
        <v>11247</v>
      </c>
      <c r="J14" s="1313">
        <v>0</v>
      </c>
      <c r="K14" s="1313">
        <v>22077</v>
      </c>
      <c r="L14" s="1310">
        <f t="shared" si="0"/>
        <v>33324</v>
      </c>
      <c r="M14" s="1313">
        <v>44114</v>
      </c>
    </row>
    <row r="15" spans="2:14" ht="20.100000000000001" customHeight="1" x14ac:dyDescent="0.2">
      <c r="B15" s="1307" t="s">
        <v>2050</v>
      </c>
      <c r="C15" s="1311">
        <v>84.364999999999995</v>
      </c>
      <c r="D15" s="1312" t="s">
        <v>2065</v>
      </c>
      <c r="E15" s="1313">
        <v>279507</v>
      </c>
      <c r="F15" s="1313">
        <v>554913</v>
      </c>
      <c r="G15" s="1313">
        <v>805113</v>
      </c>
      <c r="H15" s="1313">
        <v>0</v>
      </c>
      <c r="I15" s="1313">
        <v>29307</v>
      </c>
      <c r="J15" s="1313">
        <v>0</v>
      </c>
      <c r="K15" s="1313">
        <v>0</v>
      </c>
      <c r="L15" s="1310">
        <f t="shared" si="0"/>
        <v>834420</v>
      </c>
      <c r="M15" s="1313">
        <v>1175137</v>
      </c>
    </row>
    <row r="16" spans="2:14" ht="20.100000000000001" customHeight="1" x14ac:dyDescent="0.2">
      <c r="B16" s="1307" t="s">
        <v>2050</v>
      </c>
      <c r="C16" s="1311">
        <v>84.364999999999995</v>
      </c>
      <c r="D16" s="1312" t="s">
        <v>2066</v>
      </c>
      <c r="E16" s="1313">
        <v>0</v>
      </c>
      <c r="F16" s="1313">
        <v>255432</v>
      </c>
      <c r="G16" s="1313">
        <v>0</v>
      </c>
      <c r="H16" s="1313">
        <v>0</v>
      </c>
      <c r="I16" s="1313">
        <v>624857</v>
      </c>
      <c r="J16" s="1313">
        <v>0</v>
      </c>
      <c r="K16" s="1313">
        <v>132714</v>
      </c>
      <c r="L16" s="1310">
        <f t="shared" si="0"/>
        <v>757571</v>
      </c>
      <c r="M16" s="1313">
        <v>971110</v>
      </c>
    </row>
    <row r="17" spans="2:14" ht="20.100000000000001" customHeight="1" x14ac:dyDescent="0.2">
      <c r="B17" s="1307" t="s">
        <v>2062</v>
      </c>
      <c r="C17" s="1311">
        <v>84.367000000000004</v>
      </c>
      <c r="D17" s="1312" t="s">
        <v>2067</v>
      </c>
      <c r="E17" s="1313">
        <v>345794</v>
      </c>
      <c r="F17" s="1313">
        <v>318057</v>
      </c>
      <c r="G17" s="1313">
        <v>523430</v>
      </c>
      <c r="H17" s="1313">
        <v>0</v>
      </c>
      <c r="I17" s="1313">
        <f>100739+39682</f>
        <v>140421</v>
      </c>
      <c r="J17" s="1313">
        <v>0</v>
      </c>
      <c r="K17" s="1313">
        <v>0</v>
      </c>
      <c r="L17" s="1310">
        <f t="shared" si="0"/>
        <v>663851</v>
      </c>
      <c r="M17" s="1313">
        <v>992267</v>
      </c>
    </row>
    <row r="18" spans="2:14" ht="20.100000000000001" customHeight="1" x14ac:dyDescent="0.2">
      <c r="B18" s="1307" t="s">
        <v>2062</v>
      </c>
      <c r="C18" s="1311">
        <v>84.367000000000004</v>
      </c>
      <c r="D18" s="1312" t="s">
        <v>2068</v>
      </c>
      <c r="E18" s="1313">
        <v>0</v>
      </c>
      <c r="F18" s="1313">
        <v>398292</v>
      </c>
      <c r="G18" s="1313">
        <v>0</v>
      </c>
      <c r="H18" s="1313">
        <v>0</v>
      </c>
      <c r="I18" s="1313">
        <v>605928</v>
      </c>
      <c r="J18" s="1313">
        <v>0</v>
      </c>
      <c r="K18" s="1313">
        <v>161924</v>
      </c>
      <c r="L18" s="1310">
        <f t="shared" si="0"/>
        <v>767852</v>
      </c>
      <c r="M18" s="1313">
        <v>858704</v>
      </c>
    </row>
    <row r="19" spans="2:14" ht="20.100000000000001" customHeight="1" x14ac:dyDescent="0.2">
      <c r="B19" s="1307"/>
      <c r="C19" s="1311"/>
      <c r="D19" s="1312"/>
      <c r="E19" s="1313"/>
      <c r="F19" s="1313"/>
      <c r="G19" s="1313"/>
      <c r="H19" s="1313"/>
      <c r="I19" s="1313"/>
      <c r="J19" s="1313"/>
      <c r="K19" s="1313"/>
      <c r="L19" s="1310">
        <f t="shared" si="0"/>
        <v>0</v>
      </c>
      <c r="M19" s="1313"/>
    </row>
    <row r="20" spans="2:14" ht="20.100000000000001" customHeight="1" x14ac:dyDescent="0.2">
      <c r="B20" s="1307" t="s">
        <v>2051</v>
      </c>
      <c r="C20" s="1311"/>
      <c r="D20" s="1312"/>
      <c r="E20" s="1313">
        <f>SUM(E13:E18)+' SEFA (2)'!E18+SUM(' SEFA (2)'!E22:E26)</f>
        <v>5458324</v>
      </c>
      <c r="F20" s="1313">
        <f>SUM(F13:F18)+' SEFA (2)'!F18+SUM(' SEFA (2)'!F22:F26)</f>
        <v>8895864</v>
      </c>
      <c r="G20" s="1313">
        <f>SUM(G13:G18)+' SEFA (2)'!G18+SUM(' SEFA (2)'!G22:G26)</f>
        <v>7795916</v>
      </c>
      <c r="H20" s="1313">
        <f>SUM(H13:H18)+' SEFA (2)'!H18+SUM(' SEFA (2)'!H22:H26)</f>
        <v>0</v>
      </c>
      <c r="I20" s="1313">
        <f>SUM(I13:I18)+' SEFA (2)'!I18+SUM(' SEFA (2)'!I22:I26)</f>
        <v>9847521</v>
      </c>
      <c r="J20" s="1313">
        <f>SUM(J13:J18)+' SEFA (2)'!J18+SUM(' SEFA (2)'!J22:J26)</f>
        <v>0</v>
      </c>
      <c r="K20" s="1313">
        <f>SUM(K13:K18)+' SEFA (2)'!K18+SUM(' SEFA (2)'!K22:K26)</f>
        <v>2377010</v>
      </c>
      <c r="L20" s="1310">
        <f t="shared" si="0"/>
        <v>20020447</v>
      </c>
      <c r="M20" s="1313"/>
    </row>
    <row r="21" spans="2:14" ht="20.100000000000001" customHeight="1" x14ac:dyDescent="0.2">
      <c r="B21" s="1307"/>
      <c r="C21" s="1311"/>
      <c r="D21" s="1312"/>
      <c r="E21" s="1313"/>
      <c r="F21" s="1313"/>
      <c r="G21" s="1313"/>
      <c r="H21" s="1313"/>
      <c r="I21" s="1313"/>
      <c r="J21" s="1313"/>
      <c r="K21" s="1313"/>
      <c r="L21" s="1310">
        <f t="shared" si="0"/>
        <v>0</v>
      </c>
      <c r="M21" s="1313"/>
    </row>
    <row r="22" spans="2:14" ht="20.100000000000001" customHeight="1" x14ac:dyDescent="0.2">
      <c r="B22" s="1307" t="s">
        <v>2052</v>
      </c>
      <c r="C22" s="1311"/>
      <c r="D22" s="1312"/>
      <c r="E22" s="1313"/>
      <c r="F22" s="1313"/>
      <c r="G22" s="1313"/>
      <c r="H22" s="1313"/>
      <c r="I22" s="1313"/>
      <c r="J22" s="1313"/>
      <c r="K22" s="1313"/>
      <c r="L22" s="1310">
        <f t="shared" si="0"/>
        <v>0</v>
      </c>
      <c r="M22" s="1313"/>
    </row>
    <row r="23" spans="2:14" ht="20.100000000000001" customHeight="1" x14ac:dyDescent="0.2">
      <c r="B23" s="1307" t="s">
        <v>2053</v>
      </c>
      <c r="C23" s="1311"/>
      <c r="D23" s="1312"/>
      <c r="E23" s="1313"/>
      <c r="F23" s="1313"/>
      <c r="G23" s="1313"/>
      <c r="H23" s="1313"/>
      <c r="I23" s="1313"/>
      <c r="J23" s="1313"/>
      <c r="K23" s="1313"/>
      <c r="L23" s="1310">
        <f t="shared" si="0"/>
        <v>0</v>
      </c>
      <c r="M23" s="1313"/>
    </row>
    <row r="24" spans="2:14" ht="20.100000000000001" customHeight="1" x14ac:dyDescent="0.2">
      <c r="B24" s="1307" t="s">
        <v>2054</v>
      </c>
      <c r="C24" s="1311"/>
      <c r="D24" s="1312"/>
      <c r="E24" s="1313"/>
      <c r="F24" s="1313"/>
      <c r="G24" s="1313"/>
      <c r="H24" s="1313"/>
      <c r="I24" s="1313"/>
      <c r="J24" s="1313"/>
      <c r="K24" s="1313"/>
      <c r="L24" s="1310">
        <f t="shared" si="0"/>
        <v>0</v>
      </c>
      <c r="M24" s="1313"/>
    </row>
    <row r="25" spans="2:14" ht="20.100000000000001" customHeight="1" x14ac:dyDescent="0.2">
      <c r="B25" s="1307" t="s">
        <v>2055</v>
      </c>
      <c r="C25" s="1311">
        <v>93.778000000000006</v>
      </c>
      <c r="D25" s="1312" t="s">
        <v>2060</v>
      </c>
      <c r="E25" s="1313">
        <v>269230</v>
      </c>
      <c r="F25" s="1313">
        <v>138652</v>
      </c>
      <c r="G25" s="1313">
        <v>407882</v>
      </c>
      <c r="H25" s="1313">
        <v>0</v>
      </c>
      <c r="I25" s="1313">
        <v>0</v>
      </c>
      <c r="J25" s="1313">
        <v>0</v>
      </c>
      <c r="K25" s="1313">
        <v>0</v>
      </c>
      <c r="L25" s="1310">
        <f t="shared" si="0"/>
        <v>407882</v>
      </c>
      <c r="M25" s="1313" t="s">
        <v>2040</v>
      </c>
    </row>
    <row r="26" spans="2:14" ht="20.100000000000001" customHeight="1" x14ac:dyDescent="0.2">
      <c r="B26" s="1307" t="s">
        <v>2055</v>
      </c>
      <c r="C26" s="1311">
        <v>93.778000000000006</v>
      </c>
      <c r="D26" s="1312" t="s">
        <v>2061</v>
      </c>
      <c r="E26" s="1313">
        <v>0</v>
      </c>
      <c r="F26" s="1313">
        <v>561333.14</v>
      </c>
      <c r="G26" s="1313">
        <v>0</v>
      </c>
      <c r="H26" s="1313">
        <v>0</v>
      </c>
      <c r="I26" s="1313">
        <v>685748</v>
      </c>
      <c r="J26" s="1313">
        <v>0</v>
      </c>
      <c r="K26" s="1313">
        <v>0</v>
      </c>
      <c r="L26" s="1310">
        <f t="shared" si="0"/>
        <v>685748</v>
      </c>
      <c r="M26" s="1313" t="s">
        <v>2040</v>
      </c>
    </row>
    <row r="27" spans="2:14" ht="20.100000000000001" customHeight="1" x14ac:dyDescent="0.2">
      <c r="B27" s="1307"/>
      <c r="C27" s="1311"/>
      <c r="D27" s="1312"/>
      <c r="E27" s="1313"/>
      <c r="F27" s="1313"/>
      <c r="G27" s="1313"/>
      <c r="H27" s="1313"/>
      <c r="I27" s="1313"/>
      <c r="J27" s="1313"/>
      <c r="K27" s="1313"/>
      <c r="L27" s="1310">
        <f t="shared" si="0"/>
        <v>0</v>
      </c>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1699</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1802</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1700</v>
      </c>
      <c r="C37" s="1335"/>
      <c r="D37" s="1335"/>
      <c r="E37" s="1335"/>
      <c r="F37" s="1335"/>
      <c r="G37" s="1335"/>
      <c r="H37" s="1335"/>
      <c r="I37" s="1336"/>
      <c r="J37" s="1336"/>
      <c r="K37" s="1336"/>
      <c r="L37" s="1336"/>
      <c r="M37" s="1336"/>
    </row>
    <row r="38" spans="2:13" ht="11.25" customHeight="1" x14ac:dyDescent="0.2">
      <c r="B38" s="1337" t="s">
        <v>1553</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1701</v>
      </c>
      <c r="C40" s="1336"/>
      <c r="D40" s="1336"/>
      <c r="E40" s="1336"/>
      <c r="F40" s="1336"/>
      <c r="G40" s="1336"/>
      <c r="H40" s="1336"/>
      <c r="I40" s="1336"/>
      <c r="J40" s="1336"/>
      <c r="K40" s="1336"/>
      <c r="L40" s="1336"/>
      <c r="M40" s="1336"/>
    </row>
    <row r="41" spans="2:13" ht="11.25" customHeight="1" x14ac:dyDescent="0.2">
      <c r="B41" s="1270" t="s">
        <v>1554</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1702</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1703</v>
      </c>
      <c r="C45" s="1338"/>
      <c r="D45" s="1339"/>
      <c r="E45" s="1270"/>
      <c r="F45" s="1270"/>
      <c r="G45" s="1270"/>
      <c r="H45" s="1270"/>
      <c r="I45" s="1270"/>
      <c r="J45" s="1270"/>
      <c r="K45" s="1340"/>
      <c r="L45" s="1340"/>
      <c r="M45" s="1270"/>
    </row>
    <row r="46" spans="2:13" ht="11.25" customHeight="1" x14ac:dyDescent="0.2">
      <c r="B46" s="1270" t="s">
        <v>1555</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9"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7" t="s">
        <v>1168</v>
      </c>
      <c r="B2" s="2107"/>
      <c r="C2" s="2107"/>
      <c r="D2" s="2107"/>
      <c r="E2" s="2107"/>
      <c r="F2" s="2107"/>
      <c r="G2" s="2107"/>
      <c r="H2" s="2107"/>
      <c r="I2" s="2107"/>
      <c r="J2" s="2107"/>
    </row>
    <row r="3" spans="1:11" s="181" customFormat="1" ht="17.25" customHeight="1" x14ac:dyDescent="0.2">
      <c r="A3" s="207"/>
      <c r="B3" s="207"/>
      <c r="C3" s="208"/>
      <c r="D3" s="209"/>
      <c r="E3" s="210"/>
    </row>
    <row r="4" spans="1:11" x14ac:dyDescent="0.2">
      <c r="A4" s="344" t="s">
        <v>1606</v>
      </c>
      <c r="B4" s="344"/>
      <c r="C4" s="344"/>
      <c r="D4" s="344"/>
      <c r="E4" s="344"/>
      <c r="F4" s="344"/>
      <c r="G4" s="344"/>
      <c r="H4" s="344"/>
      <c r="I4" s="344"/>
      <c r="J4" s="344"/>
      <c r="K4" s="344"/>
    </row>
    <row r="5" spans="1:11" x14ac:dyDescent="0.2">
      <c r="A5" s="237" t="s">
        <v>1607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1527</v>
      </c>
    </row>
    <row r="10" spans="1:11" s="181" customFormat="1" x14ac:dyDescent="0.2">
      <c r="A10" s="222"/>
      <c r="B10" s="223"/>
      <c r="C10" s="224"/>
      <c r="D10" s="225" t="s">
        <v>1593</v>
      </c>
    </row>
    <row r="11" spans="1:11" s="181" customFormat="1" x14ac:dyDescent="0.2">
      <c r="A11" s="219"/>
      <c r="B11" s="226"/>
      <c r="C11" s="227">
        <v>2</v>
      </c>
      <c r="D11" s="228" t="s">
        <v>1594</v>
      </c>
    </row>
    <row r="12" spans="1:11" s="181" customFormat="1" hidden="1" x14ac:dyDescent="0.2">
      <c r="A12" s="219"/>
      <c r="B12" s="229"/>
      <c r="C12" s="227"/>
      <c r="D12" s="230"/>
    </row>
    <row r="13" spans="1:11" s="181" customFormat="1" x14ac:dyDescent="0.2">
      <c r="A13" s="219"/>
      <c r="B13" s="226"/>
      <c r="C13" s="227">
        <v>3</v>
      </c>
      <c r="D13" s="228" t="s">
        <v>1595</v>
      </c>
    </row>
    <row r="14" spans="1:11" s="181" customFormat="1" x14ac:dyDescent="0.2">
      <c r="A14" s="219"/>
      <c r="B14" s="226"/>
      <c r="C14" s="227">
        <v>4</v>
      </c>
      <c r="D14" s="228" t="s">
        <v>1596</v>
      </c>
    </row>
    <row r="15" spans="1:11" s="181" customFormat="1" x14ac:dyDescent="0.2">
      <c r="A15" s="219"/>
      <c r="B15" s="226"/>
      <c r="C15" s="227">
        <v>5</v>
      </c>
      <c r="D15" s="231" t="s">
        <v>969</v>
      </c>
    </row>
    <row r="16" spans="1:11" s="181" customFormat="1" x14ac:dyDescent="0.2">
      <c r="A16" s="219"/>
      <c r="B16" s="226"/>
      <c r="C16" s="227">
        <v>6</v>
      </c>
      <c r="D16" s="231" t="s">
        <v>1445</v>
      </c>
    </row>
    <row r="17" spans="1:4" s="181" customFormat="1" ht="6" hidden="1" customHeight="1" x14ac:dyDescent="0.2">
      <c r="A17" s="219"/>
      <c r="B17" s="229"/>
      <c r="C17" s="227"/>
      <c r="D17" s="232"/>
    </row>
    <row r="18" spans="1:4" s="181" customFormat="1" ht="12" customHeight="1" x14ac:dyDescent="0.2">
      <c r="A18" s="219"/>
      <c r="B18" s="226"/>
      <c r="C18" s="227">
        <v>7</v>
      </c>
      <c r="D18" s="231" t="s">
        <v>1444</v>
      </c>
    </row>
    <row r="19" spans="1:4" s="181" customFormat="1" hidden="1" x14ac:dyDescent="0.2">
      <c r="A19" s="219"/>
      <c r="B19" s="229"/>
      <c r="C19" s="227"/>
      <c r="D19" s="232"/>
    </row>
    <row r="20" spans="1:4" s="181" customFormat="1" x14ac:dyDescent="0.2">
      <c r="A20" s="219"/>
      <c r="B20" s="226"/>
      <c r="C20" s="227">
        <v>8</v>
      </c>
      <c r="D20" s="231" t="s">
        <v>1597</v>
      </c>
    </row>
    <row r="21" spans="1:4" s="181" customFormat="1" x14ac:dyDescent="0.2">
      <c r="A21" s="219"/>
      <c r="B21" s="229"/>
      <c r="C21" s="227"/>
      <c r="D21" s="233" t="s">
        <v>1524</v>
      </c>
    </row>
    <row r="22" spans="1:4" s="181" customFormat="1" x14ac:dyDescent="0.2">
      <c r="A22" s="219"/>
      <c r="B22" s="226"/>
      <c r="C22" s="227">
        <v>9</v>
      </c>
      <c r="D22" s="231" t="s">
        <v>1598</v>
      </c>
    </row>
    <row r="23" spans="1:4" s="181" customFormat="1" x14ac:dyDescent="0.2">
      <c r="A23" s="219"/>
      <c r="B23" s="234"/>
      <c r="C23" s="227"/>
      <c r="D23" s="235" t="s">
        <v>1525</v>
      </c>
    </row>
    <row r="24" spans="1:4" s="181" customFormat="1" x14ac:dyDescent="0.2">
      <c r="A24" s="219"/>
      <c r="B24" s="226"/>
      <c r="C24" s="227">
        <v>10</v>
      </c>
      <c r="D24" s="231" t="s">
        <v>1599</v>
      </c>
    </row>
    <row r="25" spans="1:4" s="181" customFormat="1" x14ac:dyDescent="0.2">
      <c r="A25" s="219"/>
      <c r="B25" s="226"/>
      <c r="C25" s="227">
        <v>11</v>
      </c>
      <c r="D25" s="231" t="s">
        <v>1600</v>
      </c>
    </row>
    <row r="26" spans="1:4" s="181" customFormat="1" x14ac:dyDescent="0.2">
      <c r="A26" s="219"/>
      <c r="B26" s="234"/>
      <c r="C26" s="227"/>
      <c r="D26" s="235" t="s">
        <v>1526</v>
      </c>
    </row>
    <row r="27" spans="1:4" s="181" customFormat="1" x14ac:dyDescent="0.2">
      <c r="A27" s="219"/>
      <c r="B27" s="226"/>
      <c r="C27" s="227">
        <v>12</v>
      </c>
      <c r="D27" s="231" t="s">
        <v>1528</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1601</v>
      </c>
    </row>
    <row r="31" spans="1:4" s="181" customFormat="1" x14ac:dyDescent="0.2">
      <c r="A31" s="219"/>
      <c r="B31" s="226"/>
      <c r="C31" s="227">
        <v>14</v>
      </c>
      <c r="D31" s="231" t="s">
        <v>1906</v>
      </c>
    </row>
    <row r="32" spans="1:4" s="181" customFormat="1" x14ac:dyDescent="0.2">
      <c r="A32" s="219"/>
      <c r="B32" s="236"/>
      <c r="C32" s="227"/>
      <c r="D32" s="237" t="s">
        <v>1755</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21" t="s">
        <v>1602</v>
      </c>
      <c r="B35" s="2122"/>
      <c r="C35" s="2122"/>
      <c r="D35" s="2122"/>
      <c r="E35" s="2123"/>
      <c r="F35" s="2123"/>
      <c r="G35" s="2123"/>
      <c r="H35" s="2123"/>
      <c r="I35" s="212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1603</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1604</v>
      </c>
    </row>
    <row r="43" spans="1:9" s="181" customFormat="1" x14ac:dyDescent="0.2">
      <c r="A43" s="219"/>
      <c r="B43" s="229"/>
      <c r="C43" s="227"/>
      <c r="D43" s="240" t="s">
        <v>1605</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21" t="s">
        <v>313</v>
      </c>
      <c r="B47" s="2124"/>
      <c r="C47" s="2124"/>
      <c r="D47" s="2124"/>
      <c r="E47" s="2125"/>
      <c r="F47" s="2125"/>
      <c r="G47" s="2125"/>
      <c r="H47" s="2125"/>
      <c r="I47" s="212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2084</v>
      </c>
      <c r="C50" s="227">
        <v>20</v>
      </c>
      <c r="D50" s="243" t="s">
        <v>1608</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2084</v>
      </c>
      <c r="C53" s="179">
        <v>22</v>
      </c>
      <c r="D53" s="247" t="s">
        <v>1448</v>
      </c>
      <c r="E53" s="248"/>
      <c r="F53" s="249"/>
      <c r="G53" s="249" t="s">
        <v>1447</v>
      </c>
      <c r="H53" s="250">
        <v>34335</v>
      </c>
      <c r="I53" s="237" t="s">
        <v>1469</v>
      </c>
    </row>
    <row r="54" spans="1:10" s="181" customFormat="1" x14ac:dyDescent="0.2">
      <c r="A54" s="219"/>
      <c r="B54" s="220"/>
      <c r="C54" s="179">
        <v>23</v>
      </c>
      <c r="D54" s="243" t="s">
        <v>1362</v>
      </c>
      <c r="E54" s="248"/>
      <c r="F54" s="249"/>
    </row>
    <row r="55" spans="1:10" s="181" customFormat="1" x14ac:dyDescent="0.2">
      <c r="A55" s="214"/>
      <c r="B55" s="251"/>
      <c r="C55" s="251"/>
      <c r="D55" s="231" t="s">
        <v>1754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8" t="s">
        <v>2223</v>
      </c>
      <c r="C57" s="2129"/>
      <c r="D57" s="2129"/>
      <c r="E57" s="2129"/>
      <c r="F57" s="2129"/>
      <c r="G57" s="2129"/>
      <c r="H57" s="2129"/>
      <c r="I57" s="2129"/>
      <c r="J57" s="2130"/>
    </row>
    <row r="58" spans="1:10" s="181" customFormat="1" x14ac:dyDescent="0.2">
      <c r="A58" s="253"/>
      <c r="B58" s="2131"/>
      <c r="C58" s="2132"/>
      <c r="D58" s="2132"/>
      <c r="E58" s="2132"/>
      <c r="F58" s="2132"/>
      <c r="G58" s="2132"/>
      <c r="H58" s="2132"/>
      <c r="I58" s="2132"/>
      <c r="J58" s="2133"/>
    </row>
    <row r="59" spans="1:10" s="181" customFormat="1" x14ac:dyDescent="0.2">
      <c r="A59" s="253"/>
      <c r="B59" s="2131"/>
      <c r="C59" s="2132"/>
      <c r="D59" s="2132"/>
      <c r="E59" s="2132"/>
      <c r="F59" s="2132"/>
      <c r="G59" s="2132"/>
      <c r="H59" s="2132"/>
      <c r="I59" s="2132"/>
      <c r="J59" s="2133"/>
    </row>
    <row r="60" spans="1:10" s="181" customFormat="1" x14ac:dyDescent="0.2">
      <c r="A60" s="253"/>
      <c r="B60" s="2131"/>
      <c r="C60" s="2132"/>
      <c r="D60" s="2132"/>
      <c r="E60" s="2132"/>
      <c r="F60" s="2132"/>
      <c r="G60" s="2132"/>
      <c r="H60" s="2132"/>
      <c r="I60" s="2132"/>
      <c r="J60" s="2133"/>
    </row>
    <row r="61" spans="1:10" s="181" customFormat="1" x14ac:dyDescent="0.2">
      <c r="A61" s="253"/>
      <c r="B61" s="2131"/>
      <c r="C61" s="2132"/>
      <c r="D61" s="2132"/>
      <c r="E61" s="2132"/>
      <c r="F61" s="2132"/>
      <c r="G61" s="2132"/>
      <c r="H61" s="2132"/>
      <c r="I61" s="2132"/>
      <c r="J61" s="2133"/>
    </row>
    <row r="62" spans="1:10" s="181" customFormat="1" x14ac:dyDescent="0.2">
      <c r="A62" s="253"/>
      <c r="B62" s="2131"/>
      <c r="C62" s="2132"/>
      <c r="D62" s="2132"/>
      <c r="E62" s="2132"/>
      <c r="F62" s="2132"/>
      <c r="G62" s="2132"/>
      <c r="H62" s="2132"/>
      <c r="I62" s="2132"/>
      <c r="J62" s="2133"/>
    </row>
    <row r="63" spans="1:10" s="181" customFormat="1" x14ac:dyDescent="0.2">
      <c r="A63" s="253"/>
      <c r="B63" s="2131"/>
      <c r="C63" s="2132"/>
      <c r="D63" s="2132"/>
      <c r="E63" s="2132"/>
      <c r="F63" s="2132"/>
      <c r="G63" s="2132"/>
      <c r="H63" s="2132"/>
      <c r="I63" s="2132"/>
      <c r="J63" s="2133"/>
    </row>
    <row r="64" spans="1:10" s="181" customFormat="1" x14ac:dyDescent="0.2">
      <c r="A64" s="253"/>
      <c r="B64" s="2131"/>
      <c r="C64" s="2132"/>
      <c r="D64" s="2132"/>
      <c r="E64" s="2132"/>
      <c r="F64" s="2132"/>
      <c r="G64" s="2132"/>
      <c r="H64" s="2132"/>
      <c r="I64" s="2132"/>
      <c r="J64" s="2133"/>
    </row>
    <row r="65" spans="1:10" s="181" customFormat="1" x14ac:dyDescent="0.2">
      <c r="A65" s="253"/>
      <c r="B65" s="2131"/>
      <c r="C65" s="2132"/>
      <c r="D65" s="2132"/>
      <c r="E65" s="2132"/>
      <c r="F65" s="2132"/>
      <c r="G65" s="2132"/>
      <c r="H65" s="2132"/>
      <c r="I65" s="2132"/>
      <c r="J65" s="2133"/>
    </row>
    <row r="66" spans="1:10" s="181" customFormat="1" x14ac:dyDescent="0.2">
      <c r="A66" s="253"/>
      <c r="B66" s="2131"/>
      <c r="C66" s="2132"/>
      <c r="D66" s="2132"/>
      <c r="E66" s="2132"/>
      <c r="F66" s="2132"/>
      <c r="G66" s="2132"/>
      <c r="H66" s="2132"/>
      <c r="I66" s="2132"/>
      <c r="J66" s="2133"/>
    </row>
    <row r="67" spans="1:10" s="181" customFormat="1" ht="9" customHeight="1" x14ac:dyDescent="0.2">
      <c r="A67" s="254"/>
      <c r="B67" s="2134"/>
      <c r="C67" s="2135"/>
      <c r="D67" s="2135"/>
      <c r="E67" s="2135"/>
      <c r="F67" s="2135"/>
      <c r="G67" s="2135"/>
      <c r="H67" s="2135"/>
      <c r="I67" s="2135"/>
      <c r="J67" s="213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21" t="s">
        <v>1323</v>
      </c>
      <c r="B70" s="2124"/>
      <c r="C70" s="2124"/>
      <c r="D70" s="2124"/>
      <c r="E70" s="2125"/>
      <c r="F70" s="2125"/>
      <c r="G70" s="2125"/>
      <c r="H70" s="2125"/>
      <c r="I70" s="212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1890</v>
      </c>
      <c r="B73" s="255"/>
      <c r="C73" s="256"/>
      <c r="D73" s="256"/>
      <c r="E73" s="256"/>
      <c r="F73" s="256"/>
      <c r="G73" s="256"/>
      <c r="H73" s="256"/>
    </row>
    <row r="74" spans="1:10" s="181" customFormat="1" x14ac:dyDescent="0.2">
      <c r="A74" s="259" t="s">
        <v>1411</v>
      </c>
      <c r="B74" s="255"/>
      <c r="C74" s="256"/>
      <c r="D74" s="256"/>
      <c r="E74" s="256"/>
      <c r="F74" s="256"/>
      <c r="G74" s="256"/>
      <c r="H74" s="256"/>
    </row>
    <row r="75" spans="1:10" s="181" customFormat="1" x14ac:dyDescent="0.2">
      <c r="A75" s="259" t="s">
        <v>1907</v>
      </c>
      <c r="B75" s="255"/>
      <c r="C75" s="256"/>
      <c r="D75" s="256"/>
      <c r="E75" s="256"/>
      <c r="F75" s="256"/>
      <c r="G75" s="256"/>
      <c r="H75" s="256"/>
    </row>
    <row r="76" spans="1:10" s="181" customFormat="1" ht="18.75" customHeight="1" x14ac:dyDescent="0.2">
      <c r="A76" s="239" t="s">
        <v>1412</v>
      </c>
      <c r="B76" s="255"/>
      <c r="C76" s="256"/>
      <c r="D76" s="256"/>
      <c r="E76" s="256"/>
      <c r="F76" s="256"/>
      <c r="G76" s="256"/>
      <c r="H76" s="256"/>
    </row>
    <row r="77" spans="1:10" s="181" customFormat="1" x14ac:dyDescent="0.2">
      <c r="C77" s="179">
        <v>24</v>
      </c>
      <c r="D77" s="247" t="s">
        <v>1616</v>
      </c>
      <c r="G77" s="297" t="s">
        <v>1867</v>
      </c>
      <c r="I77" s="1811"/>
      <c r="J77" s="261"/>
    </row>
    <row r="78" spans="1:10" s="181" customFormat="1" ht="6" customHeight="1" x14ac:dyDescent="0.2">
      <c r="A78" s="219"/>
      <c r="B78" s="262"/>
      <c r="C78" s="179"/>
      <c r="D78" s="247"/>
      <c r="E78" s="248"/>
      <c r="F78" s="249"/>
    </row>
    <row r="79" spans="1:10" s="181" customFormat="1" x14ac:dyDescent="0.2">
      <c r="A79" s="219"/>
      <c r="B79" s="262"/>
      <c r="C79" s="179">
        <v>25</v>
      </c>
      <c r="D79" s="247" t="s">
        <v>1614</v>
      </c>
      <c r="E79" s="248"/>
      <c r="F79" s="249"/>
    </row>
    <row r="80" spans="1:10" s="181" customFormat="1" x14ac:dyDescent="0.2">
      <c r="A80" s="219"/>
      <c r="B80" s="262"/>
      <c r="C80" s="179"/>
      <c r="D80" s="247" t="s">
        <v>1615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6" t="s">
        <v>1320</v>
      </c>
      <c r="B83" s="2126"/>
      <c r="C83" s="2126"/>
      <c r="D83" s="2127"/>
      <c r="E83" s="263" t="s">
        <v>1357</v>
      </c>
      <c r="F83" s="263" t="s">
        <v>1358</v>
      </c>
      <c r="G83" s="263" t="s">
        <v>1359</v>
      </c>
      <c r="H83" s="263" t="s">
        <v>1360</v>
      </c>
      <c r="I83" s="263" t="s">
        <v>1361</v>
      </c>
      <c r="J83" s="264" t="s">
        <v>156</v>
      </c>
    </row>
    <row r="84" spans="1:10" s="181" customFormat="1" ht="13.5" customHeight="1" thickTop="1" x14ac:dyDescent="0.2">
      <c r="A84" s="265" t="s">
        <v>1430</v>
      </c>
      <c r="B84" s="266"/>
      <c r="C84" s="267"/>
      <c r="D84" s="268"/>
      <c r="E84" s="269"/>
      <c r="F84" s="269"/>
      <c r="G84" s="269"/>
      <c r="H84" s="269"/>
      <c r="I84" s="269"/>
      <c r="J84" s="270"/>
    </row>
    <row r="85" spans="1:10" s="181" customFormat="1" ht="13.5" customHeight="1" x14ac:dyDescent="0.2">
      <c r="A85" s="271" t="s">
        <v>1888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1888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1609</v>
      </c>
      <c r="C92" s="179"/>
      <c r="E92" s="260"/>
      <c r="F92" s="296"/>
      <c r="H92" s="297"/>
    </row>
    <row r="93" spans="1:10" s="181" customFormat="1" ht="16.5" customHeight="1" x14ac:dyDescent="0.2">
      <c r="A93" s="219"/>
      <c r="B93" s="298" t="s">
        <v>1889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1610</v>
      </c>
      <c r="C95" s="309"/>
      <c r="D95" s="310"/>
      <c r="E95" s="304"/>
      <c r="F95" s="304"/>
      <c r="G95" s="304"/>
      <c r="H95" s="304"/>
      <c r="I95" s="304"/>
    </row>
    <row r="96" spans="1:10" s="181" customFormat="1" x14ac:dyDescent="0.2">
      <c r="A96" s="307" t="s">
        <v>1169</v>
      </c>
      <c r="B96" s="345" t="s">
        <v>1612</v>
      </c>
      <c r="C96" s="309"/>
      <c r="D96" s="311"/>
      <c r="E96" s="311"/>
      <c r="F96" s="311"/>
      <c r="G96" s="311"/>
      <c r="H96" s="311"/>
      <c r="I96" s="304"/>
    </row>
    <row r="97" spans="1:9" s="181" customFormat="1" x14ac:dyDescent="0.2">
      <c r="A97" s="307"/>
      <c r="B97" s="308" t="s">
        <v>1611</v>
      </c>
      <c r="C97" s="309"/>
      <c r="D97" s="311"/>
      <c r="E97" s="311"/>
      <c r="F97" s="311"/>
      <c r="G97" s="311"/>
      <c r="H97" s="311"/>
      <c r="I97" s="304"/>
    </row>
    <row r="98" spans="1:9" s="181" customFormat="1" x14ac:dyDescent="0.2">
      <c r="A98" s="308"/>
      <c r="B98" s="312" t="s">
        <v>1613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08"/>
      <c r="C102" s="2109"/>
      <c r="D102" s="2109"/>
      <c r="E102" s="2109"/>
      <c r="F102" s="2109"/>
      <c r="G102" s="2109"/>
      <c r="H102" s="2109"/>
      <c r="I102" s="2110"/>
    </row>
    <row r="103" spans="1:9" s="181" customFormat="1" ht="11.25" customHeight="1" x14ac:dyDescent="0.2">
      <c r="A103" s="316"/>
      <c r="B103" s="2111"/>
      <c r="C103" s="2112"/>
      <c r="D103" s="2112"/>
      <c r="E103" s="2112"/>
      <c r="F103" s="2112"/>
      <c r="G103" s="2112"/>
      <c r="H103" s="2112"/>
      <c r="I103" s="2113"/>
    </row>
    <row r="104" spans="1:9" s="181" customFormat="1" ht="11.25" customHeight="1" x14ac:dyDescent="0.2">
      <c r="A104" s="316"/>
      <c r="B104" s="2111"/>
      <c r="C104" s="2112"/>
      <c r="D104" s="2112"/>
      <c r="E104" s="2112"/>
      <c r="F104" s="2112"/>
      <c r="G104" s="2112"/>
      <c r="H104" s="2112"/>
      <c r="I104" s="2113"/>
    </row>
    <row r="105" spans="1:9" s="181" customFormat="1" x14ac:dyDescent="0.2">
      <c r="A105" s="316"/>
      <c r="B105" s="2111"/>
      <c r="C105" s="2112"/>
      <c r="D105" s="2112"/>
      <c r="E105" s="2112"/>
      <c r="F105" s="2112"/>
      <c r="G105" s="2112"/>
      <c r="H105" s="2112"/>
      <c r="I105" s="2113"/>
    </row>
    <row r="106" spans="1:9" s="181" customFormat="1" ht="11.25" customHeight="1" x14ac:dyDescent="0.2">
      <c r="A106" s="316"/>
      <c r="B106" s="2111"/>
      <c r="C106" s="2112"/>
      <c r="D106" s="2112"/>
      <c r="E106" s="2112"/>
      <c r="F106" s="2112"/>
      <c r="G106" s="2112"/>
      <c r="H106" s="2112"/>
      <c r="I106" s="2113"/>
    </row>
    <row r="107" spans="1:9" s="181" customFormat="1" ht="11.25" customHeight="1" x14ac:dyDescent="0.2">
      <c r="A107" s="316"/>
      <c r="B107" s="2111"/>
      <c r="C107" s="2112"/>
      <c r="D107" s="2112"/>
      <c r="E107" s="2112"/>
      <c r="F107" s="2112"/>
      <c r="G107" s="2112"/>
      <c r="H107" s="2112"/>
      <c r="I107" s="2113"/>
    </row>
    <row r="108" spans="1:9" s="181" customFormat="1" ht="11.25" customHeight="1" x14ac:dyDescent="0.2">
      <c r="A108" s="316"/>
      <c r="B108" s="2111"/>
      <c r="C108" s="2112"/>
      <c r="D108" s="2112"/>
      <c r="E108" s="2112"/>
      <c r="F108" s="2112"/>
      <c r="G108" s="2112"/>
      <c r="H108" s="2112"/>
      <c r="I108" s="2113"/>
    </row>
    <row r="109" spans="1:9" s="181" customFormat="1" ht="11.25" customHeight="1" x14ac:dyDescent="0.2">
      <c r="A109" s="316"/>
      <c r="B109" s="2111"/>
      <c r="C109" s="2112"/>
      <c r="D109" s="2112"/>
      <c r="E109" s="2112"/>
      <c r="F109" s="2112"/>
      <c r="G109" s="2112"/>
      <c r="H109" s="2112"/>
      <c r="I109" s="2113"/>
    </row>
    <row r="110" spans="1:9" s="181" customFormat="1" ht="11.25" customHeight="1" x14ac:dyDescent="0.2">
      <c r="A110" s="316"/>
      <c r="B110" s="2111"/>
      <c r="C110" s="2112"/>
      <c r="D110" s="2112"/>
      <c r="E110" s="2112"/>
      <c r="F110" s="2112"/>
      <c r="G110" s="2112"/>
      <c r="H110" s="2112"/>
      <c r="I110" s="2113"/>
    </row>
    <row r="111" spans="1:9" s="181" customFormat="1" ht="11.25" customHeight="1" x14ac:dyDescent="0.2">
      <c r="A111" s="316"/>
      <c r="B111" s="2111"/>
      <c r="C111" s="2112"/>
      <c r="D111" s="2112"/>
      <c r="E111" s="2112"/>
      <c r="F111" s="2112"/>
      <c r="G111" s="2112"/>
      <c r="H111" s="2112"/>
      <c r="I111" s="2113"/>
    </row>
    <row r="112" spans="1:9" s="181" customFormat="1" ht="11.25" customHeight="1" x14ac:dyDescent="0.2">
      <c r="A112" s="316"/>
      <c r="B112" s="2114"/>
      <c r="C112" s="2115"/>
      <c r="D112" s="2115"/>
      <c r="E112" s="2115"/>
      <c r="F112" s="2115"/>
      <c r="G112" s="2115"/>
      <c r="H112" s="2115"/>
      <c r="I112" s="211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7" t="s">
        <v>2230</v>
      </c>
      <c r="D114" s="211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8" t="s">
        <v>1330</v>
      </c>
      <c r="D117" s="2119"/>
      <c r="E117" s="2120"/>
      <c r="F117" s="2120"/>
      <c r="G117" s="2120"/>
      <c r="H117" s="2120"/>
      <c r="I117" s="304"/>
    </row>
    <row r="118" spans="1:9" s="181" customFormat="1" ht="24" customHeight="1" x14ac:dyDescent="0.2">
      <c r="A118" s="316"/>
      <c r="B118" s="316"/>
      <c r="C118" s="316"/>
      <c r="D118" s="323"/>
      <c r="E118" s="322"/>
      <c r="F118" s="324"/>
      <c r="G118" s="1813"/>
      <c r="H118" s="322"/>
      <c r="I118" s="304"/>
    </row>
    <row r="119" spans="1:9" s="181" customFormat="1" ht="11.25" customHeight="1" x14ac:dyDescent="0.2">
      <c r="A119" s="325"/>
      <c r="B119" s="325"/>
      <c r="C119" s="326"/>
      <c r="D119" s="327" t="s">
        <v>361</v>
      </c>
      <c r="E119" s="310"/>
      <c r="F119" s="1812" t="s">
        <v>1868</v>
      </c>
      <c r="G119" s="328"/>
      <c r="H119" s="328"/>
      <c r="I119" s="304"/>
    </row>
    <row r="120" spans="1:9" x14ac:dyDescent="0.2">
      <c r="A120" s="329"/>
      <c r="B120" s="180"/>
      <c r="C120" s="330"/>
      <c r="D120" s="256"/>
      <c r="E120" s="256"/>
      <c r="F120" s="256"/>
      <c r="G120" s="256"/>
      <c r="H120" s="256"/>
      <c r="I120" s="304"/>
    </row>
    <row r="121" spans="1:9" x14ac:dyDescent="0.2">
      <c r="A121" s="329"/>
      <c r="B121" s="1461" t="s">
        <v>1570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20"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72A23-C948-493B-AB2F-B06AB1FE366C}">
  <sheetPr>
    <tabColor rgb="FF92D050"/>
    <pageSetUpPr fitToPage="1"/>
  </sheetPr>
  <dimension ref="B1:N152"/>
  <sheetViews>
    <sheetView showGridLines="0" zoomScaleNormal="100" workbookViewId="0">
      <selection activeCell="I13" sqref="I13"/>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21" t="str">
        <f>'Single Audit Cover'!A7</f>
        <v>Cicero SD 99</v>
      </c>
      <c r="C1" s="2464"/>
      <c r="D1" s="2464"/>
      <c r="E1" s="2464"/>
      <c r="F1" s="2464"/>
      <c r="G1" s="2464"/>
      <c r="H1" s="2464"/>
      <c r="I1" s="2464"/>
      <c r="J1" s="2464"/>
      <c r="K1" s="2464"/>
      <c r="L1" s="2464"/>
      <c r="M1" s="2464"/>
    </row>
    <row r="2" spans="2:14" ht="15" x14ac:dyDescent="0.2">
      <c r="B2" s="2465">
        <f>'Single Audit Cover'!E7</f>
        <v>6016099002</v>
      </c>
      <c r="C2" s="2465"/>
      <c r="D2" s="2465"/>
      <c r="E2" s="2465"/>
      <c r="F2" s="2465"/>
      <c r="G2" s="2465"/>
      <c r="H2" s="2465"/>
      <c r="I2" s="2465"/>
      <c r="J2" s="2465"/>
      <c r="K2" s="2465"/>
      <c r="L2" s="2465"/>
      <c r="M2" s="2465"/>
      <c r="N2" s="1272"/>
    </row>
    <row r="3" spans="2:14" ht="15" x14ac:dyDescent="0.2">
      <c r="B3" s="2466" t="s">
        <v>1219</v>
      </c>
      <c r="C3" s="2466"/>
      <c r="D3" s="2466"/>
      <c r="E3" s="2466"/>
      <c r="F3" s="2466"/>
      <c r="G3" s="2466"/>
      <c r="H3" s="2466"/>
      <c r="I3" s="2466"/>
      <c r="J3" s="2466"/>
      <c r="K3" s="2466"/>
      <c r="L3" s="2466"/>
      <c r="M3" s="2466"/>
      <c r="N3" s="1272"/>
    </row>
    <row r="4" spans="2:14" ht="15" x14ac:dyDescent="0.2">
      <c r="B4" s="2467" t="str">
        <f>'Single Audit Cover'!A4</f>
        <v>Year Ending June 30, 2019</v>
      </c>
      <c r="C4" s="2467"/>
      <c r="D4" s="2467"/>
      <c r="E4" s="2467"/>
      <c r="F4" s="2467"/>
      <c r="G4" s="2467"/>
      <c r="H4" s="2467"/>
      <c r="I4" s="2467"/>
      <c r="J4" s="2467"/>
      <c r="K4" s="2467"/>
      <c r="L4" s="2467"/>
      <c r="M4" s="2467"/>
      <c r="N4" s="1272"/>
    </row>
    <row r="6" spans="2:14" x14ac:dyDescent="0.2">
      <c r="B6" s="1273"/>
      <c r="C6" s="1274"/>
      <c r="D6" s="1275" t="s">
        <v>1265</v>
      </c>
      <c r="E6" s="1276" t="s">
        <v>527</v>
      </c>
      <c r="F6" s="1277"/>
      <c r="G6" s="1278" t="s">
        <v>1696</v>
      </c>
      <c r="H6" s="1276"/>
      <c r="I6" s="1276"/>
      <c r="J6" s="1276"/>
      <c r="K6" s="1279"/>
      <c r="L6" s="1280"/>
      <c r="M6" s="1281"/>
    </row>
    <row r="7" spans="2:14" x14ac:dyDescent="0.2">
      <c r="B7" s="1282" t="s">
        <v>1550</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1801</v>
      </c>
      <c r="I8" s="1289" t="s">
        <v>1262</v>
      </c>
      <c r="J8" s="1288" t="s">
        <v>1949</v>
      </c>
      <c r="K8" s="1289" t="s">
        <v>1261</v>
      </c>
      <c r="L8" s="1290" t="s">
        <v>1257</v>
      </c>
      <c r="M8" s="1291" t="s">
        <v>30</v>
      </c>
    </row>
    <row r="9" spans="2:14" ht="14.25" x14ac:dyDescent="0.2">
      <c r="B9" s="1295" t="s">
        <v>1259</v>
      </c>
      <c r="C9" s="1283" t="s">
        <v>1697</v>
      </c>
      <c r="D9" s="1284" t="s">
        <v>1698</v>
      </c>
      <c r="E9" s="1292" t="s">
        <v>1801</v>
      </c>
      <c r="F9" s="1293" t="s">
        <v>1949</v>
      </c>
      <c r="G9" s="1294" t="s">
        <v>1801</v>
      </c>
      <c r="H9" s="1287" t="s">
        <v>1551</v>
      </c>
      <c r="I9" s="1289" t="s">
        <v>1949</v>
      </c>
      <c r="J9" s="1288" t="s">
        <v>1551</v>
      </c>
      <c r="K9" s="1289" t="s">
        <v>1258</v>
      </c>
      <c r="L9" s="1296" t="s">
        <v>1552</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2056</v>
      </c>
      <c r="C11" s="1308"/>
      <c r="D11" s="1309"/>
      <c r="E11" s="1310">
        <f>' SEFA (3)'!E25+' SEFA (3)'!E26</f>
        <v>269230</v>
      </c>
      <c r="F11" s="1310">
        <f>' SEFA (3)'!F25+' SEFA (3)'!F26</f>
        <v>699985.14</v>
      </c>
      <c r="G11" s="1310">
        <f>' SEFA (3)'!G25+' SEFA (3)'!G26</f>
        <v>407882</v>
      </c>
      <c r="H11" s="1310">
        <f>' SEFA (3)'!H25+' SEFA (3)'!H26</f>
        <v>0</v>
      </c>
      <c r="I11" s="1310">
        <f>' SEFA (3)'!I25+' SEFA (3)'!I26</f>
        <v>685748</v>
      </c>
      <c r="J11" s="1310">
        <f>' SEFA (3)'!J25+' SEFA (3)'!J26</f>
        <v>0</v>
      </c>
      <c r="K11" s="1310">
        <f>' SEFA (3)'!K25+' SEFA (3)'!K26</f>
        <v>0</v>
      </c>
      <c r="L11" s="1310">
        <f>+G11+I11+K11</f>
        <v>1093630</v>
      </c>
      <c r="M11" s="1310"/>
    </row>
    <row r="12" spans="2:14" ht="20.100000000000001" customHeight="1" x14ac:dyDescent="0.2">
      <c r="B12" s="1307"/>
      <c r="C12" s="1311"/>
      <c r="D12" s="1312"/>
      <c r="E12" s="1313"/>
      <c r="F12" s="1313"/>
      <c r="G12" s="1313"/>
      <c r="H12" s="1313"/>
      <c r="I12" s="1313"/>
      <c r="J12" s="1313"/>
      <c r="K12" s="1313"/>
      <c r="L12" s="1310">
        <f t="shared" ref="L12:L27" si="0">+G12+I12+K12</f>
        <v>0</v>
      </c>
      <c r="M12" s="1313"/>
    </row>
    <row r="13" spans="2:14" ht="20.100000000000001" customHeight="1" x14ac:dyDescent="0.2">
      <c r="B13" s="1307" t="s">
        <v>2057</v>
      </c>
      <c r="C13" s="1311"/>
      <c r="D13" s="1312"/>
      <c r="E13" s="1313">
        <f>E11+' SEFA (3)'!E20+' SEFA'!E24</f>
        <v>11837388</v>
      </c>
      <c r="F13" s="1313">
        <f>F11+' SEFA (3)'!F20+' SEFA'!F24</f>
        <v>17220484.390000001</v>
      </c>
      <c r="G13" s="1313">
        <f>G11+' SEFA (3)'!G20+' SEFA'!G24</f>
        <v>14403069</v>
      </c>
      <c r="H13" s="1313">
        <f>H11+' SEFA (3)'!H20+' SEFA'!H24</f>
        <v>0</v>
      </c>
      <c r="I13" s="1313">
        <f>I11+' SEFA (3)'!I20+' SEFA'!I24</f>
        <v>18086622.780000001</v>
      </c>
      <c r="J13" s="1313">
        <f>J11+' SEFA (3)'!J20+' SEFA'!J24</f>
        <v>0</v>
      </c>
      <c r="K13" s="1313">
        <f>K11+' SEFA (3)'!K20+' SEFA'!K24</f>
        <v>2377010</v>
      </c>
      <c r="L13" s="1310">
        <f t="shared" si="0"/>
        <v>34866701.780000001</v>
      </c>
      <c r="M13" s="1313"/>
    </row>
    <row r="14" spans="2:14" ht="20.100000000000001" customHeight="1" x14ac:dyDescent="0.2">
      <c r="B14" s="1307"/>
      <c r="C14" s="1311"/>
      <c r="D14" s="1312"/>
      <c r="E14" s="1313"/>
      <c r="F14" s="1313"/>
      <c r="G14" s="1313"/>
      <c r="H14" s="1313"/>
      <c r="I14" s="1313"/>
      <c r="J14" s="1313"/>
      <c r="K14" s="1313"/>
      <c r="L14" s="1310">
        <f t="shared" si="0"/>
        <v>0</v>
      </c>
      <c r="M14" s="1313"/>
    </row>
    <row r="15" spans="2:14" ht="20.100000000000001" customHeight="1" x14ac:dyDescent="0.2">
      <c r="B15" s="1307" t="s">
        <v>2058</v>
      </c>
      <c r="C15" s="1311"/>
      <c r="D15" s="1312"/>
      <c r="E15" s="1313"/>
      <c r="F15" s="1313"/>
      <c r="G15" s="1313"/>
      <c r="H15" s="1313"/>
      <c r="I15" s="1313"/>
      <c r="J15" s="1313"/>
      <c r="K15" s="1313"/>
      <c r="L15" s="1310">
        <f t="shared" si="0"/>
        <v>0</v>
      </c>
      <c r="M15" s="1313"/>
    </row>
    <row r="16" spans="2:14" ht="20.100000000000001" customHeight="1" x14ac:dyDescent="0.2">
      <c r="B16" s="1307" t="s">
        <v>2059</v>
      </c>
      <c r="C16" s="1311"/>
      <c r="D16" s="1312"/>
      <c r="E16" s="1313"/>
      <c r="F16" s="1313"/>
      <c r="G16" s="1313"/>
      <c r="H16" s="1313"/>
      <c r="I16" s="1313"/>
      <c r="J16" s="1313"/>
      <c r="K16" s="1313"/>
      <c r="L16" s="1310">
        <f t="shared" si="0"/>
        <v>0</v>
      </c>
      <c r="M16" s="1313"/>
    </row>
    <row r="17" spans="2:14" ht="20.100000000000001" customHeight="1" x14ac:dyDescent="0.2">
      <c r="B17" s="1307"/>
      <c r="C17" s="1311"/>
      <c r="D17" s="1312"/>
      <c r="E17" s="1313"/>
      <c r="F17" s="1313"/>
      <c r="G17" s="1313"/>
      <c r="H17" s="1313"/>
      <c r="I17" s="1313"/>
      <c r="J17" s="1313"/>
      <c r="K17" s="1313"/>
      <c r="L17" s="1310">
        <f t="shared" si="0"/>
        <v>0</v>
      </c>
      <c r="M17" s="1313"/>
    </row>
    <row r="18" spans="2:14" ht="20.100000000000001" customHeight="1" x14ac:dyDescent="0.2">
      <c r="B18" s="1307"/>
      <c r="C18" s="1311"/>
      <c r="D18" s="1312"/>
      <c r="E18" s="1313"/>
      <c r="F18" s="1313"/>
      <c r="G18" s="1313"/>
      <c r="H18" s="1313"/>
      <c r="I18" s="1313"/>
      <c r="J18" s="1313"/>
      <c r="K18" s="1313"/>
      <c r="L18" s="1310">
        <f t="shared" si="0"/>
        <v>0</v>
      </c>
      <c r="M18" s="1313"/>
    </row>
    <row r="19" spans="2:14" ht="20.100000000000001" customHeight="1" x14ac:dyDescent="0.2">
      <c r="B19" s="1307"/>
      <c r="C19" s="1311"/>
      <c r="D19" s="1312"/>
      <c r="E19" s="1313"/>
      <c r="F19" s="1313"/>
      <c r="G19" s="1313"/>
      <c r="H19" s="1313"/>
      <c r="I19" s="1313"/>
      <c r="J19" s="1313"/>
      <c r="K19" s="1313"/>
      <c r="L19" s="1310">
        <f t="shared" si="0"/>
        <v>0</v>
      </c>
      <c r="M19" s="1313"/>
    </row>
    <row r="20" spans="2:14" ht="20.100000000000001" customHeight="1" x14ac:dyDescent="0.2">
      <c r="B20" s="1307"/>
      <c r="C20" s="1311"/>
      <c r="D20" s="1312"/>
      <c r="E20" s="1313"/>
      <c r="F20" s="1313"/>
      <c r="G20" s="1313"/>
      <c r="H20" s="1313"/>
      <c r="I20" s="1313"/>
      <c r="J20" s="1313"/>
      <c r="K20" s="1313"/>
      <c r="L20" s="1310">
        <f t="shared" si="0"/>
        <v>0</v>
      </c>
      <c r="M20" s="1313"/>
    </row>
    <row r="21" spans="2:14" ht="20.100000000000001" customHeight="1" x14ac:dyDescent="0.2">
      <c r="B21" s="1307"/>
      <c r="C21" s="1311"/>
      <c r="D21" s="1312"/>
      <c r="E21" s="1313"/>
      <c r="F21" s="1313"/>
      <c r="G21" s="1313"/>
      <c r="H21" s="1313"/>
      <c r="I21" s="1313"/>
      <c r="J21" s="1313"/>
      <c r="K21" s="1313"/>
      <c r="L21" s="1310">
        <f t="shared" si="0"/>
        <v>0</v>
      </c>
      <c r="M21" s="1313"/>
    </row>
    <row r="22" spans="2:14" ht="20.100000000000001" customHeight="1" x14ac:dyDescent="0.2">
      <c r="B22" s="1307"/>
      <c r="C22" s="1311"/>
      <c r="D22" s="1312"/>
      <c r="E22" s="1313"/>
      <c r="F22" s="1313"/>
      <c r="G22" s="1313"/>
      <c r="H22" s="1313"/>
      <c r="I22" s="1313"/>
      <c r="J22" s="1313"/>
      <c r="K22" s="1313"/>
      <c r="L22" s="1310">
        <f t="shared" si="0"/>
        <v>0</v>
      </c>
      <c r="M22" s="1313"/>
    </row>
    <row r="23" spans="2:14" ht="20.100000000000001" customHeight="1" x14ac:dyDescent="0.2">
      <c r="B23" s="1307"/>
      <c r="C23" s="1311"/>
      <c r="D23" s="1312"/>
      <c r="E23" s="1313"/>
      <c r="F23" s="1313"/>
      <c r="G23" s="1313"/>
      <c r="H23" s="1313"/>
      <c r="I23" s="1313"/>
      <c r="J23" s="1313"/>
      <c r="K23" s="1313"/>
      <c r="L23" s="1310">
        <f t="shared" si="0"/>
        <v>0</v>
      </c>
      <c r="M23" s="1313"/>
    </row>
    <row r="24" spans="2:14" ht="20.100000000000001" customHeight="1" x14ac:dyDescent="0.2">
      <c r="B24" s="1307"/>
      <c r="C24" s="1311"/>
      <c r="D24" s="1312"/>
      <c r="E24" s="1313"/>
      <c r="F24" s="1313"/>
      <c r="G24" s="1313"/>
      <c r="H24" s="1313"/>
      <c r="I24" s="1313"/>
      <c r="J24" s="1313"/>
      <c r="K24" s="1313"/>
      <c r="L24" s="1310">
        <f t="shared" si="0"/>
        <v>0</v>
      </c>
      <c r="M24" s="1313"/>
    </row>
    <row r="25" spans="2:14" ht="20.100000000000001" customHeight="1" x14ac:dyDescent="0.2">
      <c r="B25" s="1307"/>
      <c r="C25" s="1311"/>
      <c r="D25" s="1312"/>
      <c r="E25" s="1313"/>
      <c r="F25" s="1313"/>
      <c r="G25" s="1313"/>
      <c r="H25" s="1313"/>
      <c r="I25" s="1313"/>
      <c r="J25" s="1313"/>
      <c r="K25" s="1313"/>
      <c r="L25" s="1310">
        <f t="shared" si="0"/>
        <v>0</v>
      </c>
      <c r="M25" s="1313"/>
    </row>
    <row r="26" spans="2:14" ht="20.100000000000001" customHeight="1" x14ac:dyDescent="0.2">
      <c r="B26" s="1307"/>
      <c r="C26" s="1311"/>
      <c r="D26" s="1312"/>
      <c r="E26" s="1313"/>
      <c r="F26" s="1313"/>
      <c r="G26" s="1313"/>
      <c r="H26" s="1313"/>
      <c r="I26" s="1313"/>
      <c r="J26" s="1313"/>
      <c r="K26" s="1313"/>
      <c r="L26" s="1310">
        <f t="shared" si="0"/>
        <v>0</v>
      </c>
      <c r="M26" s="1313"/>
    </row>
    <row r="27" spans="2:14" ht="20.100000000000001" customHeight="1" x14ac:dyDescent="0.2">
      <c r="B27" s="1307"/>
      <c r="C27" s="1311"/>
      <c r="D27" s="1312"/>
      <c r="E27" s="1313"/>
      <c r="F27" s="1313"/>
      <c r="G27" s="1313"/>
      <c r="H27" s="1313"/>
      <c r="I27" s="1313"/>
      <c r="J27" s="1313"/>
      <c r="K27" s="1313"/>
      <c r="L27" s="1310">
        <f t="shared" si="0"/>
        <v>0</v>
      </c>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1699</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1802</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1700</v>
      </c>
      <c r="C37" s="1335"/>
      <c r="D37" s="1335"/>
      <c r="E37" s="1335"/>
      <c r="F37" s="1335"/>
      <c r="G37" s="1335"/>
      <c r="H37" s="1335"/>
      <c r="I37" s="1336"/>
      <c r="J37" s="1336"/>
      <c r="K37" s="1336"/>
      <c r="L37" s="1336"/>
      <c r="M37" s="1336"/>
    </row>
    <row r="38" spans="2:13" ht="11.25" customHeight="1" x14ac:dyDescent="0.2">
      <c r="B38" s="1337" t="s">
        <v>1553</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1701</v>
      </c>
      <c r="C40" s="1336"/>
      <c r="D40" s="1336"/>
      <c r="E40" s="1336"/>
      <c r="F40" s="1336"/>
      <c r="G40" s="1336"/>
      <c r="H40" s="1336"/>
      <c r="I40" s="1336"/>
      <c r="J40" s="1336"/>
      <c r="K40" s="1336"/>
      <c r="L40" s="1336"/>
      <c r="M40" s="1336"/>
    </row>
    <row r="41" spans="2:13" ht="11.25" customHeight="1" x14ac:dyDescent="0.2">
      <c r="B41" s="1270" t="s">
        <v>1554</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1702</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1703</v>
      </c>
      <c r="C45" s="1338"/>
      <c r="D45" s="1339"/>
      <c r="E45" s="1270"/>
      <c r="F45" s="1270"/>
      <c r="G45" s="1270"/>
      <c r="H45" s="1270"/>
      <c r="I45" s="1270"/>
      <c r="J45" s="1270"/>
      <c r="K45" s="1340"/>
      <c r="L45" s="1340"/>
      <c r="M45" s="1270"/>
    </row>
    <row r="46" spans="2:13" ht="11.25" customHeight="1" x14ac:dyDescent="0.2">
      <c r="B46" s="1270" t="s">
        <v>1555</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activeCell="H19" sqref="H19"/>
    </sheetView>
  </sheetViews>
  <sheetFormatPr defaultColWidth="8" defaultRowHeight="12.75" x14ac:dyDescent="0.2"/>
  <cols>
    <col min="1" max="1" width="1.42578125" style="317" customWidth="1"/>
    <col min="2" max="2" width="53.28515625" style="317" customWidth="1"/>
    <col min="3" max="3" width="14" style="1228" customWidth="1"/>
    <col min="4" max="4" width="16.7109375" style="1228" customWidth="1"/>
    <col min="5" max="5" width="7.5703125" style="317" customWidth="1"/>
    <col min="6" max="6" width="2.7109375" style="317" customWidth="1"/>
    <col min="7" max="7" width="3.28515625" style="317" customWidth="1"/>
    <col min="8" max="16384" width="8" style="317"/>
  </cols>
  <sheetData>
    <row r="1" spans="1:7" ht="13.5" customHeight="1" x14ac:dyDescent="0.2">
      <c r="A1" s="2469" t="str">
        <f>'Single Audit Cover'!A7</f>
        <v>Cicero SD 99</v>
      </c>
      <c r="B1" s="2469"/>
      <c r="C1" s="2469"/>
      <c r="D1" s="2469"/>
      <c r="E1" s="2469"/>
      <c r="F1" s="2469"/>
    </row>
    <row r="2" spans="1:7" ht="13.5" customHeight="1" x14ac:dyDescent="0.2">
      <c r="A2" s="2465">
        <f>'Single Audit Cover'!E7</f>
        <v>6016099002</v>
      </c>
      <c r="B2" s="2465"/>
      <c r="C2" s="2465"/>
      <c r="D2" s="2465"/>
      <c r="E2" s="2465"/>
      <c r="F2" s="2465"/>
      <c r="G2" s="1245"/>
    </row>
    <row r="3" spans="1:7" ht="15.75" customHeight="1" x14ac:dyDescent="0.2">
      <c r="A3" s="2470" t="s">
        <v>1271</v>
      </c>
      <c r="B3" s="2470"/>
      <c r="C3" s="2470"/>
      <c r="D3" s="2470"/>
      <c r="E3" s="2470"/>
      <c r="F3" s="2470"/>
    </row>
    <row r="4" spans="1:7" ht="13.5" customHeight="1" x14ac:dyDescent="0.2">
      <c r="A4" s="2471" t="str">
        <f>'Single Audit Cover'!A4</f>
        <v>Year Ending June 30, 2019</v>
      </c>
      <c r="B4" s="2471"/>
      <c r="C4" s="2471"/>
      <c r="D4" s="2471"/>
      <c r="E4" s="2471"/>
      <c r="F4" s="2471"/>
    </row>
    <row r="5" spans="1:7" ht="8.25" customHeight="1" x14ac:dyDescent="0.2">
      <c r="C5" s="317"/>
      <c r="D5" s="317"/>
    </row>
    <row r="6" spans="1:7" ht="13.5" customHeight="1" x14ac:dyDescent="0.2">
      <c r="A6" s="1246" t="s">
        <v>1693</v>
      </c>
      <c r="C6" s="317"/>
      <c r="D6" s="317"/>
    </row>
    <row r="7" spans="1:7" ht="60.95" customHeight="1" x14ac:dyDescent="0.2">
      <c r="A7" s="2468" t="s">
        <v>2109</v>
      </c>
      <c r="B7" s="2468"/>
      <c r="C7" s="2468"/>
      <c r="D7" s="2468"/>
      <c r="E7" s="2468"/>
      <c r="F7" s="2468"/>
    </row>
    <row r="8" spans="1:7" ht="12" customHeight="1" x14ac:dyDescent="0.2">
      <c r="A8" s="1246"/>
      <c r="B8" s="1252"/>
      <c r="C8" s="1252"/>
      <c r="D8" s="1252"/>
    </row>
    <row r="9" spans="1:7" ht="15" customHeight="1" x14ac:dyDescent="0.2">
      <c r="A9" s="1247" t="s">
        <v>1694</v>
      </c>
      <c r="B9" s="1250"/>
      <c r="C9" s="1250"/>
      <c r="D9" s="1250"/>
      <c r="E9" s="1248"/>
      <c r="F9" s="1248"/>
      <c r="G9" s="1248"/>
    </row>
    <row r="10" spans="1:7" ht="15" customHeight="1" x14ac:dyDescent="0.2">
      <c r="A10" s="1249" t="s">
        <v>1516</v>
      </c>
      <c r="B10" s="1250"/>
      <c r="C10" s="1251"/>
      <c r="D10" s="1250" t="s">
        <v>1517</v>
      </c>
      <c r="E10" s="1251" t="s">
        <v>2084</v>
      </c>
      <c r="F10" s="1250" t="s">
        <v>99</v>
      </c>
      <c r="G10" s="1248"/>
    </row>
    <row r="11" spans="1:7" ht="12" customHeight="1" x14ac:dyDescent="0.2">
      <c r="A11" s="1249"/>
      <c r="B11" s="1250"/>
      <c r="C11" s="1835"/>
      <c r="D11" s="1250"/>
      <c r="E11" s="1835"/>
      <c r="F11" s="1250"/>
      <c r="G11" s="1248"/>
    </row>
    <row r="12" spans="1:7" x14ac:dyDescent="0.2">
      <c r="A12" s="1246" t="s">
        <v>1556</v>
      </c>
      <c r="C12" s="1230"/>
      <c r="D12" s="1230"/>
    </row>
    <row r="13" spans="1:7" ht="15" customHeight="1" x14ac:dyDescent="0.2">
      <c r="A13" s="2468" t="s">
        <v>2231</v>
      </c>
      <c r="B13" s="2468"/>
      <c r="C13" s="2468"/>
      <c r="D13" s="2468"/>
      <c r="E13" s="2468"/>
      <c r="F13" s="2468"/>
    </row>
    <row r="14" spans="1:7" ht="9.75" customHeight="1" x14ac:dyDescent="0.2">
      <c r="C14" s="1230"/>
      <c r="D14" s="1230"/>
    </row>
    <row r="15" spans="1:7" ht="13.5" customHeight="1" x14ac:dyDescent="0.2">
      <c r="C15" s="1819" t="s">
        <v>1270</v>
      </c>
      <c r="D15" s="2473" t="s">
        <v>1269</v>
      </c>
      <c r="E15" s="2473"/>
      <c r="F15" s="2473"/>
    </row>
    <row r="16" spans="1:7" ht="13.5" customHeight="1" x14ac:dyDescent="0.2">
      <c r="A16" s="1252"/>
      <c r="B16" s="1246" t="s">
        <v>1268</v>
      </c>
      <c r="C16" s="1819" t="s">
        <v>1267</v>
      </c>
      <c r="D16" s="2474" t="s">
        <v>1557</v>
      </c>
      <c r="E16" s="2474"/>
      <c r="F16" s="2474"/>
    </row>
    <row r="17" spans="1:6" ht="20.45" customHeight="1" x14ac:dyDescent="0.2">
      <c r="A17" s="1253"/>
      <c r="B17" s="1254" t="s">
        <v>2107</v>
      </c>
      <c r="C17" s="1255"/>
      <c r="D17" s="2472"/>
      <c r="E17" s="2472"/>
      <c r="F17" s="2472"/>
    </row>
    <row r="18" spans="1:6" ht="20.65" customHeight="1" x14ac:dyDescent="0.2">
      <c r="A18" s="1253"/>
      <c r="B18" s="1254"/>
      <c r="C18" s="1255"/>
      <c r="D18" s="2472"/>
      <c r="E18" s="2472"/>
      <c r="F18" s="2472"/>
    </row>
    <row r="19" spans="1:6" ht="20.65" customHeight="1" x14ac:dyDescent="0.2">
      <c r="A19" s="1253"/>
      <c r="B19" s="1254"/>
      <c r="C19" s="1255"/>
      <c r="D19" s="2472"/>
      <c r="E19" s="2472"/>
      <c r="F19" s="2472"/>
    </row>
    <row r="20" spans="1:6" ht="20.65" customHeight="1" x14ac:dyDescent="0.2">
      <c r="A20" s="1253"/>
      <c r="B20" s="1254"/>
      <c r="C20" s="1255"/>
      <c r="D20" s="2472"/>
      <c r="E20" s="2472"/>
      <c r="F20" s="2472"/>
    </row>
    <row r="21" spans="1:6" ht="20.65" customHeight="1" x14ac:dyDescent="0.2">
      <c r="A21" s="1253"/>
      <c r="B21" s="1254"/>
      <c r="C21" s="1255"/>
      <c r="D21" s="2472"/>
      <c r="E21" s="2472"/>
      <c r="F21" s="2472"/>
    </row>
    <row r="22" spans="1:6" ht="20.65" customHeight="1" x14ac:dyDescent="0.2">
      <c r="A22" s="1253"/>
      <c r="B22" s="1254"/>
      <c r="C22" s="1255"/>
      <c r="D22" s="2472"/>
      <c r="E22" s="2472"/>
      <c r="F22" s="2472"/>
    </row>
    <row r="23" spans="1:6" ht="20.65" customHeight="1" x14ac:dyDescent="0.2">
      <c r="A23" s="1253"/>
      <c r="B23" s="1254"/>
      <c r="C23" s="1255"/>
      <c r="D23" s="2472"/>
      <c r="E23" s="2472"/>
      <c r="F23" s="2472"/>
    </row>
    <row r="24" spans="1:6" ht="20.65" customHeight="1" x14ac:dyDescent="0.2">
      <c r="A24" s="1253"/>
      <c r="B24" s="1254"/>
      <c r="C24" s="1255"/>
      <c r="D24" s="2472"/>
      <c r="E24" s="2472"/>
      <c r="F24" s="2472"/>
    </row>
    <row r="25" spans="1:6" ht="20.65" customHeight="1" x14ac:dyDescent="0.2">
      <c r="A25" s="1253"/>
      <c r="B25" s="1254"/>
      <c r="C25" s="1255"/>
      <c r="D25" s="2472"/>
      <c r="E25" s="2472"/>
      <c r="F25" s="2472"/>
    </row>
    <row r="26" spans="1:6" ht="20.65" customHeight="1" x14ac:dyDescent="0.2">
      <c r="A26" s="1253"/>
      <c r="B26" s="1254"/>
      <c r="C26" s="1255"/>
      <c r="D26" s="2472"/>
      <c r="E26" s="2472"/>
      <c r="F26" s="2472"/>
    </row>
    <row r="27" spans="1:6" ht="20.65" customHeight="1" x14ac:dyDescent="0.2">
      <c r="A27" s="1253"/>
      <c r="B27" s="1254"/>
      <c r="C27" s="1255"/>
      <c r="D27" s="2472"/>
      <c r="E27" s="2472"/>
      <c r="F27" s="2472"/>
    </row>
    <row r="28" spans="1:6" ht="20.65" customHeight="1" x14ac:dyDescent="0.2">
      <c r="A28" s="1253"/>
      <c r="B28" s="1254"/>
      <c r="C28" s="1255"/>
      <c r="D28" s="2472"/>
      <c r="E28" s="2472"/>
      <c r="F28" s="2472"/>
    </row>
    <row r="29" spans="1:6" ht="20.65" customHeight="1" x14ac:dyDescent="0.2">
      <c r="A29" s="1253"/>
      <c r="B29" s="1254"/>
      <c r="C29" s="1255"/>
      <c r="D29" s="2472"/>
      <c r="E29" s="2472"/>
      <c r="F29" s="2472"/>
    </row>
    <row r="30" spans="1:6" ht="12" customHeight="1" x14ac:dyDescent="0.2">
      <c r="A30" s="328"/>
      <c r="B30" s="328"/>
      <c r="C30" s="1435"/>
      <c r="D30" s="1836"/>
      <c r="E30" s="1256"/>
    </row>
    <row r="31" spans="1:6" ht="12" customHeight="1" x14ac:dyDescent="0.2">
      <c r="A31" s="1257" t="s">
        <v>1518</v>
      </c>
      <c r="B31" s="328"/>
      <c r="C31" s="1435"/>
      <c r="D31" s="1836"/>
      <c r="E31" s="1256"/>
    </row>
    <row r="32" spans="1:6" ht="30" customHeight="1" x14ac:dyDescent="0.2">
      <c r="A32" s="2476" t="s">
        <v>2108</v>
      </c>
      <c r="B32" s="2476"/>
      <c r="C32" s="2476"/>
      <c r="D32" s="2476"/>
      <c r="E32" s="2476"/>
      <c r="F32" s="2476"/>
    </row>
    <row r="33" spans="1:6" ht="13.5" customHeight="1" x14ac:dyDescent="0.2">
      <c r="A33" s="328" t="s">
        <v>1420</v>
      </c>
      <c r="B33" s="328"/>
      <c r="C33" s="1258">
        <v>547279</v>
      </c>
      <c r="D33" s="1836"/>
      <c r="E33" s="1256"/>
    </row>
    <row r="34" spans="1:6" ht="13.5" customHeight="1" x14ac:dyDescent="0.2">
      <c r="A34" s="328" t="s">
        <v>1800</v>
      </c>
      <c r="B34" s="328"/>
      <c r="C34" s="1259">
        <v>0</v>
      </c>
      <c r="D34" s="1836" t="s">
        <v>1558</v>
      </c>
      <c r="E34" s="2477">
        <f>+C33+C34</f>
        <v>547279</v>
      </c>
      <c r="F34" s="2478"/>
    </row>
    <row r="35" spans="1:6" ht="12" customHeight="1" x14ac:dyDescent="0.2">
      <c r="A35" s="328"/>
      <c r="B35" s="328"/>
      <c r="C35" s="1837"/>
      <c r="D35" s="1836"/>
      <c r="E35" s="1260"/>
      <c r="F35" s="1261"/>
    </row>
    <row r="36" spans="1:6" ht="13.5" customHeight="1" x14ac:dyDescent="0.2">
      <c r="A36" s="1257" t="s">
        <v>1519</v>
      </c>
      <c r="B36" s="328"/>
      <c r="C36" s="1435"/>
      <c r="D36" s="1836"/>
      <c r="E36" s="1256"/>
    </row>
    <row r="37" spans="1:6" ht="14.25" customHeight="1" x14ac:dyDescent="0.2">
      <c r="A37" s="328" t="s">
        <v>1470</v>
      </c>
      <c r="B37" s="328"/>
      <c r="C37" s="1838"/>
      <c r="D37" s="1836"/>
      <c r="E37" s="1256"/>
    </row>
    <row r="38" spans="1:6" ht="14.25" customHeight="1" x14ac:dyDescent="0.2">
      <c r="A38" s="328"/>
      <c r="B38" s="328" t="s">
        <v>1421</v>
      </c>
      <c r="C38" s="1262" t="s">
        <v>383</v>
      </c>
      <c r="D38" s="1836"/>
      <c r="E38" s="1256"/>
    </row>
    <row r="39" spans="1:6" ht="14.25" customHeight="1" x14ac:dyDescent="0.2">
      <c r="A39" s="328"/>
      <c r="B39" s="328" t="s">
        <v>1422</v>
      </c>
      <c r="C39" s="1262" t="s">
        <v>383</v>
      </c>
      <c r="D39" s="1836"/>
      <c r="E39" s="1256"/>
    </row>
    <row r="40" spans="1:6" ht="14.25" customHeight="1" x14ac:dyDescent="0.2">
      <c r="A40" s="328"/>
      <c r="B40" s="328" t="s">
        <v>1423</v>
      </c>
      <c r="C40" s="1262" t="s">
        <v>383</v>
      </c>
      <c r="D40" s="1836"/>
      <c r="E40" s="1256"/>
    </row>
    <row r="41" spans="1:6" ht="14.25" customHeight="1" x14ac:dyDescent="0.2">
      <c r="A41" s="328"/>
      <c r="B41" s="328" t="s">
        <v>1424</v>
      </c>
      <c r="C41" s="1262" t="s">
        <v>383</v>
      </c>
      <c r="D41" s="1836"/>
      <c r="E41" s="1256"/>
    </row>
    <row r="42" spans="1:6" ht="14.25" customHeight="1" x14ac:dyDescent="0.2">
      <c r="A42" s="328" t="s">
        <v>1425</v>
      </c>
      <c r="B42" s="328"/>
      <c r="C42" s="1834" t="s">
        <v>383</v>
      </c>
      <c r="D42" s="1836"/>
      <c r="E42" s="1256"/>
    </row>
    <row r="43" spans="1:6" ht="14.25" customHeight="1" x14ac:dyDescent="0.2">
      <c r="A43" s="328" t="s">
        <v>1426</v>
      </c>
      <c r="B43" s="328"/>
      <c r="C43" s="1263" t="s">
        <v>383</v>
      </c>
      <c r="D43" s="1836"/>
      <c r="E43" s="1256"/>
    </row>
    <row r="44" spans="1:6" ht="14.25" customHeight="1" x14ac:dyDescent="0.2">
      <c r="A44" s="328"/>
      <c r="B44" s="328"/>
      <c r="C44" s="1838" t="s">
        <v>1427</v>
      </c>
      <c r="D44" s="1836"/>
      <c r="E44" s="1256"/>
    </row>
    <row r="45" spans="1:6" ht="13.5" customHeight="1" x14ac:dyDescent="0.2">
      <c r="B45" s="322"/>
      <c r="C45" s="1264"/>
      <c r="D45" s="1264"/>
    </row>
    <row r="46" spans="1:6" x14ac:dyDescent="0.2">
      <c r="A46" s="1265" t="s">
        <v>1695</v>
      </c>
      <c r="C46" s="317"/>
      <c r="D46" s="317"/>
    </row>
    <row r="47" spans="1:6" s="322" customFormat="1" ht="11.25" customHeight="1" x14ac:dyDescent="0.2">
      <c r="A47" s="1266"/>
      <c r="B47" s="1267"/>
      <c r="C47" s="1267"/>
      <c r="D47" s="1267"/>
      <c r="E47" s="1267"/>
      <c r="F47" s="1267"/>
    </row>
    <row r="48" spans="1:6" s="322" customFormat="1" ht="6" customHeight="1" x14ac:dyDescent="0.2">
      <c r="A48" s="1268"/>
    </row>
    <row r="49" spans="1:5" s="1270" customFormat="1" ht="23.25" customHeight="1" x14ac:dyDescent="0.2">
      <c r="A49" s="1269">
        <v>5</v>
      </c>
      <c r="B49" s="2479" t="s">
        <v>1559</v>
      </c>
      <c r="C49" s="2479"/>
      <c r="D49" s="2479"/>
      <c r="E49" s="1369"/>
    </row>
    <row r="50" spans="1:5" s="1270" customFormat="1" ht="3.75" customHeight="1" x14ac:dyDescent="0.2">
      <c r="A50" s="1269"/>
      <c r="B50" s="1818"/>
      <c r="C50" s="1818"/>
      <c r="D50" s="1818"/>
      <c r="E50" s="1369"/>
    </row>
    <row r="51" spans="1:5" s="1270" customFormat="1" ht="20.25" customHeight="1" x14ac:dyDescent="0.2">
      <c r="A51" s="1271">
        <v>6</v>
      </c>
      <c r="B51" s="2475" t="s">
        <v>1520</v>
      </c>
      <c r="C51" s="2475"/>
      <c r="D51" s="2475"/>
    </row>
    <row r="52" spans="1:5" ht="14.25" customHeight="1" x14ac:dyDescent="0.2">
      <c r="A52" s="1271"/>
      <c r="B52" s="2475"/>
      <c r="C52" s="2475"/>
      <c r="D52" s="2475"/>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zoomScale="110" zoomScaleNormal="110" workbookViewId="0">
      <selection activeCell="K17" sqref="K17:K18"/>
    </sheetView>
  </sheetViews>
  <sheetFormatPr defaultColWidth="9.140625" defaultRowHeight="12.75" x14ac:dyDescent="0.2"/>
  <cols>
    <col min="1" max="1" width="1.42578125" style="1270" customWidth="1"/>
    <col min="2" max="2" width="24.42578125" style="1327" customWidth="1"/>
    <col min="3" max="3" width="29.5703125" style="317" customWidth="1"/>
    <col min="4" max="4" width="9.28515625" style="317" customWidth="1"/>
    <col min="5" max="5" width="5.28515625" style="122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4" t="str">
        <f>'Single Audit Cover'!A7</f>
        <v>Cicero SD 99</v>
      </c>
      <c r="C1" s="2485"/>
      <c r="D1" s="2485"/>
      <c r="E1" s="2485"/>
      <c r="F1" s="2485"/>
      <c r="G1" s="2485"/>
      <c r="H1" s="2485"/>
      <c r="I1" s="2485"/>
      <c r="J1" s="1379"/>
    </row>
    <row r="2" spans="2:10" s="317" customFormat="1" ht="12.75" customHeight="1" x14ac:dyDescent="0.2">
      <c r="B2" s="2486">
        <f>'Single Audit Cover'!E7</f>
        <v>6016099002</v>
      </c>
      <c r="C2" s="2487"/>
      <c r="D2" s="2487"/>
      <c r="E2" s="2487"/>
      <c r="F2" s="2487"/>
      <c r="G2" s="2487"/>
      <c r="H2" s="2487"/>
      <c r="I2" s="2487"/>
      <c r="J2" s="1379"/>
    </row>
    <row r="3" spans="2:10" s="317" customFormat="1" ht="12.75" customHeight="1" x14ac:dyDescent="0.2">
      <c r="B3" s="2488" t="s">
        <v>1285</v>
      </c>
      <c r="C3" s="2489"/>
      <c r="D3" s="2489"/>
      <c r="E3" s="2489"/>
      <c r="F3" s="2489"/>
      <c r="G3" s="2489"/>
      <c r="H3" s="2489"/>
      <c r="I3" s="2489"/>
      <c r="J3" s="1380"/>
    </row>
    <row r="4" spans="2:10" s="317" customFormat="1" ht="12.75" customHeight="1" x14ac:dyDescent="0.2">
      <c r="B4" s="2488" t="str">
        <f>'Single Audit Cover'!A4</f>
        <v>Year Ending June 30, 2019</v>
      </c>
      <c r="C4" s="2489"/>
      <c r="D4" s="2489"/>
      <c r="E4" s="2489"/>
      <c r="F4" s="2489"/>
      <c r="G4" s="2489"/>
      <c r="H4" s="2489"/>
      <c r="I4" s="2489"/>
    </row>
    <row r="5" spans="2:10" s="317" customFormat="1" ht="6.2" customHeight="1" x14ac:dyDescent="0.2">
      <c r="B5" s="1381" t="s">
        <v>1169</v>
      </c>
      <c r="C5" s="1264"/>
      <c r="D5" s="1264"/>
      <c r="E5" s="1353"/>
      <c r="F5" s="322"/>
      <c r="G5" s="322"/>
      <c r="H5" s="322"/>
      <c r="I5" s="322"/>
    </row>
    <row r="6" spans="2:10" s="317" customFormat="1" ht="6.2" customHeight="1" x14ac:dyDescent="0.2">
      <c r="B6" s="1382"/>
      <c r="C6" s="1349"/>
      <c r="D6" s="1349"/>
      <c r="E6" s="1350"/>
      <c r="F6" s="1349"/>
      <c r="G6" s="1349"/>
      <c r="H6" s="1349"/>
      <c r="I6" s="1349"/>
    </row>
    <row r="7" spans="2:10" s="317" customFormat="1" ht="13.5" customHeight="1" x14ac:dyDescent="0.2">
      <c r="B7" s="2488" t="s">
        <v>1284</v>
      </c>
      <c r="C7" s="2489"/>
      <c r="D7" s="2489"/>
      <c r="E7" s="2489"/>
      <c r="F7" s="2489"/>
      <c r="G7" s="2489"/>
      <c r="H7" s="2489"/>
      <c r="I7" s="2489"/>
    </row>
    <row r="8" spans="2:10" s="317" customFormat="1" ht="6.2" customHeight="1" x14ac:dyDescent="0.2">
      <c r="B8" s="1383" t="s">
        <v>1169</v>
      </c>
      <c r="C8" s="1384"/>
      <c r="D8" s="1384"/>
      <c r="E8" s="1385"/>
      <c r="F8" s="1384"/>
      <c r="G8" s="1384"/>
      <c r="H8" s="1384"/>
      <c r="I8" s="1384"/>
    </row>
    <row r="9" spans="2:10" s="317" customFormat="1" ht="9" customHeight="1" x14ac:dyDescent="0.2">
      <c r="B9" s="1386"/>
      <c r="C9" s="322"/>
      <c r="D9" s="322"/>
      <c r="E9" s="1353"/>
      <c r="F9" s="322"/>
      <c r="G9" s="322"/>
      <c r="H9" s="322"/>
      <c r="I9" s="322"/>
    </row>
    <row r="10" spans="2:10" s="317" customFormat="1" ht="12.75" customHeight="1" x14ac:dyDescent="0.2">
      <c r="B10" s="1387" t="s">
        <v>1283</v>
      </c>
      <c r="C10" s="1388"/>
      <c r="D10" s="1388"/>
      <c r="E10" s="1228"/>
    </row>
    <row r="11" spans="2:10" s="317" customFormat="1" ht="13.5" customHeight="1" x14ac:dyDescent="0.2">
      <c r="B11" s="1319" t="s">
        <v>1282</v>
      </c>
      <c r="C11" s="2490" t="s">
        <v>2110</v>
      </c>
      <c r="D11" s="2490"/>
      <c r="E11" s="1389"/>
      <c r="F11" s="1389"/>
      <c r="G11" s="1389"/>
    </row>
    <row r="12" spans="2:10" s="317" customFormat="1" ht="11.45" customHeight="1" x14ac:dyDescent="0.2">
      <c r="B12" s="1327"/>
      <c r="C12" s="1390" t="s">
        <v>1428</v>
      </c>
      <c r="D12" s="1391"/>
      <c r="E12" s="1228"/>
    </row>
    <row r="13" spans="2:10" s="317" customFormat="1" ht="12.75" customHeight="1" x14ac:dyDescent="0.2">
      <c r="B13" s="1392"/>
      <c r="C13" s="1357"/>
      <c r="D13" s="1357"/>
      <c r="E13" s="1228"/>
    </row>
    <row r="14" spans="2:10" s="317" customFormat="1" ht="12.75" customHeight="1" x14ac:dyDescent="0.2">
      <c r="B14" s="1338" t="s">
        <v>1281</v>
      </c>
      <c r="C14" s="1252"/>
      <c r="E14" s="1228"/>
    </row>
    <row r="15" spans="2:10" s="317" customFormat="1" ht="13.5" customHeight="1" x14ac:dyDescent="0.2">
      <c r="B15" s="1393" t="s">
        <v>1278</v>
      </c>
      <c r="C15" s="1394"/>
      <c r="D15" s="1368"/>
      <c r="E15" s="1395" t="s">
        <v>2084</v>
      </c>
      <c r="F15" s="1270" t="s">
        <v>885</v>
      </c>
      <c r="G15" s="1395"/>
      <c r="H15" s="1270" t="s">
        <v>1276</v>
      </c>
      <c r="I15" s="1270"/>
    </row>
    <row r="16" spans="2:10" s="317" customFormat="1" ht="8.4499999999999993" customHeight="1" x14ac:dyDescent="0.2">
      <c r="B16" s="1338"/>
      <c r="C16" s="1252"/>
      <c r="E16" s="1353"/>
      <c r="F16" s="1270"/>
      <c r="G16" s="322"/>
      <c r="H16" s="1270"/>
      <c r="I16" s="1270"/>
    </row>
    <row r="17" spans="2:9" s="317" customFormat="1" ht="13.5" customHeight="1" x14ac:dyDescent="0.2">
      <c r="B17" s="1393" t="s">
        <v>1277</v>
      </c>
      <c r="C17" s="1394"/>
      <c r="D17" s="1368"/>
      <c r="E17" s="1396"/>
      <c r="F17" s="1227"/>
      <c r="G17" s="1396"/>
      <c r="H17" s="1270"/>
      <c r="I17" s="1270"/>
    </row>
    <row r="18" spans="2:9" s="317" customFormat="1" ht="12.75" customHeight="1" x14ac:dyDescent="0.2">
      <c r="B18" s="1393" t="s">
        <v>1429</v>
      </c>
      <c r="C18" s="1394"/>
      <c r="D18" s="1368"/>
      <c r="E18" s="1395"/>
      <c r="F18" s="1270" t="s">
        <v>885</v>
      </c>
      <c r="G18" s="1395" t="s">
        <v>2084</v>
      </c>
      <c r="H18" s="1270" t="s">
        <v>1276</v>
      </c>
      <c r="I18" s="1270"/>
    </row>
    <row r="19" spans="2:9" s="317" customFormat="1" ht="8.4499999999999993" customHeight="1" x14ac:dyDescent="0.2">
      <c r="B19" s="1338"/>
      <c r="C19" s="1252"/>
      <c r="E19" s="1353"/>
      <c r="F19" s="1270"/>
      <c r="G19" s="322"/>
      <c r="H19" s="1270"/>
      <c r="I19" s="1270"/>
    </row>
    <row r="20" spans="2:9" s="317" customFormat="1" ht="13.5" customHeight="1" x14ac:dyDescent="0.2">
      <c r="B20" s="1393" t="s">
        <v>1560</v>
      </c>
      <c r="C20" s="1394"/>
      <c r="D20" s="1368"/>
      <c r="E20" s="1395"/>
      <c r="F20" s="1270" t="s">
        <v>885</v>
      </c>
      <c r="G20" s="1395" t="s">
        <v>2084</v>
      </c>
      <c r="H20" s="1270" t="s">
        <v>99</v>
      </c>
      <c r="I20" s="1270"/>
    </row>
    <row r="21" spans="2:9" s="317" customFormat="1" ht="12.75" customHeight="1" x14ac:dyDescent="0.2">
      <c r="B21" s="1338"/>
      <c r="C21" s="1252"/>
      <c r="E21" s="1353"/>
      <c r="F21" s="1270"/>
      <c r="G21" s="322"/>
      <c r="H21" s="1270"/>
      <c r="I21" s="1270"/>
    </row>
    <row r="22" spans="2:9" s="317" customFormat="1" ht="12.75" customHeight="1" x14ac:dyDescent="0.2">
      <c r="B22" s="1387" t="s">
        <v>1280</v>
      </c>
      <c r="C22" s="1397"/>
      <c r="D22" s="1388"/>
      <c r="E22" s="1353"/>
      <c r="F22" s="1270"/>
      <c r="G22" s="322"/>
      <c r="H22" s="1270"/>
      <c r="I22" s="1270"/>
    </row>
    <row r="23" spans="2:9" s="317" customFormat="1" ht="12.75" customHeight="1" x14ac:dyDescent="0.2">
      <c r="B23" s="1338" t="s">
        <v>1279</v>
      </c>
      <c r="C23" s="1252"/>
      <c r="E23" s="1353"/>
      <c r="F23" s="1270"/>
      <c r="G23" s="322"/>
      <c r="H23" s="1270"/>
      <c r="I23" s="1270"/>
    </row>
    <row r="24" spans="2:9" s="317" customFormat="1" ht="13.5" customHeight="1" x14ac:dyDescent="0.2">
      <c r="B24" s="1393" t="s">
        <v>1278</v>
      </c>
      <c r="C24" s="1394"/>
      <c r="D24" s="1368"/>
      <c r="E24" s="1395"/>
      <c r="F24" s="1270" t="s">
        <v>885</v>
      </c>
      <c r="G24" s="1395" t="s">
        <v>2084</v>
      </c>
      <c r="H24" s="1270" t="s">
        <v>1276</v>
      </c>
      <c r="I24" s="1270"/>
    </row>
    <row r="25" spans="2:9" s="317" customFormat="1" ht="8.4499999999999993" customHeight="1" x14ac:dyDescent="0.2">
      <c r="B25" s="1338"/>
      <c r="C25" s="1252"/>
      <c r="E25" s="1353"/>
      <c r="F25" s="1270"/>
      <c r="G25" s="322"/>
      <c r="H25" s="1270"/>
      <c r="I25" s="1270"/>
    </row>
    <row r="26" spans="2:9" s="317" customFormat="1" ht="13.5" customHeight="1" x14ac:dyDescent="0.2">
      <c r="B26" s="1393" t="s">
        <v>1277</v>
      </c>
      <c r="C26" s="1394"/>
      <c r="D26" s="1368"/>
      <c r="E26" s="1396"/>
      <c r="F26" s="1227"/>
      <c r="G26" s="1396"/>
      <c r="H26" s="1270"/>
      <c r="I26" s="1270"/>
    </row>
    <row r="27" spans="2:9" s="317" customFormat="1" ht="12.75" customHeight="1" x14ac:dyDescent="0.2">
      <c r="B27" s="1393" t="s">
        <v>1429</v>
      </c>
      <c r="C27" s="1394"/>
      <c r="D27" s="1368"/>
      <c r="E27" s="1395"/>
      <c r="F27" s="1270" t="s">
        <v>885</v>
      </c>
      <c r="G27" s="1395" t="s">
        <v>2084</v>
      </c>
      <c r="H27" s="1270" t="s">
        <v>1276</v>
      </c>
      <c r="I27" s="1270"/>
    </row>
    <row r="28" spans="2:9" s="317" customFormat="1" ht="12.75" customHeight="1" x14ac:dyDescent="0.2">
      <c r="B28" s="1338"/>
      <c r="C28" s="1252"/>
      <c r="E28" s="1228"/>
    </row>
    <row r="29" spans="2:9" s="317" customFormat="1" ht="12.75" customHeight="1" x14ac:dyDescent="0.2">
      <c r="B29" s="1338" t="s">
        <v>1275</v>
      </c>
      <c r="C29" s="1252"/>
      <c r="D29" s="2491" t="s">
        <v>2117</v>
      </c>
      <c r="E29" s="2491"/>
      <c r="F29" s="2491"/>
      <c r="G29" s="2491"/>
      <c r="H29" s="2491"/>
      <c r="I29" s="2491"/>
    </row>
    <row r="30" spans="2:9" s="317" customFormat="1" x14ac:dyDescent="0.2">
      <c r="B30" s="1338"/>
      <c r="C30" s="322"/>
      <c r="D30" s="1390" t="s">
        <v>1710</v>
      </c>
      <c r="E30" s="1391"/>
      <c r="F30" s="1391"/>
      <c r="G30" s="1391"/>
      <c r="H30" s="1391"/>
      <c r="I30" s="1391"/>
    </row>
    <row r="31" spans="2:9" s="317" customFormat="1" ht="9.9499999999999993" customHeight="1" x14ac:dyDescent="0.2">
      <c r="B31" s="1338"/>
      <c r="E31" s="1228"/>
    </row>
    <row r="32" spans="2:9" s="317" customFormat="1" x14ac:dyDescent="0.2">
      <c r="B32" s="1338" t="s">
        <v>1274</v>
      </c>
      <c r="C32" s="1252"/>
      <c r="E32" s="1228"/>
    </row>
    <row r="33" spans="2:9" ht="13.5" customHeight="1" x14ac:dyDescent="0.2">
      <c r="B33" s="1338" t="s">
        <v>1521</v>
      </c>
      <c r="C33" s="1252"/>
      <c r="E33" s="1395"/>
      <c r="F33" s="1270" t="s">
        <v>885</v>
      </c>
      <c r="G33" s="1395" t="s">
        <v>2084</v>
      </c>
      <c r="H33" s="1270" t="s">
        <v>99</v>
      </c>
    </row>
    <row r="35" spans="2:9" x14ac:dyDescent="0.2">
      <c r="B35" s="1398" t="s">
        <v>1711</v>
      </c>
      <c r="C35" s="1399"/>
      <c r="D35" s="1237"/>
    </row>
    <row r="36" spans="2:9" ht="6" customHeight="1" x14ac:dyDescent="0.2">
      <c r="B36" s="1398"/>
      <c r="C36" s="1399"/>
      <c r="D36" s="1237"/>
    </row>
    <row r="37" spans="2:9" ht="17.25" customHeight="1" x14ac:dyDescent="0.2">
      <c r="B37" s="1400" t="s">
        <v>1712</v>
      </c>
      <c r="C37" s="2492" t="s">
        <v>1713</v>
      </c>
      <c r="D37" s="2493"/>
      <c r="E37" s="2493"/>
      <c r="F37" s="2494"/>
      <c r="G37" s="2492" t="s">
        <v>1561</v>
      </c>
      <c r="H37" s="2493"/>
      <c r="I37" s="2494"/>
    </row>
    <row r="38" spans="2:9" ht="16.5" customHeight="1" x14ac:dyDescent="0.2">
      <c r="B38" s="1401" t="s">
        <v>2115</v>
      </c>
      <c r="C38" s="2480" t="s">
        <v>2112</v>
      </c>
      <c r="D38" s="2481"/>
      <c r="E38" s="2481"/>
      <c r="F38" s="2482"/>
      <c r="G38" s="2495">
        <v>7553354</v>
      </c>
      <c r="H38" s="2496"/>
      <c r="I38" s="2497"/>
    </row>
    <row r="39" spans="2:9" ht="16.5" customHeight="1" x14ac:dyDescent="0.2">
      <c r="B39" s="1401" t="s">
        <v>2114</v>
      </c>
      <c r="C39" s="2480" t="s">
        <v>2113</v>
      </c>
      <c r="D39" s="2481"/>
      <c r="E39" s="2481"/>
      <c r="F39" s="2482"/>
      <c r="G39" s="2483">
        <v>2601111</v>
      </c>
      <c r="H39" s="2483"/>
      <c r="I39" s="2483"/>
    </row>
    <row r="40" spans="2:9" ht="16.5" customHeight="1" x14ac:dyDescent="0.2">
      <c r="B40" s="1401">
        <v>84.01</v>
      </c>
      <c r="C40" s="2480" t="s">
        <v>2111</v>
      </c>
      <c r="D40" s="2481"/>
      <c r="E40" s="2481"/>
      <c r="F40" s="2482"/>
      <c r="G40" s="2483">
        <v>5251567</v>
      </c>
      <c r="H40" s="2483"/>
      <c r="I40" s="2483"/>
    </row>
    <row r="41" spans="2:9" ht="16.5" customHeight="1" x14ac:dyDescent="0.2">
      <c r="B41" s="1401">
        <v>84.01</v>
      </c>
      <c r="C41" s="2480" t="s">
        <v>2116</v>
      </c>
      <c r="D41" s="2481"/>
      <c r="E41" s="2481"/>
      <c r="F41" s="2482"/>
      <c r="G41" s="2483">
        <v>330671</v>
      </c>
      <c r="H41" s="2483"/>
      <c r="I41" s="2483"/>
    </row>
    <row r="42" spans="2:9" ht="16.5" customHeight="1" x14ac:dyDescent="0.2">
      <c r="B42" s="1401"/>
      <c r="C42" s="2480"/>
      <c r="D42" s="2481"/>
      <c r="E42" s="2481"/>
      <c r="F42" s="2482"/>
      <c r="G42" s="2483"/>
      <c r="H42" s="2483"/>
      <c r="I42" s="2483"/>
    </row>
    <row r="43" spans="2:9" ht="16.5" customHeight="1" x14ac:dyDescent="0.2">
      <c r="B43" s="1401"/>
      <c r="C43" s="2498" t="s">
        <v>1562</v>
      </c>
      <c r="D43" s="2499"/>
      <c r="E43" s="2499"/>
      <c r="F43" s="2500"/>
      <c r="G43" s="2501">
        <f>SUM(G38:I42)</f>
        <v>15736703</v>
      </c>
      <c r="H43" s="2501"/>
      <c r="I43" s="2501"/>
    </row>
    <row r="44" spans="2:9" ht="12.75" customHeight="1" x14ac:dyDescent="0.2"/>
    <row r="45" spans="2:9" ht="12.75" customHeight="1" x14ac:dyDescent="0.2">
      <c r="B45" s="1392" t="s">
        <v>1803</v>
      </c>
      <c r="D45" s="2502">
        <v>18086623</v>
      </c>
      <c r="E45" s="2503"/>
    </row>
    <row r="46" spans="2:9" ht="5.25" customHeight="1" x14ac:dyDescent="0.2">
      <c r="B46" s="1402"/>
      <c r="D46" s="1403"/>
      <c r="E46" s="1404"/>
    </row>
    <row r="47" spans="2:9" ht="12.75" customHeight="1" x14ac:dyDescent="0.2">
      <c r="B47" s="1270" t="s">
        <v>1563</v>
      </c>
      <c r="C47" s="1270"/>
      <c r="D47" s="1405">
        <f>+G43/D45</f>
        <v>0.87007414264122163</v>
      </c>
      <c r="E47" s="1406"/>
      <c r="F47" s="1407"/>
      <c r="I47" s="1408"/>
    </row>
    <row r="48" spans="2:9" ht="9.9499999999999993" customHeight="1" x14ac:dyDescent="0.2"/>
    <row r="49" spans="1:9" x14ac:dyDescent="0.2">
      <c r="B49" s="1338" t="s">
        <v>1273</v>
      </c>
      <c r="C49" s="1252"/>
      <c r="D49" s="1252"/>
      <c r="E49" s="2504">
        <v>750000</v>
      </c>
      <c r="F49" s="2504"/>
      <c r="G49" s="2504"/>
      <c r="H49" s="322"/>
    </row>
    <row r="51" spans="1:9" ht="13.5" customHeight="1" x14ac:dyDescent="0.2">
      <c r="B51" s="1338" t="s">
        <v>1272</v>
      </c>
      <c r="C51" s="1252"/>
      <c r="E51" s="1395"/>
      <c r="F51" s="1270" t="s">
        <v>885</v>
      </c>
      <c r="G51" s="1395" t="s">
        <v>2084</v>
      </c>
      <c r="H51" s="1270" t="s">
        <v>99</v>
      </c>
    </row>
    <row r="52" spans="1:9" x14ac:dyDescent="0.2">
      <c r="B52" s="1330"/>
      <c r="C52" s="1267"/>
      <c r="D52" s="1409"/>
      <c r="E52" s="1410"/>
      <c r="F52" s="1411"/>
      <c r="G52" s="1411"/>
      <c r="H52" s="1411"/>
      <c r="I52" s="1411"/>
    </row>
    <row r="53" spans="1:9" ht="6" customHeight="1" x14ac:dyDescent="0.2">
      <c r="B53" s="1386"/>
      <c r="C53" s="322"/>
      <c r="D53" s="1412"/>
      <c r="E53" s="1413"/>
      <c r="F53" s="1414"/>
      <c r="G53" s="1414"/>
      <c r="H53" s="1414"/>
      <c r="I53" s="1414"/>
    </row>
    <row r="54" spans="1:9" s="1418" customFormat="1" ht="14.25" x14ac:dyDescent="0.2">
      <c r="A54" s="1415"/>
      <c r="B54" s="1416" t="s">
        <v>1714</v>
      </c>
      <c r="C54" s="1417"/>
      <c r="D54" s="1417"/>
    </row>
    <row r="55" spans="1:9" s="1418" customFormat="1" ht="12.75" customHeight="1" x14ac:dyDescent="0.2">
      <c r="A55" s="1415"/>
      <c r="B55" s="1419" t="s">
        <v>1564</v>
      </c>
      <c r="C55" s="1415"/>
      <c r="D55" s="1415"/>
    </row>
    <row r="56" spans="1:9" s="1418" customFormat="1" ht="12.75" customHeight="1" x14ac:dyDescent="0.2">
      <c r="A56" s="1415"/>
      <c r="B56" s="1419" t="s">
        <v>1565</v>
      </c>
      <c r="C56" s="1415"/>
      <c r="D56" s="1415"/>
    </row>
    <row r="57" spans="1:9" s="1418" customFormat="1" ht="3.95" customHeight="1" x14ac:dyDescent="0.2">
      <c r="A57" s="1415"/>
      <c r="B57" s="1419"/>
      <c r="C57" s="1415"/>
      <c r="D57" s="1415"/>
    </row>
    <row r="58" spans="1:9" s="1418" customFormat="1" ht="13.5" customHeight="1" x14ac:dyDescent="0.2">
      <c r="A58" s="1415"/>
      <c r="B58" s="1420" t="s">
        <v>1715</v>
      </c>
      <c r="C58" s="1421"/>
      <c r="D58" s="1421"/>
    </row>
    <row r="59" spans="1:9" s="1418" customFormat="1" ht="3.95" customHeight="1" x14ac:dyDescent="0.2">
      <c r="A59" s="1415"/>
      <c r="B59" s="1420"/>
      <c r="C59" s="1421"/>
      <c r="D59" s="1421"/>
    </row>
    <row r="60" spans="1:9" s="1418" customFormat="1" ht="13.5" customHeight="1" x14ac:dyDescent="0.2">
      <c r="A60" s="1415"/>
      <c r="B60" s="1420" t="s">
        <v>1716</v>
      </c>
      <c r="C60" s="1421"/>
      <c r="D60" s="1421"/>
    </row>
    <row r="61" spans="1:9" s="1418" customFormat="1" ht="3.95" customHeight="1" x14ac:dyDescent="0.2">
      <c r="A61" s="1415"/>
      <c r="B61" s="1420"/>
      <c r="C61" s="1421"/>
      <c r="D61" s="1421"/>
    </row>
    <row r="62" spans="1:9" s="1418" customFormat="1" ht="12.75" customHeight="1" x14ac:dyDescent="0.2">
      <c r="A62" s="1415"/>
      <c r="B62" s="1420" t="s">
        <v>1717</v>
      </c>
      <c r="C62" s="1421"/>
      <c r="D62" s="1421"/>
    </row>
    <row r="63" spans="1:9" s="1418" customFormat="1" ht="13.5" customHeight="1" x14ac:dyDescent="0.2">
      <c r="A63" s="1415"/>
      <c r="B63" s="1419" t="s">
        <v>1566</v>
      </c>
      <c r="C63" s="1415"/>
      <c r="D63" s="1415"/>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B27" sqref="B2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Cicero SD 99</v>
      </c>
      <c r="C1" s="2484"/>
      <c r="D1" s="2484"/>
      <c r="E1" s="2484"/>
      <c r="F1" s="2484"/>
      <c r="G1" s="2484"/>
      <c r="H1" s="2484"/>
      <c r="I1" s="2484"/>
      <c r="J1" s="2484"/>
      <c r="K1" s="2484"/>
      <c r="L1" s="1344"/>
      <c r="M1" s="1344"/>
    </row>
    <row r="2" spans="1:13" ht="12" customHeight="1" x14ac:dyDescent="0.2">
      <c r="B2" s="2486">
        <f>'Single Audit Cover'!E7</f>
        <v>6016099002</v>
      </c>
      <c r="C2" s="2486"/>
      <c r="D2" s="2486"/>
      <c r="E2" s="2486"/>
      <c r="F2" s="2486"/>
      <c r="G2" s="2486"/>
      <c r="H2" s="2486"/>
      <c r="I2" s="2486"/>
      <c r="J2" s="2486"/>
      <c r="K2" s="2486"/>
      <c r="L2" s="1345"/>
      <c r="M2" s="1346"/>
    </row>
    <row r="3" spans="1:13" ht="10.35" customHeight="1" x14ac:dyDescent="0.2">
      <c r="B3" s="2507" t="s">
        <v>1285</v>
      </c>
      <c r="C3" s="2507"/>
      <c r="D3" s="2507"/>
      <c r="E3" s="2507"/>
      <c r="F3" s="2507"/>
      <c r="G3" s="2507"/>
      <c r="H3" s="2507"/>
      <c r="I3" s="2507"/>
      <c r="J3" s="2507"/>
      <c r="K3" s="2507"/>
      <c r="L3" s="1347"/>
      <c r="M3" s="1347"/>
    </row>
    <row r="4" spans="1:13" ht="14.25" customHeight="1" x14ac:dyDescent="0.2">
      <c r="B4" s="2508" t="str">
        <f>'Single Audit Cover'!A4</f>
        <v>Year Ending June 30, 2019</v>
      </c>
      <c r="C4" s="2508"/>
      <c r="D4" s="2508"/>
      <c r="E4" s="2508"/>
      <c r="F4" s="2508"/>
      <c r="G4" s="2508"/>
      <c r="H4" s="2508"/>
      <c r="I4" s="2508"/>
      <c r="J4" s="2508"/>
      <c r="K4" s="2508"/>
      <c r="L4" s="313"/>
      <c r="M4" s="313"/>
    </row>
    <row r="5" spans="1:13" ht="7.5" customHeight="1" x14ac:dyDescent="0.2">
      <c r="B5" s="1230" t="s">
        <v>1169</v>
      </c>
      <c r="C5" s="1230"/>
    </row>
    <row r="6" spans="1:13" ht="7.5" customHeight="1" x14ac:dyDescent="0.2">
      <c r="B6" s="1348"/>
      <c r="C6" s="1348"/>
      <c r="D6" s="1349"/>
      <c r="E6" s="1349"/>
      <c r="F6" s="1349"/>
      <c r="G6" s="1350"/>
      <c r="H6" s="1349"/>
      <c r="I6" s="1350"/>
      <c r="J6" s="1349"/>
      <c r="K6" s="1349"/>
      <c r="L6" s="1351"/>
    </row>
    <row r="7" spans="1:13" ht="12.75" customHeight="1" x14ac:dyDescent="0.2">
      <c r="A7" s="1252"/>
      <c r="B7" s="2508" t="s">
        <v>1296</v>
      </c>
      <c r="C7" s="2508"/>
      <c r="D7" s="2509"/>
      <c r="E7" s="2509"/>
      <c r="F7" s="2509"/>
      <c r="G7" s="2509"/>
      <c r="H7" s="2509"/>
      <c r="I7" s="2509"/>
      <c r="J7" s="2509"/>
      <c r="K7" s="2509"/>
      <c r="L7" s="1352"/>
    </row>
    <row r="8" spans="1:13" ht="7.5" customHeight="1" x14ac:dyDescent="0.2">
      <c r="B8" s="322"/>
      <c r="C8" s="322"/>
      <c r="D8" s="322"/>
      <c r="E8" s="322"/>
      <c r="F8" s="322"/>
      <c r="G8" s="1353"/>
      <c r="H8" s="322"/>
      <c r="I8" s="1353"/>
      <c r="J8" s="322"/>
      <c r="K8" s="322"/>
      <c r="L8" s="1351"/>
    </row>
    <row r="9" spans="1:13" ht="9.6" customHeight="1" x14ac:dyDescent="0.2">
      <c r="B9" s="1349"/>
      <c r="C9" s="1349"/>
      <c r="D9" s="1349"/>
      <c r="E9" s="1349"/>
      <c r="F9" s="1349"/>
      <c r="G9" s="1350"/>
      <c r="H9" s="1349"/>
      <c r="I9" s="1350"/>
      <c r="J9" s="1349"/>
      <c r="K9" s="1349"/>
      <c r="L9" s="1351"/>
    </row>
    <row r="10" spans="1:13" ht="16.5" customHeight="1" x14ac:dyDescent="0.2">
      <c r="B10" s="1354" t="s">
        <v>1704</v>
      </c>
      <c r="C10" s="1355" t="s">
        <v>1950</v>
      </c>
      <c r="D10" s="1356">
        <v>1</v>
      </c>
      <c r="E10" s="322"/>
      <c r="F10" s="1357" t="s">
        <v>1295</v>
      </c>
      <c r="G10" s="1358" t="s">
        <v>2084</v>
      </c>
      <c r="H10" s="1359" t="s">
        <v>1294</v>
      </c>
      <c r="I10" s="1358"/>
      <c r="J10" s="1360" t="s">
        <v>1293</v>
      </c>
      <c r="K10" s="322"/>
      <c r="L10" s="1351"/>
    </row>
    <row r="11" spans="1:13" ht="13.5" customHeight="1" x14ac:dyDescent="0.2">
      <c r="B11" s="322"/>
      <c r="C11" s="322"/>
      <c r="D11" s="322"/>
      <c r="E11" s="322"/>
      <c r="F11" s="322"/>
      <c r="G11" s="1353"/>
      <c r="H11" s="322"/>
      <c r="I11" s="1361" t="s">
        <v>1292</v>
      </c>
      <c r="J11" s="322"/>
      <c r="K11" s="1362"/>
      <c r="L11" s="1351"/>
    </row>
    <row r="12" spans="1:13" ht="13.5" customHeight="1" x14ac:dyDescent="0.2">
      <c r="B12" s="1264"/>
      <c r="C12" s="1264"/>
      <c r="D12" s="322"/>
      <c r="E12" s="322"/>
      <c r="F12" s="322"/>
      <c r="G12" s="1353"/>
      <c r="H12" s="322"/>
      <c r="I12" s="1353"/>
      <c r="J12" s="322"/>
      <c r="L12" s="1351"/>
    </row>
    <row r="13" spans="1:13" s="1252" customFormat="1" ht="13.5" customHeight="1" x14ac:dyDescent="0.2">
      <c r="B13" s="1363" t="s">
        <v>1291</v>
      </c>
      <c r="C13" s="1363"/>
      <c r="D13" s="1364"/>
      <c r="E13" s="1364"/>
      <c r="F13" s="1364"/>
      <c r="G13" s="1365"/>
      <c r="H13" s="1364"/>
      <c r="I13" s="1365"/>
      <c r="J13" s="1364"/>
      <c r="K13" s="1364"/>
      <c r="L13" s="1366"/>
    </row>
    <row r="14" spans="1:13" ht="45.75" customHeight="1" x14ac:dyDescent="0.2">
      <c r="B14" s="2506" t="s">
        <v>2120</v>
      </c>
      <c r="C14" s="2506"/>
      <c r="D14" s="2506"/>
      <c r="E14" s="2506"/>
      <c r="F14" s="2506"/>
      <c r="G14" s="2506"/>
      <c r="H14" s="2506"/>
      <c r="I14" s="2506"/>
      <c r="J14" s="2506"/>
      <c r="K14" s="2506"/>
      <c r="L14" s="1367"/>
    </row>
    <row r="15" spans="1:13" ht="4.5" customHeight="1" x14ac:dyDescent="0.2">
      <c r="B15" s="1368"/>
      <c r="C15" s="1368"/>
      <c r="D15" s="1369"/>
      <c r="E15" s="1369"/>
      <c r="F15" s="1369"/>
      <c r="H15" s="1369"/>
      <c r="J15" s="1369"/>
      <c r="K15" s="1369"/>
      <c r="L15" s="1367"/>
    </row>
    <row r="16" spans="1:13" s="1252" customFormat="1" ht="13.5" customHeight="1" x14ac:dyDescent="0.2">
      <c r="B16" s="1363" t="s">
        <v>1290</v>
      </c>
      <c r="C16" s="1363"/>
      <c r="D16" s="1364"/>
      <c r="E16" s="1364"/>
      <c r="F16" s="1364"/>
      <c r="G16" s="1365"/>
      <c r="H16" s="1364"/>
      <c r="I16" s="1365"/>
      <c r="J16" s="1364"/>
      <c r="K16" s="1364"/>
      <c r="L16" s="1366"/>
    </row>
    <row r="17" spans="2:12" ht="45.75" customHeight="1" x14ac:dyDescent="0.2">
      <c r="B17" s="2506" t="s">
        <v>2119</v>
      </c>
      <c r="C17" s="2506"/>
      <c r="D17" s="2506"/>
      <c r="E17" s="2506"/>
      <c r="F17" s="2506"/>
      <c r="G17" s="2506"/>
      <c r="H17" s="2506"/>
      <c r="I17" s="2506"/>
      <c r="J17" s="2506"/>
      <c r="K17" s="2506"/>
      <c r="L17" s="1351"/>
    </row>
    <row r="18" spans="2:12" ht="4.5" customHeight="1" x14ac:dyDescent="0.2">
      <c r="B18" s="1368"/>
      <c r="C18" s="1368"/>
      <c r="L18" s="1351"/>
    </row>
    <row r="19" spans="2:12" s="1252" customFormat="1" ht="13.5" customHeight="1" x14ac:dyDescent="0.2">
      <c r="B19" s="1363" t="s">
        <v>1705</v>
      </c>
      <c r="C19" s="1363"/>
      <c r="D19" s="1364"/>
      <c r="E19" s="1364"/>
      <c r="F19" s="1364"/>
      <c r="G19" s="1365"/>
      <c r="H19" s="1364"/>
      <c r="I19" s="1365"/>
      <c r="J19" s="1364"/>
      <c r="K19" s="1364"/>
      <c r="L19" s="1366"/>
    </row>
    <row r="20" spans="2:12" ht="45.75" customHeight="1" x14ac:dyDescent="0.2">
      <c r="B20" s="2510" t="s">
        <v>2121</v>
      </c>
      <c r="C20" s="2510"/>
      <c r="D20" s="2506"/>
      <c r="E20" s="2506"/>
      <c r="F20" s="2506"/>
      <c r="G20" s="2506"/>
      <c r="H20" s="2506"/>
      <c r="I20" s="2506"/>
      <c r="J20" s="2506"/>
      <c r="K20" s="2506"/>
      <c r="L20" s="1351"/>
    </row>
    <row r="21" spans="2:12" ht="4.5" customHeight="1" x14ac:dyDescent="0.2">
      <c r="B21" s="1370"/>
      <c r="C21" s="1370"/>
      <c r="L21" s="1351"/>
    </row>
    <row r="22" spans="2:12" ht="13.5" customHeight="1" x14ac:dyDescent="0.2">
      <c r="B22" s="1363" t="s">
        <v>1289</v>
      </c>
      <c r="C22" s="1363"/>
      <c r="D22" s="1349"/>
      <c r="E22" s="1349"/>
      <c r="F22" s="1349"/>
      <c r="G22" s="1350"/>
      <c r="H22" s="1349"/>
      <c r="I22" s="1350"/>
      <c r="J22" s="1349"/>
      <c r="K22" s="1349"/>
      <c r="L22" s="1351"/>
    </row>
    <row r="23" spans="2:12" ht="45" customHeight="1" x14ac:dyDescent="0.2">
      <c r="B23" s="2506" t="s">
        <v>2232</v>
      </c>
      <c r="C23" s="2506"/>
      <c r="D23" s="2506"/>
      <c r="E23" s="2506"/>
      <c r="F23" s="2506"/>
      <c r="G23" s="2506"/>
      <c r="H23" s="2506"/>
      <c r="I23" s="2506"/>
      <c r="J23" s="2506"/>
      <c r="K23" s="2506"/>
      <c r="L23" s="1351"/>
    </row>
    <row r="24" spans="2:12" ht="4.5" customHeight="1" x14ac:dyDescent="0.2">
      <c r="B24" s="1368"/>
      <c r="C24" s="1368"/>
      <c r="L24" s="1351"/>
    </row>
    <row r="25" spans="2:12" ht="13.5" customHeight="1" x14ac:dyDescent="0.2">
      <c r="B25" s="1363" t="s">
        <v>1288</v>
      </c>
      <c r="C25" s="1363"/>
      <c r="D25" s="1349"/>
      <c r="E25" s="1349"/>
      <c r="F25" s="1349"/>
      <c r="G25" s="1350"/>
      <c r="H25" s="1349"/>
      <c r="I25" s="1350"/>
      <c r="J25" s="1349"/>
      <c r="K25" s="1349"/>
      <c r="L25" s="1351"/>
    </row>
    <row r="26" spans="2:12" ht="45.75" customHeight="1" x14ac:dyDescent="0.2">
      <c r="B26" s="2506" t="s">
        <v>2233</v>
      </c>
      <c r="C26" s="2506"/>
      <c r="D26" s="2506"/>
      <c r="E26" s="2506"/>
      <c r="F26" s="2506"/>
      <c r="G26" s="2506"/>
      <c r="H26" s="2506"/>
      <c r="I26" s="2506"/>
      <c r="J26" s="2506"/>
      <c r="K26" s="2506"/>
      <c r="L26" s="1351"/>
    </row>
    <row r="27" spans="2:12" ht="4.5" customHeight="1" x14ac:dyDescent="0.2">
      <c r="B27" s="1368"/>
      <c r="C27" s="1368"/>
      <c r="L27" s="1351"/>
    </row>
    <row r="28" spans="2:12" ht="13.5" customHeight="1" x14ac:dyDescent="0.2">
      <c r="B28" s="1371" t="s">
        <v>1287</v>
      </c>
      <c r="C28" s="1371"/>
      <c r="D28" s="1349"/>
      <c r="E28" s="1349"/>
      <c r="F28" s="1349"/>
      <c r="G28" s="1350"/>
      <c r="H28" s="1349"/>
      <c r="I28" s="1350"/>
      <c r="J28" s="1349"/>
      <c r="K28" s="1349"/>
      <c r="L28" s="1351"/>
    </row>
    <row r="29" spans="2:12" ht="45.75" customHeight="1" x14ac:dyDescent="0.2">
      <c r="B29" s="2505" t="s">
        <v>2221</v>
      </c>
      <c r="C29" s="2505"/>
      <c r="D29" s="2506"/>
      <c r="E29" s="2506"/>
      <c r="F29" s="2506"/>
      <c r="G29" s="2506"/>
      <c r="H29" s="2506"/>
      <c r="I29" s="2506"/>
      <c r="J29" s="2506"/>
      <c r="K29" s="2506"/>
      <c r="L29" s="1351"/>
    </row>
    <row r="30" spans="2:12" ht="4.5" customHeight="1" x14ac:dyDescent="0.2">
      <c r="B30" s="1372"/>
      <c r="C30" s="1372"/>
      <c r="D30" s="322"/>
      <c r="E30" s="322"/>
      <c r="F30" s="322"/>
      <c r="G30" s="1353"/>
      <c r="H30" s="322"/>
      <c r="I30" s="1353"/>
      <c r="J30" s="322"/>
      <c r="K30" s="322"/>
      <c r="L30" s="1351"/>
    </row>
    <row r="31" spans="2:12" s="322" customFormat="1" ht="13.5" customHeight="1" x14ac:dyDescent="0.2">
      <c r="B31" s="1373" t="s">
        <v>1706</v>
      </c>
      <c r="C31" s="1373"/>
      <c r="D31" s="1348"/>
      <c r="E31" s="1349"/>
      <c r="F31" s="1349"/>
      <c r="G31" s="1350"/>
      <c r="H31" s="1349"/>
      <c r="I31" s="1350"/>
      <c r="J31" s="1349"/>
      <c r="K31" s="1349"/>
      <c r="L31" s="1351"/>
    </row>
    <row r="32" spans="2:12" s="322" customFormat="1" ht="44.25" customHeight="1" x14ac:dyDescent="0.2">
      <c r="B32" s="2505" t="s">
        <v>2222</v>
      </c>
      <c r="C32" s="2505"/>
      <c r="D32" s="2506"/>
      <c r="E32" s="2506"/>
      <c r="F32" s="2506"/>
      <c r="G32" s="2506"/>
      <c r="H32" s="2506"/>
      <c r="I32" s="2506"/>
      <c r="J32" s="2506"/>
      <c r="K32" s="2506"/>
      <c r="L32" s="1351"/>
    </row>
    <row r="33" spans="1:13" s="322" customFormat="1" ht="4.5" customHeight="1" x14ac:dyDescent="0.2">
      <c r="B33" s="1372"/>
      <c r="C33" s="1372"/>
      <c r="G33" s="1353"/>
      <c r="I33" s="1353"/>
      <c r="L33" s="1351"/>
    </row>
    <row r="34" spans="1:13" s="322" customFormat="1" x14ac:dyDescent="0.2">
      <c r="A34" s="1267"/>
      <c r="B34" s="1374"/>
      <c r="C34" s="1374"/>
      <c r="D34" s="1374"/>
      <c r="E34" s="1374"/>
      <c r="F34" s="1374"/>
      <c r="G34" s="1375"/>
      <c r="H34" s="1374"/>
      <c r="I34" s="1375"/>
      <c r="J34" s="1374"/>
      <c r="K34" s="1374"/>
      <c r="L34" s="1351"/>
    </row>
    <row r="35" spans="1:13" ht="11.85" customHeight="1" x14ac:dyDescent="0.2">
      <c r="B35" s="1376" t="s">
        <v>1707</v>
      </c>
      <c r="C35" s="1376"/>
      <c r="D35" s="322"/>
      <c r="E35" s="322"/>
      <c r="F35" s="322"/>
      <c r="L35" s="1351"/>
    </row>
    <row r="36" spans="1:13" ht="9.6" customHeight="1" x14ac:dyDescent="0.2">
      <c r="B36" s="1270" t="s">
        <v>1804</v>
      </c>
      <c r="C36" s="1270"/>
      <c r="L36" s="1351"/>
    </row>
    <row r="37" spans="1:13" ht="9.6" customHeight="1" x14ac:dyDescent="0.2">
      <c r="B37" s="1270" t="s">
        <v>1805</v>
      </c>
      <c r="C37" s="1270"/>
    </row>
    <row r="38" spans="1:13" ht="11.85" customHeight="1" x14ac:dyDescent="0.2">
      <c r="B38" s="1377" t="s">
        <v>1708</v>
      </c>
      <c r="C38" s="1377"/>
    </row>
    <row r="39" spans="1:13" ht="9.6" customHeight="1" x14ac:dyDescent="0.2">
      <c r="B39" s="1270" t="s">
        <v>1286</v>
      </c>
      <c r="C39" s="1270"/>
      <c r="M39" s="1378"/>
    </row>
    <row r="40" spans="1:13" ht="12.6" customHeight="1" x14ac:dyDescent="0.2">
      <c r="B40" s="1377" t="s">
        <v>1709</v>
      </c>
      <c r="C40" s="1377"/>
      <c r="M40" s="1378"/>
    </row>
    <row r="41" spans="1:13" ht="9.6" customHeight="1" x14ac:dyDescent="0.2">
      <c r="B41" s="1270"/>
      <c r="C41" s="1270"/>
      <c r="M41" s="137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B4" sqref="B4:K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1" t="str">
        <f>'Single Audit Cover'!A7</f>
        <v>Cicero SD 99</v>
      </c>
      <c r="C1" s="2511"/>
      <c r="D1" s="2511"/>
      <c r="E1" s="2511"/>
      <c r="F1" s="2511"/>
      <c r="G1" s="2511"/>
      <c r="H1" s="2511"/>
      <c r="I1" s="2511"/>
      <c r="J1" s="2511"/>
      <c r="K1" s="2511"/>
      <c r="L1" s="1422"/>
    </row>
    <row r="2" spans="1:12" ht="12.75" customHeight="1" x14ac:dyDescent="0.2">
      <c r="B2" s="2512">
        <f>'Single Audit Cover'!E7</f>
        <v>6016099002</v>
      </c>
      <c r="C2" s="2512"/>
      <c r="D2" s="2512"/>
      <c r="E2" s="2512"/>
      <c r="F2" s="2512"/>
      <c r="G2" s="2512"/>
      <c r="H2" s="2512"/>
      <c r="I2" s="2512"/>
      <c r="J2" s="2512"/>
      <c r="K2" s="2512"/>
      <c r="L2" s="1423"/>
    </row>
    <row r="3" spans="1:12" ht="12.75" customHeight="1" x14ac:dyDescent="0.2">
      <c r="B3" s="2507" t="s">
        <v>1285</v>
      </c>
      <c r="C3" s="2507"/>
      <c r="D3" s="2507"/>
      <c r="E3" s="2507"/>
      <c r="F3" s="2507"/>
      <c r="G3" s="2507"/>
      <c r="H3" s="2507"/>
      <c r="I3" s="2507"/>
      <c r="J3" s="2507"/>
      <c r="K3" s="2507"/>
      <c r="L3" s="1347"/>
    </row>
    <row r="4" spans="1:12" ht="12.75" customHeight="1" x14ac:dyDescent="0.2">
      <c r="B4" s="2507" t="str">
        <f>'Single Audit Cover'!A4</f>
        <v>Year Ending June 30, 2019</v>
      </c>
      <c r="C4" s="2507"/>
      <c r="D4" s="2507"/>
      <c r="E4" s="2507"/>
      <c r="F4" s="2507"/>
      <c r="G4" s="2507"/>
      <c r="H4" s="2507"/>
      <c r="I4" s="2507"/>
      <c r="J4" s="2507"/>
      <c r="K4" s="2507"/>
      <c r="L4" s="1347"/>
    </row>
    <row r="5" spans="1:12" ht="5.25" customHeight="1" x14ac:dyDescent="0.2">
      <c r="B5" s="1230" t="s">
        <v>1169</v>
      </c>
      <c r="C5" s="1230"/>
      <c r="L5" s="322"/>
    </row>
    <row r="6" spans="1:12" ht="30.75" customHeight="1" x14ac:dyDescent="0.2">
      <c r="A6" s="322"/>
      <c r="B6" s="2513" t="s">
        <v>1308</v>
      </c>
      <c r="C6" s="2513"/>
      <c r="D6" s="2513"/>
      <c r="E6" s="2513"/>
      <c r="F6" s="2513"/>
      <c r="G6" s="2513"/>
      <c r="H6" s="2513"/>
      <c r="I6" s="2513"/>
      <c r="J6" s="2513"/>
      <c r="K6" s="2513"/>
      <c r="L6" s="322"/>
    </row>
    <row r="7" spans="1:12" ht="4.5" customHeight="1" x14ac:dyDescent="0.2">
      <c r="B7" s="1349"/>
      <c r="C7" s="1349"/>
      <c r="D7" s="1349"/>
      <c r="E7" s="1349"/>
      <c r="F7" s="1349"/>
      <c r="G7" s="1350"/>
      <c r="H7" s="1349"/>
      <c r="I7" s="1350"/>
      <c r="J7" s="1349"/>
      <c r="K7" s="1349"/>
      <c r="L7" s="322"/>
    </row>
    <row r="8" spans="1:12" ht="13.5" customHeight="1" x14ac:dyDescent="0.2">
      <c r="B8" s="1357" t="s">
        <v>1718</v>
      </c>
      <c r="C8" s="1424" t="s">
        <v>1950</v>
      </c>
      <c r="D8" s="1425" t="s">
        <v>2040</v>
      </c>
      <c r="E8" s="322"/>
      <c r="F8" s="1354" t="s">
        <v>1295</v>
      </c>
      <c r="G8" s="1426"/>
      <c r="H8" s="1427" t="s">
        <v>1307</v>
      </c>
      <c r="I8" s="1426"/>
      <c r="J8" s="1428" t="s">
        <v>1306</v>
      </c>
      <c r="L8" s="322"/>
    </row>
    <row r="9" spans="1:12" ht="13.5" customHeight="1" x14ac:dyDescent="0.2">
      <c r="D9" s="322"/>
      <c r="E9" s="322"/>
      <c r="F9" s="322"/>
      <c r="G9" s="1353"/>
      <c r="H9" s="322"/>
      <c r="I9" s="1429" t="s">
        <v>1292</v>
      </c>
      <c r="J9" s="322"/>
      <c r="K9" s="1430"/>
      <c r="L9" s="322"/>
    </row>
    <row r="10" spans="1:12" ht="4.5" customHeight="1" x14ac:dyDescent="0.2">
      <c r="B10" s="1431"/>
      <c r="C10" s="1431"/>
      <c r="D10" s="1384"/>
      <c r="E10" s="1384"/>
      <c r="F10" s="1384"/>
      <c r="G10" s="1385"/>
      <c r="H10" s="1384"/>
      <c r="I10" s="1385"/>
      <c r="J10" s="1384"/>
      <c r="K10" s="1384"/>
      <c r="L10" s="322"/>
    </row>
    <row r="11" spans="1:12" ht="5.25" customHeight="1" x14ac:dyDescent="0.2">
      <c r="B11" s="322"/>
      <c r="C11" s="322"/>
      <c r="D11" s="304"/>
      <c r="E11" s="322"/>
      <c r="F11" s="322"/>
      <c r="G11" s="1353"/>
      <c r="H11" s="322"/>
      <c r="I11" s="1353"/>
      <c r="J11" s="322"/>
      <c r="K11" s="1389"/>
      <c r="L11" s="322"/>
    </row>
    <row r="12" spans="1:12" ht="13.5" customHeight="1" x14ac:dyDescent="0.2">
      <c r="B12" s="1354" t="s">
        <v>1305</v>
      </c>
      <c r="C12" s="1354"/>
      <c r="D12" s="304"/>
      <c r="E12" s="322"/>
      <c r="F12" s="2491"/>
      <c r="G12" s="2491"/>
      <c r="H12" s="2491"/>
      <c r="I12" s="2491"/>
      <c r="J12" s="2491"/>
      <c r="K12" s="2491"/>
      <c r="L12" s="322"/>
    </row>
    <row r="13" spans="1:12" ht="9.6" customHeight="1" x14ac:dyDescent="0.2">
      <c r="B13" s="1227"/>
      <c r="C13" s="1227"/>
      <c r="D13" s="304"/>
      <c r="E13" s="322"/>
      <c r="F13" s="322"/>
      <c r="G13" s="1353"/>
      <c r="H13" s="322"/>
      <c r="I13" s="1353"/>
      <c r="J13" s="322"/>
      <c r="K13" s="1389"/>
      <c r="L13" s="322"/>
    </row>
    <row r="14" spans="1:12" ht="13.5" customHeight="1" x14ac:dyDescent="0.2">
      <c r="B14" s="1357" t="s">
        <v>1304</v>
      </c>
      <c r="C14" s="1357"/>
      <c r="D14" s="2514"/>
      <c r="E14" s="2514"/>
      <c r="F14" s="2514"/>
      <c r="H14" s="1432" t="s">
        <v>1303</v>
      </c>
      <c r="I14" s="2515"/>
      <c r="J14" s="2515"/>
      <c r="K14" s="2515"/>
      <c r="L14" s="322"/>
    </row>
    <row r="15" spans="1:12" ht="9.4" customHeight="1" x14ac:dyDescent="0.2">
      <c r="B15" s="1357"/>
      <c r="C15" s="1357"/>
      <c r="D15" s="1343"/>
      <c r="E15" s="1230"/>
      <c r="F15" s="1230"/>
      <c r="G15" s="1256"/>
      <c r="H15" s="1230"/>
      <c r="I15" s="1433"/>
      <c r="J15" s="1264"/>
      <c r="K15" s="1261"/>
      <c r="L15" s="322"/>
    </row>
    <row r="16" spans="1:12" ht="13.5" customHeight="1" x14ac:dyDescent="0.2">
      <c r="B16" s="1357" t="s">
        <v>1302</v>
      </c>
      <c r="C16" s="1357"/>
      <c r="D16" s="2515"/>
      <c r="E16" s="2515"/>
      <c r="F16" s="2515"/>
      <c r="G16" s="2515"/>
      <c r="H16" s="2515"/>
      <c r="I16" s="2515"/>
      <c r="J16" s="2515"/>
      <c r="K16" s="2515"/>
      <c r="L16" s="322"/>
    </row>
    <row r="17" spans="2:12" ht="13.5" customHeight="1" x14ac:dyDescent="0.2">
      <c r="B17" s="1357" t="s">
        <v>1301</v>
      </c>
      <c r="C17" s="1357"/>
      <c r="D17" s="2516"/>
      <c r="E17" s="2516"/>
      <c r="F17" s="2516"/>
      <c r="G17" s="2516"/>
      <c r="H17" s="2516"/>
      <c r="I17" s="2516"/>
      <c r="J17" s="2516"/>
      <c r="K17" s="2516"/>
      <c r="L17" s="322"/>
    </row>
    <row r="18" spans="2:12" ht="9.4" customHeight="1" x14ac:dyDescent="0.2">
      <c r="B18" s="1384"/>
      <c r="C18" s="1384"/>
      <c r="D18" s="1384"/>
      <c r="E18" s="1384"/>
      <c r="F18" s="1384"/>
      <c r="G18" s="1385"/>
      <c r="H18" s="1384"/>
      <c r="I18" s="1385"/>
      <c r="J18" s="1384"/>
      <c r="K18" s="1384"/>
      <c r="L18" s="322"/>
    </row>
    <row r="19" spans="2:12" ht="13.5" customHeight="1" x14ac:dyDescent="0.2">
      <c r="B19" s="1434" t="s">
        <v>1300</v>
      </c>
      <c r="C19" s="1434"/>
      <c r="D19" s="328"/>
      <c r="E19" s="328"/>
      <c r="F19" s="328"/>
      <c r="G19" s="1435"/>
      <c r="H19" s="328"/>
      <c r="I19" s="1435"/>
      <c r="J19" s="322"/>
      <c r="K19" s="322"/>
      <c r="L19" s="322"/>
    </row>
    <row r="20" spans="2:12" ht="35.25" customHeight="1" x14ac:dyDescent="0.2">
      <c r="B20" s="2506"/>
      <c r="C20" s="2506"/>
      <c r="D20" s="2506"/>
      <c r="E20" s="2506"/>
      <c r="F20" s="2506"/>
      <c r="G20" s="2506"/>
      <c r="H20" s="2506"/>
      <c r="I20" s="2506"/>
      <c r="J20" s="2506"/>
      <c r="K20" s="2506"/>
      <c r="L20" s="1389"/>
    </row>
    <row r="21" spans="2:12" ht="4.5" customHeight="1" x14ac:dyDescent="0.2">
      <c r="B21" s="1436"/>
      <c r="C21" s="1436"/>
      <c r="D21" s="1437"/>
      <c r="E21" s="1437"/>
      <c r="F21" s="1437"/>
      <c r="G21" s="1385"/>
      <c r="H21" s="1437"/>
      <c r="I21" s="1385"/>
      <c r="J21" s="1437"/>
      <c r="K21" s="1437"/>
      <c r="L21" s="1389"/>
    </row>
    <row r="22" spans="2:12" ht="13.35" customHeight="1" x14ac:dyDescent="0.2">
      <c r="B22" s="1434" t="s">
        <v>1719</v>
      </c>
      <c r="C22" s="1434"/>
      <c r="D22" s="322"/>
      <c r="E22" s="322"/>
      <c r="F22" s="322"/>
      <c r="G22" s="1353"/>
      <c r="H22" s="322"/>
      <c r="I22" s="1353"/>
      <c r="J22" s="322"/>
      <c r="K22" s="322"/>
      <c r="L22" s="322"/>
    </row>
    <row r="23" spans="2:12" ht="37.5" customHeight="1" x14ac:dyDescent="0.2">
      <c r="B23" s="2506"/>
      <c r="C23" s="2506"/>
      <c r="D23" s="2506"/>
      <c r="E23" s="2506"/>
      <c r="F23" s="2506"/>
      <c r="G23" s="2506"/>
      <c r="H23" s="2506"/>
      <c r="I23" s="2506"/>
      <c r="J23" s="2506"/>
      <c r="K23" s="2506"/>
      <c r="L23" s="322"/>
    </row>
    <row r="24" spans="2:12" ht="4.5" customHeight="1" x14ac:dyDescent="0.2">
      <c r="B24" s="1436"/>
      <c r="C24" s="1436"/>
      <c r="D24" s="1384"/>
      <c r="E24" s="1384"/>
      <c r="F24" s="1384"/>
      <c r="G24" s="1385"/>
      <c r="H24" s="1384"/>
      <c r="I24" s="1385"/>
      <c r="J24" s="1384"/>
      <c r="K24" s="1384"/>
      <c r="L24" s="322"/>
    </row>
    <row r="25" spans="2:12" ht="13.5" customHeight="1" x14ac:dyDescent="0.2">
      <c r="B25" s="1434" t="s">
        <v>1720</v>
      </c>
      <c r="C25" s="1434"/>
      <c r="D25" s="322"/>
      <c r="E25" s="322"/>
      <c r="F25" s="322"/>
      <c r="G25" s="1353"/>
      <c r="H25" s="322"/>
      <c r="I25" s="1353"/>
      <c r="J25" s="322"/>
      <c r="K25" s="322"/>
      <c r="L25" s="322"/>
    </row>
    <row r="26" spans="2:12" ht="37.5" customHeight="1" x14ac:dyDescent="0.2">
      <c r="B26" s="2506"/>
      <c r="C26" s="2506"/>
      <c r="D26" s="2506"/>
      <c r="E26" s="2506"/>
      <c r="F26" s="2506"/>
      <c r="G26" s="2506"/>
      <c r="H26" s="2506"/>
      <c r="I26" s="2506"/>
      <c r="J26" s="2506"/>
      <c r="K26" s="2506"/>
      <c r="L26" s="322"/>
    </row>
    <row r="27" spans="2:12" ht="4.5" customHeight="1" x14ac:dyDescent="0.2">
      <c r="B27" s="1438"/>
      <c r="C27" s="1438"/>
      <c r="D27" s="1438"/>
      <c r="E27" s="1384"/>
      <c r="F27" s="1384"/>
      <c r="G27" s="1385"/>
      <c r="H27" s="1384"/>
      <c r="I27" s="1385"/>
      <c r="J27" s="1384"/>
      <c r="K27" s="1384"/>
      <c r="L27" s="322"/>
    </row>
    <row r="28" spans="2:12" ht="13.5" customHeight="1" x14ac:dyDescent="0.2">
      <c r="B28" s="1434" t="s">
        <v>1721</v>
      </c>
      <c r="C28" s="1434"/>
      <c r="D28" s="322"/>
      <c r="E28" s="322"/>
      <c r="F28" s="322"/>
      <c r="G28" s="1353"/>
      <c r="H28" s="322"/>
      <c r="I28" s="1353"/>
      <c r="J28" s="322"/>
      <c r="K28" s="322"/>
      <c r="L28" s="322"/>
    </row>
    <row r="29" spans="2:12" ht="37.5" customHeight="1" x14ac:dyDescent="0.2">
      <c r="B29" s="2506"/>
      <c r="C29" s="2506"/>
      <c r="D29" s="2506"/>
      <c r="E29" s="2506"/>
      <c r="F29" s="2506"/>
      <c r="G29" s="2506"/>
      <c r="H29" s="2506"/>
      <c r="I29" s="2506"/>
      <c r="J29" s="2506"/>
      <c r="K29" s="2506"/>
      <c r="L29" s="322"/>
    </row>
    <row r="30" spans="2:12" ht="4.5" customHeight="1" x14ac:dyDescent="0.2">
      <c r="B30" s="1436"/>
      <c r="C30" s="1436"/>
      <c r="D30" s="1384"/>
      <c r="E30" s="1384"/>
      <c r="F30" s="1384"/>
      <c r="G30" s="1385"/>
      <c r="H30" s="1384"/>
      <c r="I30" s="1385"/>
      <c r="J30" s="1384"/>
      <c r="K30" s="1384"/>
      <c r="L30" s="322"/>
    </row>
    <row r="31" spans="2:12" ht="13.5" customHeight="1" x14ac:dyDescent="0.2">
      <c r="B31" s="1434" t="s">
        <v>1299</v>
      </c>
      <c r="C31" s="1434"/>
      <c r="D31" s="322"/>
      <c r="E31" s="322"/>
      <c r="F31" s="322"/>
      <c r="G31" s="1353"/>
      <c r="H31" s="322"/>
      <c r="I31" s="1353"/>
      <c r="J31" s="322"/>
      <c r="K31" s="322"/>
      <c r="L31" s="322"/>
    </row>
    <row r="32" spans="2:12" ht="37.5" customHeight="1" x14ac:dyDescent="0.2">
      <c r="B32" s="2506"/>
      <c r="C32" s="2506"/>
      <c r="D32" s="2506"/>
      <c r="E32" s="2506"/>
      <c r="F32" s="2506"/>
      <c r="G32" s="2506"/>
      <c r="H32" s="2506"/>
      <c r="I32" s="2506"/>
      <c r="J32" s="2506"/>
      <c r="K32" s="2506"/>
      <c r="L32" s="322"/>
    </row>
    <row r="33" spans="2:12" ht="4.5" customHeight="1" x14ac:dyDescent="0.2">
      <c r="B33" s="1436"/>
      <c r="C33" s="1436"/>
      <c r="D33" s="1384"/>
      <c r="E33" s="1384"/>
      <c r="F33" s="1384"/>
      <c r="G33" s="1385"/>
      <c r="H33" s="1384"/>
      <c r="I33" s="1385"/>
      <c r="J33" s="1384"/>
      <c r="K33" s="1384"/>
      <c r="L33" s="322"/>
    </row>
    <row r="34" spans="2:12" ht="13.5" customHeight="1" x14ac:dyDescent="0.2">
      <c r="B34" s="1354" t="s">
        <v>1298</v>
      </c>
      <c r="C34" s="1354"/>
      <c r="D34" s="322"/>
      <c r="E34" s="322"/>
      <c r="F34" s="322"/>
      <c r="G34" s="1353"/>
      <c r="H34" s="322"/>
      <c r="I34" s="1353"/>
      <c r="J34" s="322"/>
      <c r="K34" s="322"/>
      <c r="L34" s="322"/>
    </row>
    <row r="35" spans="2:12" ht="37.5" customHeight="1" x14ac:dyDescent="0.2">
      <c r="B35" s="2506"/>
      <c r="C35" s="2506"/>
      <c r="D35" s="2506"/>
      <c r="E35" s="2506"/>
      <c r="F35" s="2506"/>
      <c r="G35" s="2506"/>
      <c r="H35" s="2506"/>
      <c r="I35" s="2506"/>
      <c r="J35" s="2506"/>
      <c r="K35" s="2506"/>
      <c r="L35" s="322"/>
    </row>
    <row r="36" spans="2:12" ht="4.5" customHeight="1" x14ac:dyDescent="0.2">
      <c r="B36" s="1436"/>
      <c r="C36" s="1436"/>
      <c r="D36" s="1384"/>
      <c r="E36" s="1384"/>
      <c r="F36" s="1384"/>
      <c r="G36" s="1385"/>
      <c r="H36" s="1384"/>
      <c r="I36" s="1385"/>
      <c r="J36" s="1384"/>
      <c r="K36" s="1384"/>
      <c r="L36" s="322"/>
    </row>
    <row r="37" spans="2:12" ht="13.5" customHeight="1" x14ac:dyDescent="0.2">
      <c r="B37" s="1354" t="s">
        <v>1297</v>
      </c>
      <c r="C37" s="1354"/>
      <c r="D37" s="322"/>
      <c r="E37" s="322"/>
      <c r="F37" s="322"/>
      <c r="G37" s="1353"/>
      <c r="H37" s="322"/>
      <c r="I37" s="1353"/>
      <c r="J37" s="322"/>
      <c r="K37" s="322"/>
      <c r="L37" s="322"/>
    </row>
    <row r="38" spans="2:12" ht="35.25" customHeight="1" x14ac:dyDescent="0.2">
      <c r="B38" s="2506"/>
      <c r="C38" s="2506"/>
      <c r="D38" s="2506"/>
      <c r="E38" s="2506"/>
      <c r="F38" s="2506"/>
      <c r="G38" s="2506"/>
      <c r="H38" s="2506"/>
      <c r="I38" s="2506"/>
      <c r="J38" s="2506"/>
      <c r="K38" s="2506"/>
      <c r="L38" s="322"/>
    </row>
    <row r="39" spans="2:12" ht="4.5" customHeight="1" x14ac:dyDescent="0.2">
      <c r="B39" s="1372"/>
      <c r="C39" s="1372"/>
      <c r="D39" s="322"/>
      <c r="E39" s="322"/>
      <c r="F39" s="322"/>
      <c r="G39" s="1353"/>
      <c r="H39" s="322"/>
      <c r="I39" s="1353"/>
      <c r="J39" s="322"/>
      <c r="K39" s="322"/>
      <c r="L39" s="322"/>
    </row>
    <row r="40" spans="2:12" s="322" customFormat="1" ht="13.5" customHeight="1" x14ac:dyDescent="0.2">
      <c r="B40" s="1373" t="s">
        <v>1722</v>
      </c>
      <c r="C40" s="1373"/>
      <c r="D40" s="1348"/>
      <c r="E40" s="1349"/>
      <c r="F40" s="1349"/>
      <c r="G40" s="1350"/>
      <c r="H40" s="1349"/>
      <c r="I40" s="1350"/>
      <c r="J40" s="1349"/>
      <c r="K40" s="1349"/>
    </row>
    <row r="41" spans="2:12" s="322" customFormat="1" ht="33.75" customHeight="1" x14ac:dyDescent="0.2">
      <c r="B41" s="2506"/>
      <c r="C41" s="2506"/>
      <c r="D41" s="2506"/>
      <c r="E41" s="2506"/>
      <c r="F41" s="2506"/>
      <c r="G41" s="2506"/>
      <c r="H41" s="2506"/>
      <c r="I41" s="2506"/>
      <c r="J41" s="2506"/>
      <c r="K41" s="2506"/>
    </row>
    <row r="42" spans="2:12" s="322" customFormat="1" ht="4.5" customHeight="1" x14ac:dyDescent="0.2">
      <c r="B42" s="1372"/>
      <c r="C42" s="1372"/>
      <c r="G42" s="1353"/>
      <c r="I42" s="1353"/>
    </row>
    <row r="43" spans="2:12" ht="7.5" customHeight="1" x14ac:dyDescent="0.25">
      <c r="B43" s="1439"/>
      <c r="C43" s="1439"/>
      <c r="D43" s="1440"/>
      <c r="E43" s="1440"/>
      <c r="F43" s="1440"/>
      <c r="G43" s="1441"/>
      <c r="H43" s="1440"/>
      <c r="I43" s="1441"/>
      <c r="J43" s="1440"/>
      <c r="K43" s="1440"/>
    </row>
    <row r="44" spans="2:12" ht="13.5" customHeight="1" x14ac:dyDescent="0.2">
      <c r="B44" s="1376" t="s">
        <v>1723</v>
      </c>
      <c r="C44" s="1376"/>
      <c r="D44" s="322"/>
      <c r="E44" s="322"/>
      <c r="F44" s="322"/>
    </row>
    <row r="45" spans="2:12" ht="10.5" customHeight="1" x14ac:dyDescent="0.2">
      <c r="B45" s="1377" t="s">
        <v>1724</v>
      </c>
      <c r="C45" s="1377"/>
      <c r="G45" s="317"/>
      <c r="I45" s="317"/>
    </row>
    <row r="46" spans="2:12" ht="11.1" customHeight="1" x14ac:dyDescent="0.2">
      <c r="B46" s="1377" t="s">
        <v>1725</v>
      </c>
      <c r="C46" s="1377"/>
      <c r="G46" s="317"/>
      <c r="I46" s="317"/>
    </row>
    <row r="47" spans="2:12" ht="11.1" customHeight="1" x14ac:dyDescent="0.2">
      <c r="B47" s="1377" t="s">
        <v>1726</v>
      </c>
      <c r="C47" s="1377"/>
      <c r="G47" s="317"/>
      <c r="I47" s="317"/>
    </row>
    <row r="48" spans="2:12" ht="11.1" customHeight="1" x14ac:dyDescent="0.2">
      <c r="B48" s="1377" t="s">
        <v>1727</v>
      </c>
      <c r="C48" s="1377"/>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P36" sqref="P3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2" customFormat="1" ht="12.75" customHeight="1" x14ac:dyDescent="0.2">
      <c r="B1" s="2484" t="str">
        <f>'Single Audit Cover'!A7</f>
        <v>Cicero SD 99</v>
      </c>
      <c r="C1" s="2484"/>
      <c r="D1" s="2484"/>
      <c r="E1" s="1442"/>
    </row>
    <row r="2" spans="2:5" s="1252" customFormat="1" ht="12.75" customHeight="1" x14ac:dyDescent="0.2">
      <c r="B2" s="2486">
        <f>'Single Audit Cover'!E7</f>
        <v>6016099002</v>
      </c>
      <c r="C2" s="2486"/>
      <c r="D2" s="2486"/>
      <c r="E2" s="1443"/>
    </row>
    <row r="3" spans="2:5" ht="12.75" customHeight="1" x14ac:dyDescent="0.2">
      <c r="B3" s="2507" t="s">
        <v>1728</v>
      </c>
      <c r="C3" s="2507"/>
      <c r="D3" s="2507"/>
      <c r="E3" s="1244"/>
    </row>
    <row r="4" spans="2:5" s="1252" customFormat="1" ht="12.75" customHeight="1" x14ac:dyDescent="0.2">
      <c r="B4" s="2517" t="str">
        <f>'Single Audit Cover'!A4</f>
        <v>Year Ending June 30, 2019</v>
      </c>
      <c r="C4" s="2517"/>
      <c r="D4" s="2517"/>
      <c r="E4" s="1444"/>
    </row>
    <row r="5" spans="2:5" s="1252" customFormat="1" ht="40.15" customHeight="1" x14ac:dyDescent="0.2">
      <c r="B5" s="1445" t="s">
        <v>1729</v>
      </c>
      <c r="C5" s="328"/>
      <c r="D5" s="328"/>
      <c r="E5" s="328"/>
    </row>
    <row r="6" spans="2:5" s="1252" customFormat="1" ht="13.5" customHeight="1" x14ac:dyDescent="0.2">
      <c r="B6" s="1446" t="s">
        <v>1315</v>
      </c>
      <c r="C6" s="1446" t="s">
        <v>1314</v>
      </c>
      <c r="D6" s="1446" t="s">
        <v>1730</v>
      </c>
    </row>
    <row r="7" spans="2:5" ht="13.5" customHeight="1" x14ac:dyDescent="0.2">
      <c r="B7" s="1447"/>
      <c r="C7" s="324"/>
      <c r="D7" s="324"/>
      <c r="E7" s="324"/>
    </row>
    <row r="8" spans="2:5" ht="13.5" customHeight="1" x14ac:dyDescent="0.2">
      <c r="B8" s="1447" t="s">
        <v>2118</v>
      </c>
      <c r="C8" s="324"/>
      <c r="D8" s="324"/>
      <c r="E8" s="324"/>
    </row>
    <row r="9" spans="2:5" ht="13.5" customHeight="1" x14ac:dyDescent="0.2">
      <c r="B9" s="1448"/>
      <c r="C9" s="323"/>
      <c r="D9" s="323"/>
      <c r="E9" s="323"/>
    </row>
    <row r="10" spans="2:5" ht="13.5" customHeight="1" x14ac:dyDescent="0.2">
      <c r="B10" s="1447"/>
      <c r="C10" s="323"/>
      <c r="D10" s="323"/>
      <c r="E10" s="323"/>
    </row>
    <row r="11" spans="2:5" ht="13.5" customHeight="1" x14ac:dyDescent="0.2">
      <c r="B11" s="1447"/>
      <c r="C11" s="323"/>
      <c r="D11" s="323"/>
      <c r="E11" s="323"/>
    </row>
    <row r="12" spans="2:5" ht="13.5" customHeight="1" x14ac:dyDescent="0.2">
      <c r="B12" s="1447"/>
      <c r="C12" s="323"/>
      <c r="D12" s="323"/>
      <c r="E12" s="323"/>
    </row>
    <row r="13" spans="2:5" ht="13.5" customHeight="1" x14ac:dyDescent="0.2">
      <c r="B13" s="1447"/>
      <c r="C13" s="323"/>
      <c r="D13" s="323"/>
      <c r="E13" s="323"/>
    </row>
    <row r="14" spans="2:5" ht="13.5" customHeight="1" x14ac:dyDescent="0.2">
      <c r="B14" s="1447"/>
      <c r="C14" s="323"/>
      <c r="D14" s="323"/>
      <c r="E14" s="323"/>
    </row>
    <row r="15" spans="2:5" ht="13.5" customHeight="1" x14ac:dyDescent="0.2">
      <c r="B15" s="1447"/>
      <c r="C15" s="323"/>
      <c r="D15" s="323"/>
      <c r="E15" s="323"/>
    </row>
    <row r="16" spans="2:5" ht="13.5" customHeight="1" x14ac:dyDescent="0.2">
      <c r="B16" s="1447"/>
      <c r="C16" s="323"/>
      <c r="D16" s="323"/>
      <c r="E16" s="323"/>
    </row>
    <row r="17" spans="2:5" ht="13.5" customHeight="1" x14ac:dyDescent="0.2">
      <c r="B17" s="1447"/>
      <c r="C17" s="323"/>
      <c r="D17" s="323"/>
      <c r="E17" s="323"/>
    </row>
    <row r="18" spans="2:5" ht="13.5" customHeight="1" x14ac:dyDescent="0.2">
      <c r="B18" s="1447"/>
      <c r="C18" s="323"/>
      <c r="D18" s="323"/>
      <c r="E18" s="323"/>
    </row>
    <row r="19" spans="2:5" ht="13.5" customHeight="1" x14ac:dyDescent="0.2">
      <c r="B19" s="1447"/>
      <c r="C19" s="323"/>
      <c r="D19" s="323"/>
      <c r="E19" s="323"/>
    </row>
    <row r="20" spans="2:5" ht="13.5" customHeight="1" x14ac:dyDescent="0.2">
      <c r="B20" s="1447"/>
      <c r="C20" s="323"/>
      <c r="D20" s="323"/>
      <c r="E20" s="323"/>
    </row>
    <row r="21" spans="2:5" ht="13.5" customHeight="1" x14ac:dyDescent="0.2">
      <c r="B21" s="1447"/>
      <c r="C21" s="323"/>
      <c r="D21" s="323"/>
      <c r="E21" s="323"/>
    </row>
    <row r="22" spans="2:5" ht="13.5" customHeight="1" x14ac:dyDescent="0.2">
      <c r="B22" s="1447"/>
      <c r="C22" s="323"/>
      <c r="D22" s="323"/>
      <c r="E22" s="323"/>
    </row>
    <row r="23" spans="2:5" ht="13.5" customHeight="1" x14ac:dyDescent="0.2">
      <c r="B23" s="1447"/>
      <c r="C23" s="323"/>
      <c r="D23" s="323"/>
      <c r="E23" s="323"/>
    </row>
    <row r="24" spans="2:5" ht="13.5" customHeight="1" x14ac:dyDescent="0.2">
      <c r="B24" s="1447"/>
      <c r="C24" s="323"/>
      <c r="D24" s="323"/>
      <c r="E24" s="323"/>
    </row>
    <row r="25" spans="2:5" ht="13.5" customHeight="1" x14ac:dyDescent="0.2">
      <c r="B25" s="1447"/>
      <c r="C25" s="323"/>
      <c r="D25" s="323"/>
      <c r="E25" s="323"/>
    </row>
    <row r="26" spans="2:5" ht="13.5" customHeight="1" x14ac:dyDescent="0.2">
      <c r="B26" s="1447"/>
      <c r="C26" s="323"/>
      <c r="D26" s="323"/>
      <c r="E26" s="323"/>
    </row>
    <row r="27" spans="2:5" ht="13.5" customHeight="1" x14ac:dyDescent="0.2">
      <c r="B27" s="1447"/>
      <c r="C27" s="323"/>
      <c r="D27" s="323"/>
      <c r="E27" s="323"/>
    </row>
    <row r="28" spans="2:5" ht="13.5" customHeight="1" x14ac:dyDescent="0.2">
      <c r="B28" s="1447"/>
      <c r="C28" s="323"/>
      <c r="D28" s="323"/>
      <c r="E28" s="323"/>
    </row>
    <row r="29" spans="2:5" ht="13.5" customHeight="1" x14ac:dyDescent="0.2">
      <c r="B29" s="1447"/>
      <c r="C29" s="323"/>
      <c r="D29" s="323"/>
      <c r="E29" s="323"/>
    </row>
    <row r="30" spans="2:5" ht="13.5" customHeight="1" x14ac:dyDescent="0.2">
      <c r="B30" s="1447"/>
      <c r="C30" s="323"/>
      <c r="D30" s="323"/>
      <c r="E30" s="323"/>
    </row>
    <row r="31" spans="2:5" ht="13.5" customHeight="1" x14ac:dyDescent="0.2">
      <c r="B31" s="1447"/>
      <c r="C31" s="323"/>
      <c r="D31" s="323"/>
      <c r="E31" s="323"/>
    </row>
    <row r="32" spans="2:5" ht="13.5" customHeight="1" x14ac:dyDescent="0.2">
      <c r="B32" s="1449"/>
      <c r="C32" s="323"/>
      <c r="D32" s="323"/>
      <c r="E32" s="323"/>
    </row>
    <row r="33" spans="2:5" ht="13.5" customHeight="1" x14ac:dyDescent="0.2">
      <c r="B33" s="1450"/>
      <c r="C33" s="323"/>
      <c r="D33" s="323"/>
      <c r="E33" s="323"/>
    </row>
    <row r="34" spans="2:5" ht="13.5" customHeight="1" x14ac:dyDescent="0.2">
      <c r="B34" s="1451"/>
      <c r="C34" s="323"/>
      <c r="D34" s="323"/>
      <c r="E34" s="323"/>
    </row>
    <row r="35" spans="2:5" ht="13.5" customHeight="1" x14ac:dyDescent="0.2">
      <c r="B35" s="1450"/>
      <c r="C35" s="323"/>
      <c r="D35" s="323"/>
      <c r="E35" s="323"/>
    </row>
    <row r="36" spans="2:5" ht="13.5" customHeight="1" x14ac:dyDescent="0.2">
      <c r="B36" s="1451"/>
      <c r="C36" s="323"/>
      <c r="D36" s="323"/>
      <c r="E36" s="323"/>
    </row>
    <row r="37" spans="2:5" ht="13.5" customHeight="1" x14ac:dyDescent="0.2">
      <c r="B37" s="1451"/>
      <c r="C37" s="323"/>
      <c r="D37" s="323"/>
      <c r="E37" s="323"/>
    </row>
    <row r="38" spans="2:5" ht="13.5" customHeight="1" x14ac:dyDescent="0.2">
      <c r="B38" s="1450"/>
      <c r="C38" s="323"/>
      <c r="D38" s="323"/>
      <c r="E38" s="323"/>
    </row>
    <row r="39" spans="2:5" ht="13.5" customHeight="1" x14ac:dyDescent="0.2">
      <c r="B39" s="1451"/>
      <c r="C39" s="323"/>
      <c r="D39" s="323"/>
      <c r="E39" s="323"/>
    </row>
    <row r="40" spans="2:5" ht="13.5" customHeight="1" x14ac:dyDescent="0.2">
      <c r="B40" s="1450"/>
      <c r="C40" s="323"/>
      <c r="D40" s="323"/>
      <c r="E40" s="323"/>
    </row>
    <row r="41" spans="2:5" ht="13.5" customHeight="1" x14ac:dyDescent="0.2">
      <c r="B41" s="1452"/>
      <c r="C41" s="323"/>
      <c r="D41" s="323"/>
      <c r="E41" s="323"/>
    </row>
    <row r="42" spans="2:5" ht="13.5" customHeight="1" x14ac:dyDescent="0.2">
      <c r="B42" s="1453"/>
      <c r="C42" s="323"/>
      <c r="D42" s="323"/>
      <c r="E42" s="323"/>
    </row>
    <row r="43" spans="2:5" ht="12.75" customHeight="1" x14ac:dyDescent="0.2">
      <c r="B43" s="1454"/>
      <c r="C43" s="1455"/>
      <c r="D43" s="1455"/>
      <c r="E43" s="323"/>
    </row>
    <row r="44" spans="2:5" ht="12.2" customHeight="1" x14ac:dyDescent="0.2">
      <c r="B44" s="1227" t="s">
        <v>1313</v>
      </c>
      <c r="C44" s="322"/>
    </row>
    <row r="45" spans="2:5" ht="12.2" customHeight="1" x14ac:dyDescent="0.2">
      <c r="B45" s="1456" t="s">
        <v>1731</v>
      </c>
    </row>
    <row r="46" spans="2:5" ht="12.2" customHeight="1" x14ac:dyDescent="0.2">
      <c r="B46" s="1456" t="s">
        <v>1732</v>
      </c>
    </row>
    <row r="47" spans="2:5" ht="12.2" customHeight="1" x14ac:dyDescent="0.2">
      <c r="B47" s="1457" t="s">
        <v>1312</v>
      </c>
    </row>
    <row r="48" spans="2:5" ht="12.2" customHeight="1" x14ac:dyDescent="0.2">
      <c r="B48" s="1457" t="s">
        <v>1311</v>
      </c>
    </row>
    <row r="49" spans="2:5" ht="12.2" customHeight="1" x14ac:dyDescent="0.2">
      <c r="B49" s="1457" t="s">
        <v>1310</v>
      </c>
    </row>
    <row r="50" spans="2:5" ht="12.2" customHeight="1" x14ac:dyDescent="0.2">
      <c r="B50" s="1457" t="s">
        <v>1309</v>
      </c>
    </row>
    <row r="53" spans="2:5" ht="12.75" customHeight="1" x14ac:dyDescent="0.2"/>
    <row r="54" spans="2:5" ht="12.75" customHeight="1" x14ac:dyDescent="0.2">
      <c r="B54" s="123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6"/>
    </row>
    <row r="68" spans="2:2" x14ac:dyDescent="0.2">
      <c r="B68" s="1270"/>
    </row>
    <row r="69" spans="2:2" x14ac:dyDescent="0.2">
      <c r="B69" s="1270"/>
    </row>
    <row r="70" spans="2:2" x14ac:dyDescent="0.2">
      <c r="B70" s="1377"/>
    </row>
    <row r="71" spans="2:2" x14ac:dyDescent="0.2">
      <c r="B71" s="1377"/>
    </row>
    <row r="72" spans="2:2" x14ac:dyDescent="0.2">
      <c r="B72" s="1377"/>
    </row>
    <row r="73" spans="2:2" x14ac:dyDescent="0.2">
      <c r="B73" s="1270"/>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15F47-62C0-4B01-999F-C46339E5AE6C}">
  <sheetPr>
    <tabColor rgb="FF92D050"/>
    <pageSetUpPr fitToPage="1"/>
  </sheetPr>
  <dimension ref="A1:F29"/>
  <sheetViews>
    <sheetView showGridLines="0" zoomScaleNormal="100" workbookViewId="0">
      <selection activeCell="E6" sqref="E6"/>
    </sheetView>
  </sheetViews>
  <sheetFormatPr defaultRowHeight="12.75" x14ac:dyDescent="0.2"/>
  <cols>
    <col min="1" max="1" width="8.85546875" customWidth="1"/>
    <col min="4" max="4" width="0.28515625" customWidth="1"/>
    <col min="5" max="5" width="49" customWidth="1"/>
    <col min="6" max="6" width="9.140625" customWidth="1"/>
    <col min="7" max="7" width="1.42578125" customWidth="1"/>
    <col min="8" max="8" width="9.140625" customWidth="1"/>
  </cols>
  <sheetData>
    <row r="1" spans="1:6" ht="30" x14ac:dyDescent="0.2">
      <c r="A1" s="1979"/>
      <c r="B1" s="1990"/>
      <c r="C1" s="1990"/>
      <c r="D1" s="1991" t="s">
        <v>2243</v>
      </c>
      <c r="E1" s="1990"/>
    </row>
    <row r="2" spans="1:6" x14ac:dyDescent="0.2">
      <c r="A2" s="1979"/>
      <c r="B2" s="1979"/>
      <c r="C2" s="1979"/>
      <c r="D2" s="1979"/>
      <c r="E2" s="1992" t="s">
        <v>2244</v>
      </c>
      <c r="F2" s="1993" t="s">
        <v>2246</v>
      </c>
    </row>
    <row r="3" spans="1:6" s="1979" customFormat="1" x14ac:dyDescent="0.2">
      <c r="E3" s="1993" t="s">
        <v>2245</v>
      </c>
      <c r="F3" s="1993" t="s">
        <v>2247</v>
      </c>
    </row>
    <row r="4" spans="1:6" s="1979" customFormat="1" x14ac:dyDescent="0.2"/>
    <row r="5" spans="1:6" s="1979" customFormat="1" x14ac:dyDescent="0.2"/>
    <row r="6" spans="1:6" s="1979" customFormat="1" x14ac:dyDescent="0.2"/>
    <row r="7" spans="1:6" s="1979" customFormat="1" x14ac:dyDescent="0.2"/>
    <row r="8" spans="1:6" s="1979" customFormat="1" x14ac:dyDescent="0.2"/>
    <row r="9" spans="1:6" s="1979" customFormat="1" x14ac:dyDescent="0.2"/>
    <row r="10" spans="1:6" s="1979" customFormat="1" x14ac:dyDescent="0.2"/>
    <row r="11" spans="1:6" x14ac:dyDescent="0.2">
      <c r="A11" s="1979"/>
      <c r="B11" s="2520" t="s">
        <v>2082</v>
      </c>
      <c r="C11" s="2520"/>
      <c r="D11" s="2520"/>
      <c r="E11" s="2520"/>
    </row>
    <row r="12" spans="1:6" x14ac:dyDescent="0.2">
      <c r="A12" s="1979"/>
      <c r="B12" s="2521" t="s">
        <v>2234</v>
      </c>
      <c r="C12" s="2521"/>
      <c r="D12" s="2521"/>
      <c r="E12" s="2521"/>
    </row>
    <row r="13" spans="1:6" x14ac:dyDescent="0.2">
      <c r="A13" s="1979"/>
      <c r="B13" s="2518" t="s">
        <v>1948</v>
      </c>
      <c r="C13" s="2518"/>
      <c r="D13" s="2518"/>
      <c r="E13" s="2518"/>
    </row>
    <row r="14" spans="1:6" x14ac:dyDescent="0.2">
      <c r="A14" s="1979"/>
      <c r="B14" s="1981"/>
      <c r="C14" s="1981"/>
      <c r="D14" s="1981"/>
      <c r="E14" s="1981"/>
    </row>
    <row r="15" spans="1:6" x14ac:dyDescent="0.2">
      <c r="A15" s="1979"/>
      <c r="B15" s="1984" t="s">
        <v>2235</v>
      </c>
      <c r="C15" s="1984"/>
      <c r="D15" s="1985"/>
      <c r="E15" s="1986"/>
    </row>
    <row r="16" spans="1:6" x14ac:dyDescent="0.2">
      <c r="A16" s="1979"/>
      <c r="B16" s="1981" t="s">
        <v>1169</v>
      </c>
      <c r="C16" s="1981"/>
      <c r="D16" s="1981"/>
      <c r="E16" s="1981"/>
    </row>
    <row r="17" spans="1:5" x14ac:dyDescent="0.2">
      <c r="A17" s="1979"/>
      <c r="B17" s="1980" t="s">
        <v>2236</v>
      </c>
      <c r="C17" s="1982" t="s">
        <v>1950</v>
      </c>
      <c r="D17" s="1987">
        <v>1</v>
      </c>
      <c r="E17" s="1981"/>
    </row>
    <row r="18" spans="1:5" x14ac:dyDescent="0.2">
      <c r="A18" s="1979"/>
      <c r="B18" s="1988"/>
      <c r="C18" s="1988"/>
      <c r="D18" s="1988"/>
      <c r="E18" s="1979"/>
    </row>
    <row r="19" spans="1:5" x14ac:dyDescent="0.2">
      <c r="A19" s="1979"/>
      <c r="B19" s="1980" t="s">
        <v>2237</v>
      </c>
      <c r="C19" s="1980"/>
      <c r="D19" s="1981"/>
      <c r="E19" s="1979"/>
    </row>
    <row r="20" spans="1:5" x14ac:dyDescent="0.2">
      <c r="A20" s="1979"/>
      <c r="B20" s="2519" t="s">
        <v>2119</v>
      </c>
      <c r="C20" s="2519"/>
      <c r="D20" s="2519"/>
      <c r="E20" s="2519"/>
    </row>
    <row r="21" spans="1:5" x14ac:dyDescent="0.2">
      <c r="A21" s="1979"/>
      <c r="B21" s="1981"/>
      <c r="C21" s="1981"/>
      <c r="D21" s="1981"/>
      <c r="E21" s="1979"/>
    </row>
    <row r="22" spans="1:5" x14ac:dyDescent="0.2">
      <c r="A22" s="1979"/>
      <c r="B22" s="1980" t="s">
        <v>2238</v>
      </c>
      <c r="C22" s="1980"/>
      <c r="D22" s="1981"/>
      <c r="E22" s="1979"/>
    </row>
    <row r="23" spans="1:5" x14ac:dyDescent="0.2">
      <c r="A23" s="1979"/>
      <c r="B23" s="2519" t="s">
        <v>2222</v>
      </c>
      <c r="C23" s="2519"/>
      <c r="D23" s="2519"/>
      <c r="E23" s="2519"/>
    </row>
    <row r="24" spans="1:5" x14ac:dyDescent="0.2">
      <c r="A24" s="1979"/>
      <c r="B24" s="1981"/>
      <c r="C24" s="1981"/>
      <c r="D24" s="1981"/>
      <c r="E24" s="1979"/>
    </row>
    <row r="25" spans="1:5" x14ac:dyDescent="0.2">
      <c r="A25" s="1979"/>
      <c r="B25" s="1980" t="s">
        <v>2239</v>
      </c>
      <c r="C25" s="1980"/>
      <c r="D25" s="1981"/>
      <c r="E25" s="1989">
        <v>44012</v>
      </c>
    </row>
    <row r="26" spans="1:5" x14ac:dyDescent="0.2">
      <c r="A26" s="1979"/>
      <c r="B26" s="1981"/>
      <c r="C26" s="1981"/>
      <c r="D26" s="1981"/>
      <c r="E26" s="1979"/>
    </row>
    <row r="27" spans="1:5" x14ac:dyDescent="0.2">
      <c r="A27" s="1979"/>
      <c r="B27" s="1980" t="s">
        <v>2240</v>
      </c>
      <c r="C27" s="1980"/>
      <c r="D27" s="1981"/>
      <c r="E27" s="1983" t="s">
        <v>2241</v>
      </c>
    </row>
    <row r="28" spans="1:5" x14ac:dyDescent="0.2">
      <c r="A28" s="1979"/>
      <c r="B28" s="1981"/>
      <c r="C28" s="1981"/>
      <c r="D28" s="1981"/>
      <c r="E28" s="1979"/>
    </row>
    <row r="29" spans="1:5" x14ac:dyDescent="0.2">
      <c r="A29" s="1979"/>
      <c r="B29" s="1980" t="s">
        <v>2242</v>
      </c>
      <c r="C29" s="1980"/>
      <c r="D29" s="1981"/>
      <c r="E29" s="1983" t="s">
        <v>2040</v>
      </c>
    </row>
  </sheetData>
  <mergeCells count="5">
    <mergeCell ref="B13:E13"/>
    <mergeCell ref="B20:E20"/>
    <mergeCell ref="B11:E11"/>
    <mergeCell ref="B23:E23"/>
    <mergeCell ref="B12:E12"/>
  </mergeCells>
  <pageMargins left="0.7" right="0.7" top="0.75" bottom="0.75" header="0.3" footer="0.3"/>
  <pageSetup scale="95" orientation="portrait" horizontalDpi="1200" verticalDpi="1200" r:id="rId1"/>
  <headerFooter>
    <oddHeader>&amp;L&amp;9Page 46&amp;R&amp;9Page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4"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7" t="s">
        <v>386</v>
      </c>
      <c r="B1" s="2137"/>
      <c r="C1" s="2137"/>
      <c r="D1" s="2137"/>
      <c r="E1" s="2137"/>
      <c r="F1" s="2137"/>
      <c r="G1" s="2137"/>
      <c r="H1" s="2137"/>
      <c r="I1" s="2137"/>
      <c r="J1" s="2137"/>
      <c r="K1" s="2137"/>
      <c r="L1" s="2137"/>
      <c r="M1" s="213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1617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1908</v>
      </c>
      <c r="E7" s="222"/>
      <c r="F7" s="351" t="s">
        <v>272</v>
      </c>
      <c r="G7" s="222"/>
      <c r="H7" s="222"/>
      <c r="I7" s="222"/>
      <c r="J7" s="352">
        <v>645180677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1.9220999999999999E-2</v>
      </c>
      <c r="E10" s="356" t="s">
        <v>1005</v>
      </c>
      <c r="F10" s="355">
        <v>4.9170000000000004E-3</v>
      </c>
      <c r="G10" s="356" t="s">
        <v>1005</v>
      </c>
      <c r="H10" s="355">
        <v>1.495E-3</v>
      </c>
      <c r="I10" s="356" t="s">
        <v>1006</v>
      </c>
      <c r="J10" s="1705">
        <f>ROUND(D10+F10+H10,5)</f>
        <v>2.563E-2</v>
      </c>
      <c r="K10" s="222"/>
      <c r="L10" s="355">
        <v>9.9999999999999995E-7</v>
      </c>
      <c r="M10" s="222"/>
    </row>
    <row r="11" spans="1:14" ht="7.5" customHeight="1" x14ac:dyDescent="0.2">
      <c r="B11" s="222"/>
      <c r="C11" s="222"/>
      <c r="D11" s="2147" t="str">
        <f>IF(SUM(J10)&lt;=0.0999999,"","Enter the Tax Rates by moving the decimal two places to the left.")</f>
        <v/>
      </c>
      <c r="E11" s="2148"/>
      <c r="F11" s="2148"/>
      <c r="G11" s="2148"/>
      <c r="H11" s="2148"/>
      <c r="I11" s="2148"/>
      <c r="J11" s="214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1618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06">
        <f>SUM('Acct Summary 7-8'!C8,'Acct Summary 7-8'!D8,'Acct Summary 7-8'!F8,'Acct Summary 7-8'!I8)</f>
        <v>162525131</v>
      </c>
      <c r="E16" s="356"/>
      <c r="F16" s="1706">
        <f>SUM('Acct Summary 7-8'!C17,'Acct Summary 7-8'!D17,'Acct Summary 7-8'!F17)</f>
        <v>138452341</v>
      </c>
      <c r="G16" s="356"/>
      <c r="H16" s="1706">
        <f>SUM(D16-F16)</f>
        <v>24072790</v>
      </c>
      <c r="I16" s="222"/>
      <c r="J16" s="1706">
        <f>SUM('Acct Summary 7-8'!C81,'Acct Summary 7-8'!D81,'Acct Summary 7-8'!F81,'Acct Summary 7-8'!I81)</f>
        <v>174022023</v>
      </c>
      <c r="K16" s="222"/>
      <c r="L16" s="222"/>
      <c r="M16" s="222"/>
    </row>
    <row r="17" spans="1:13" ht="12.2" customHeight="1" x14ac:dyDescent="0.2">
      <c r="A17" s="349"/>
      <c r="B17" s="260" t="s">
        <v>8</v>
      </c>
      <c r="C17" s="237" t="s">
        <v>1382</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1619</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06">
        <f>'Short-Term Long-Term Debt 24'!F4</f>
        <v>0</v>
      </c>
      <c r="E22" s="356" t="s">
        <v>1005</v>
      </c>
      <c r="F22" s="1706">
        <f>'Short-Term Long-Term Debt 24'!F15</f>
        <v>0</v>
      </c>
      <c r="G22" s="356" t="s">
        <v>1005</v>
      </c>
      <c r="H22" s="1706">
        <f>'Short-Term Long-Term Debt 24'!F21</f>
        <v>0</v>
      </c>
      <c r="I22" s="356" t="s">
        <v>1005</v>
      </c>
      <c r="J22" s="1706">
        <f>'Short-Term Long-Term Debt 24'!F23</f>
        <v>0</v>
      </c>
      <c r="K22" s="356" t="s">
        <v>1005</v>
      </c>
      <c r="L22" s="1706">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06">
        <f>'Short-Term Long-Term Debt 24'!F27</f>
        <v>0</v>
      </c>
      <c r="E24" s="356" t="s">
        <v>1006</v>
      </c>
      <c r="F24" s="1707">
        <f>SUM(D22,F22,H22,J22,L22, D24)</f>
        <v>0</v>
      </c>
      <c r="G24" s="222"/>
      <c r="H24" s="222"/>
      <c r="I24" s="222"/>
      <c r="J24" s="222"/>
      <c r="K24" s="222"/>
      <c r="L24" s="222"/>
      <c r="M24" s="222"/>
    </row>
    <row r="25" spans="1:13" ht="11.25" customHeight="1" x14ac:dyDescent="0.2">
      <c r="A25" s="349"/>
      <c r="B25" s="181" t="s">
        <v>9</v>
      </c>
      <c r="C25" s="237" t="s">
        <v>2022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2084</v>
      </c>
      <c r="C31" s="367" t="s">
        <v>586</v>
      </c>
      <c r="D31" s="237" t="s">
        <v>1072</v>
      </c>
      <c r="E31" s="222"/>
      <c r="F31" s="222"/>
      <c r="G31" s="363"/>
      <c r="H31" s="1708">
        <f>IF(B31="X",(J7*0.069),IF(B32="X",(J7*0.138),"Enter x in a.or b."))</f>
        <v>44517466.713000007</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07">
        <f>'Assets-Liab 5-6'!N36</f>
        <v>47127617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38"/>
      <c r="C54" s="2139"/>
      <c r="D54" s="2139"/>
      <c r="E54" s="2139"/>
      <c r="F54" s="2139"/>
      <c r="G54" s="2139"/>
      <c r="H54" s="2139"/>
      <c r="I54" s="2139"/>
      <c r="J54" s="2139"/>
      <c r="K54" s="2139"/>
      <c r="L54" s="2140"/>
      <c r="M54" s="380"/>
    </row>
    <row r="55" spans="1:13" ht="12.75" customHeight="1" x14ac:dyDescent="0.2">
      <c r="B55" s="2141"/>
      <c r="C55" s="2142"/>
      <c r="D55" s="2142"/>
      <c r="E55" s="2142"/>
      <c r="F55" s="2142"/>
      <c r="G55" s="2142"/>
      <c r="H55" s="2142"/>
      <c r="I55" s="2142"/>
      <c r="J55" s="2142"/>
      <c r="K55" s="2142"/>
      <c r="L55" s="2143"/>
      <c r="M55" s="380"/>
    </row>
    <row r="56" spans="1:13" ht="12.75" customHeight="1" x14ac:dyDescent="0.2">
      <c r="B56" s="2141"/>
      <c r="C56" s="2142"/>
      <c r="D56" s="2142"/>
      <c r="E56" s="2142"/>
      <c r="F56" s="2142"/>
      <c r="G56" s="2142"/>
      <c r="H56" s="2142"/>
      <c r="I56" s="2142"/>
      <c r="J56" s="2142"/>
      <c r="K56" s="2142"/>
      <c r="L56" s="2143"/>
      <c r="M56" s="222"/>
    </row>
    <row r="57" spans="1:13" ht="12.75" customHeight="1" x14ac:dyDescent="0.2">
      <c r="B57" s="2141"/>
      <c r="C57" s="2142"/>
      <c r="D57" s="2142"/>
      <c r="E57" s="2142"/>
      <c r="F57" s="2142"/>
      <c r="G57" s="2142"/>
      <c r="H57" s="2142"/>
      <c r="I57" s="2142"/>
      <c r="J57" s="2142"/>
      <c r="K57" s="2142"/>
      <c r="L57" s="2143"/>
      <c r="M57" s="222"/>
    </row>
    <row r="58" spans="1:13" x14ac:dyDescent="0.2">
      <c r="B58" s="2144"/>
      <c r="C58" s="2145"/>
      <c r="D58" s="2145"/>
      <c r="E58" s="2145"/>
      <c r="F58" s="2145"/>
      <c r="G58" s="2145"/>
      <c r="H58" s="2145"/>
      <c r="I58" s="2145"/>
      <c r="J58" s="2145"/>
      <c r="K58" s="2145"/>
      <c r="L58" s="214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9"/>
      <c r="D61" s="215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20"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AF22" sqref="AF2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52"/>
      <c r="B1" s="2153"/>
      <c r="C1" s="2153"/>
      <c r="D1" s="384"/>
      <c r="E1" s="384"/>
      <c r="F1" s="384"/>
      <c r="G1" s="384"/>
      <c r="H1" s="384"/>
      <c r="I1" s="384"/>
      <c r="J1" s="384"/>
      <c r="K1" s="384"/>
      <c r="L1" s="384"/>
      <c r="M1" s="384"/>
      <c r="N1" s="384"/>
      <c r="O1" s="2152"/>
      <c r="P1" s="2153"/>
      <c r="Q1" s="2153"/>
    </row>
    <row r="2" spans="1:18" ht="15" x14ac:dyDescent="0.2">
      <c r="A2" s="2156" t="s">
        <v>556</v>
      </c>
      <c r="B2" s="2156"/>
      <c r="C2" s="2156"/>
      <c r="D2" s="2156"/>
      <c r="E2" s="2156"/>
      <c r="F2" s="2156"/>
      <c r="G2" s="2156"/>
      <c r="H2" s="2156"/>
      <c r="I2" s="2156"/>
      <c r="J2" s="2156"/>
      <c r="K2" s="2156"/>
      <c r="L2" s="2156"/>
      <c r="M2" s="2156"/>
      <c r="N2" s="2156"/>
      <c r="O2" s="2156"/>
      <c r="P2" s="2156"/>
      <c r="Q2" s="2156"/>
      <c r="R2" s="2156"/>
    </row>
    <row r="3" spans="1:18" ht="12.75" x14ac:dyDescent="0.2">
      <c r="A3" s="2157" t="s">
        <v>1399</v>
      </c>
      <c r="B3" s="2157"/>
      <c r="C3" s="2157"/>
      <c r="D3" s="2157"/>
      <c r="E3" s="2157"/>
      <c r="F3" s="2157"/>
      <c r="G3" s="2157"/>
      <c r="H3" s="2157"/>
      <c r="I3" s="2157"/>
      <c r="J3" s="2157"/>
      <c r="K3" s="2157"/>
      <c r="L3" s="2157"/>
      <c r="M3" s="2157"/>
      <c r="N3" s="2157"/>
      <c r="O3" s="2157"/>
      <c r="P3" s="2157"/>
      <c r="Q3" s="2157"/>
      <c r="R3" s="2157"/>
    </row>
    <row r="4" spans="1:18" x14ac:dyDescent="0.2">
      <c r="A4" s="2158" t="s">
        <v>1523</v>
      </c>
      <c r="B4" s="2158"/>
      <c r="C4" s="2158"/>
      <c r="D4" s="2158"/>
      <c r="E4" s="2158"/>
      <c r="F4" s="2158"/>
      <c r="G4" s="2158"/>
      <c r="H4" s="2158"/>
      <c r="I4" s="2158"/>
      <c r="J4" s="2158"/>
      <c r="K4" s="2158"/>
      <c r="L4" s="2158"/>
      <c r="M4" s="2158"/>
      <c r="N4" s="2158"/>
      <c r="O4" s="2158"/>
      <c r="P4" s="2158"/>
      <c r="Q4" s="2158"/>
      <c r="R4" s="215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Cicero SD 99</v>
      </c>
      <c r="E7" s="391"/>
      <c r="G7" s="252"/>
      <c r="H7" s="387"/>
      <c r="I7" s="387"/>
      <c r="J7" s="387"/>
      <c r="K7" s="387"/>
      <c r="L7" s="329"/>
      <c r="M7" s="329"/>
      <c r="N7" s="329"/>
      <c r="O7" s="329"/>
      <c r="P7" s="329"/>
    </row>
    <row r="8" spans="1:18" ht="12.75" x14ac:dyDescent="0.2">
      <c r="A8" s="329"/>
      <c r="B8" s="329"/>
      <c r="C8" s="389" t="s">
        <v>1125</v>
      </c>
      <c r="D8" s="392">
        <f>COVER!A13</f>
        <v>6016099002</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174022023</v>
      </c>
      <c r="I12" s="404"/>
      <c r="J12" s="404"/>
      <c r="K12" s="405">
        <f>TRUNC((H12/H13*100000),5)/100000</f>
        <v>1.0707391646</v>
      </c>
      <c r="L12" s="406"/>
      <c r="M12" s="360" t="s">
        <v>1144</v>
      </c>
      <c r="N12" s="360"/>
      <c r="O12" s="407">
        <v>0.35</v>
      </c>
      <c r="P12" s="218"/>
      <c r="Q12" s="218"/>
    </row>
    <row r="13" spans="1:18" s="408" customFormat="1" ht="12.75" x14ac:dyDescent="0.2">
      <c r="A13" s="218"/>
      <c r="B13" s="401"/>
      <c r="C13" s="2154" t="s">
        <v>1324</v>
      </c>
      <c r="D13" s="2155"/>
      <c r="E13" s="218"/>
      <c r="F13" s="409" t="s">
        <v>793</v>
      </c>
      <c r="G13" s="402"/>
      <c r="H13" s="403">
        <f>SUM('Acct Summary 7-8'!C8+'Acct Summary 7-8'!D8+'Acct Summary 7-8'!F8+'Acct Summary 7-8'!I8)+H14</f>
        <v>162525131</v>
      </c>
      <c r="I13" s="404"/>
      <c r="J13" s="404"/>
      <c r="K13" s="410"/>
      <c r="L13" s="218"/>
      <c r="M13" s="360" t="s">
        <v>1145</v>
      </c>
      <c r="N13" s="360"/>
      <c r="O13" s="411">
        <f>(O11*O12)</f>
        <v>1.4</v>
      </c>
      <c r="P13" s="218"/>
      <c r="Q13" s="218"/>
      <c r="R13" s="412"/>
    </row>
    <row r="14" spans="1:18" s="408" customFormat="1" ht="12.75" x14ac:dyDescent="0.2">
      <c r="A14" s="218"/>
      <c r="B14" s="401"/>
      <c r="C14" s="240" t="s">
        <v>1383</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1397</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138452341</v>
      </c>
      <c r="I17" s="404"/>
      <c r="J17" s="416"/>
      <c r="K17" s="405">
        <f>TRUNC((H17/H18*100000),5)/100000</f>
        <v>0.85188266050000006</v>
      </c>
      <c r="L17" s="406"/>
      <c r="M17" s="417" t="s">
        <v>1171</v>
      </c>
      <c r="O17" s="418" t="str">
        <f>IF(AND(O16="2", J20 &gt; 2),"1",IF(AND(O16 = "1", J20 &gt; 2),"2",IF(AND(O16="1", J20 &gt;1),"1","0")))</f>
        <v>0</v>
      </c>
      <c r="P17" s="218"/>
    </row>
    <row r="18" spans="1:18" s="408" customFormat="1" ht="11.25" x14ac:dyDescent="0.2">
      <c r="A18" s="218"/>
      <c r="B18" s="401"/>
      <c r="C18" s="2154" t="s">
        <v>1317</v>
      </c>
      <c r="D18" s="2155"/>
      <c r="E18" s="218"/>
      <c r="F18" s="419" t="s">
        <v>794</v>
      </c>
      <c r="G18" s="402"/>
      <c r="H18" s="403">
        <f>SUM('Acct Summary 7-8'!C8+'Acct Summary 7-8'!D8+'Acct Summary 7-8'!F8+'Acct Summary 7-8'!I8)+H19</f>
        <v>162525131</v>
      </c>
      <c r="I18" s="404"/>
      <c r="J18" s="404"/>
      <c r="K18" s="410"/>
      <c r="L18" s="218"/>
      <c r="M18" s="360" t="s">
        <v>1144</v>
      </c>
      <c r="N18" s="360"/>
      <c r="O18" s="410">
        <v>0.35</v>
      </c>
      <c r="P18" s="218"/>
    </row>
    <row r="19" spans="1:18" s="408" customFormat="1" ht="11.25" x14ac:dyDescent="0.2">
      <c r="A19" s="218"/>
      <c r="B19" s="401"/>
      <c r="C19" s="240" t="s">
        <v>1383</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1397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51" t="s">
        <v>1398</v>
      </c>
      <c r="D24" s="2151"/>
      <c r="E24" s="218"/>
      <c r="F24" s="218" t="s">
        <v>445</v>
      </c>
      <c r="G24" s="402"/>
      <c r="H24" s="403">
        <f>SUM('Assets-Liab 5-6'!C4+'Assets-Liab 5-6'!D4+'Assets-Liab 5-6'!F4+'Assets-Liab 5-6'!I4+'Assets-Liab 5-6'!C5+'Assets-Liab 5-6'!D5+'Assets-Liab 5-6'!F5+'Assets-Liab 5-6'!I5)</f>
        <v>174231483</v>
      </c>
      <c r="I24" s="422"/>
      <c r="J24" s="422"/>
      <c r="K24" s="423">
        <f>TRUNC(((H24/H25*100000)/100000),2)</f>
        <v>453.03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384589.83610999997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1891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14055583.63878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47127617</v>
      </c>
      <c r="I32" s="420"/>
      <c r="J32" s="420"/>
      <c r="K32" s="423">
        <f>TRUNC(100-((((H32/H33*100))*100)/100),2)</f>
        <v>-5.86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44517466.713000007</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1945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1492</v>
      </c>
      <c r="I40" s="408"/>
      <c r="J40" s="408"/>
      <c r="K40" s="410"/>
      <c r="L40" s="408"/>
      <c r="M40" s="408"/>
      <c r="N40" s="408"/>
      <c r="O40" s="218"/>
      <c r="P40" s="216"/>
      <c r="Q40" s="216"/>
    </row>
    <row r="41" spans="1:17" x14ac:dyDescent="0.2">
      <c r="G41" s="448"/>
      <c r="H41" s="218" t="s">
        <v>1493</v>
      </c>
      <c r="M41" s="216"/>
      <c r="O41" s="216"/>
      <c r="P41" s="216"/>
      <c r="Q41" s="216"/>
    </row>
    <row r="42" spans="1:17" x14ac:dyDescent="0.2">
      <c r="A42" s="385" t="s">
        <v>1494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20"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21" activePane="bottomLeft" state="frozen"/>
      <selection activeCell="AF22" sqref="AF22"/>
      <selection pane="bottomLeft" activeCell="K47" sqref="K47"/>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59" t="s">
        <v>1480</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6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61" t="s">
        <v>973</v>
      </c>
      <c r="B3" s="2162"/>
      <c r="C3" s="1532"/>
      <c r="D3" s="1533"/>
      <c r="E3" s="1533"/>
      <c r="F3" s="1533"/>
      <c r="G3" s="1533"/>
      <c r="H3" s="1533"/>
      <c r="I3" s="1533"/>
      <c r="J3" s="1533"/>
      <c r="K3" s="1533"/>
      <c r="L3" s="1533"/>
      <c r="M3" s="1534"/>
      <c r="N3" s="1535"/>
    </row>
    <row r="4" spans="1:14" ht="13.5" customHeight="1" x14ac:dyDescent="0.2">
      <c r="A4" s="463" t="s">
        <v>1620</v>
      </c>
      <c r="B4" s="464"/>
      <c r="C4" s="1871">
        <v>9539524</v>
      </c>
      <c r="D4" s="1872">
        <v>14381339</v>
      </c>
      <c r="E4" s="1872">
        <v>3994868</v>
      </c>
      <c r="F4" s="1872">
        <v>4721080</v>
      </c>
      <c r="G4" s="1872">
        <v>3479015</v>
      </c>
      <c r="H4" s="1872">
        <v>3408779</v>
      </c>
      <c r="I4" s="1872">
        <v>5320756</v>
      </c>
      <c r="J4" s="1873">
        <v>3093205</v>
      </c>
      <c r="K4" s="1952">
        <v>1293662</v>
      </c>
      <c r="L4" s="1872"/>
      <c r="M4" s="467"/>
      <c r="N4" s="468"/>
    </row>
    <row r="5" spans="1:14" x14ac:dyDescent="0.2">
      <c r="A5" s="463" t="s">
        <v>992</v>
      </c>
      <c r="B5" s="469">
        <v>120</v>
      </c>
      <c r="C5" s="1871">
        <v>140268784</v>
      </c>
      <c r="D5" s="1872">
        <v>0</v>
      </c>
      <c r="E5" s="1872">
        <v>0</v>
      </c>
      <c r="F5" s="1872">
        <v>0</v>
      </c>
      <c r="G5" s="1872">
        <v>0</v>
      </c>
      <c r="H5" s="1872">
        <v>4840851</v>
      </c>
      <c r="I5" s="1872">
        <v>0</v>
      </c>
      <c r="J5" s="1873">
        <v>0</v>
      </c>
      <c r="K5" s="1874">
        <v>0</v>
      </c>
      <c r="L5" s="470"/>
      <c r="M5" s="467"/>
      <c r="N5" s="468"/>
    </row>
    <row r="6" spans="1:14" ht="13.5" customHeight="1" x14ac:dyDescent="0.2">
      <c r="A6" s="471" t="s">
        <v>417</v>
      </c>
      <c r="B6" s="469">
        <v>130</v>
      </c>
      <c r="C6" s="1871">
        <v>0</v>
      </c>
      <c r="D6" s="1872">
        <v>0</v>
      </c>
      <c r="E6" s="1872">
        <v>0</v>
      </c>
      <c r="F6" s="1872">
        <v>0</v>
      </c>
      <c r="G6" s="1874">
        <v>0</v>
      </c>
      <c r="H6" s="1874">
        <v>0</v>
      </c>
      <c r="I6" s="1872">
        <v>0</v>
      </c>
      <c r="J6" s="1875">
        <v>0</v>
      </c>
      <c r="K6" s="1874">
        <v>0</v>
      </c>
      <c r="L6" s="472"/>
      <c r="M6" s="467"/>
      <c r="N6" s="468"/>
    </row>
    <row r="7" spans="1:14" ht="13.5" customHeight="1" x14ac:dyDescent="0.2">
      <c r="A7" s="471" t="s">
        <v>418</v>
      </c>
      <c r="B7" s="469">
        <v>140</v>
      </c>
      <c r="C7" s="1876">
        <v>0</v>
      </c>
      <c r="D7" s="1873">
        <v>0</v>
      </c>
      <c r="E7" s="1876">
        <v>0</v>
      </c>
      <c r="F7" s="1873">
        <v>0</v>
      </c>
      <c r="G7" s="1873">
        <v>0</v>
      </c>
      <c r="H7" s="1873">
        <v>0</v>
      </c>
      <c r="I7" s="1873">
        <v>0</v>
      </c>
      <c r="J7" s="1873">
        <v>0</v>
      </c>
      <c r="K7" s="1873">
        <v>0</v>
      </c>
      <c r="L7" s="473"/>
      <c r="M7" s="467"/>
      <c r="N7" s="468"/>
    </row>
    <row r="8" spans="1:14" ht="13.5" customHeight="1" x14ac:dyDescent="0.2">
      <c r="A8" s="471" t="s">
        <v>269</v>
      </c>
      <c r="B8" s="469">
        <v>150</v>
      </c>
      <c r="C8" s="1876">
        <v>0</v>
      </c>
      <c r="D8" s="1873">
        <v>0</v>
      </c>
      <c r="E8" s="1876">
        <v>0</v>
      </c>
      <c r="F8" s="1873">
        <v>0</v>
      </c>
      <c r="G8" s="1877">
        <v>0</v>
      </c>
      <c r="H8" s="1873">
        <v>0</v>
      </c>
      <c r="I8" s="1875">
        <v>0</v>
      </c>
      <c r="J8" s="1875">
        <v>0</v>
      </c>
      <c r="K8" s="1878">
        <v>0</v>
      </c>
      <c r="L8" s="476"/>
      <c r="M8" s="467"/>
      <c r="N8" s="468"/>
    </row>
    <row r="9" spans="1:14" ht="13.5" customHeight="1" x14ac:dyDescent="0.2">
      <c r="A9" s="471" t="s">
        <v>270</v>
      </c>
      <c r="B9" s="469">
        <v>160</v>
      </c>
      <c r="C9" s="1876">
        <v>0</v>
      </c>
      <c r="D9" s="1873">
        <v>0</v>
      </c>
      <c r="E9" s="1876">
        <v>0</v>
      </c>
      <c r="F9" s="1873">
        <v>0</v>
      </c>
      <c r="G9" s="1873">
        <v>0</v>
      </c>
      <c r="H9" s="1877">
        <v>0</v>
      </c>
      <c r="I9" s="1873">
        <v>0</v>
      </c>
      <c r="J9" s="1873">
        <v>0</v>
      </c>
      <c r="K9" s="1873">
        <v>0</v>
      </c>
      <c r="L9" s="466"/>
      <c r="M9" s="467"/>
      <c r="N9" s="468"/>
    </row>
    <row r="10" spans="1:14" ht="13.5" customHeight="1" x14ac:dyDescent="0.2">
      <c r="A10" s="471" t="s">
        <v>991</v>
      </c>
      <c r="B10" s="469">
        <v>170</v>
      </c>
      <c r="C10" s="1871">
        <v>0</v>
      </c>
      <c r="D10" s="1872">
        <v>0</v>
      </c>
      <c r="E10" s="1873">
        <v>0</v>
      </c>
      <c r="F10" s="1872">
        <v>0</v>
      </c>
      <c r="G10" s="1877">
        <v>0</v>
      </c>
      <c r="H10" s="1879">
        <v>0</v>
      </c>
      <c r="I10" s="1873">
        <v>0</v>
      </c>
      <c r="J10" s="1873">
        <v>0</v>
      </c>
      <c r="K10" s="1879">
        <v>0</v>
      </c>
      <c r="L10" s="477"/>
      <c r="M10" s="468"/>
      <c r="N10" s="468"/>
    </row>
    <row r="11" spans="1:14" ht="13.5" customHeight="1" x14ac:dyDescent="0.2">
      <c r="A11" s="471" t="s">
        <v>271</v>
      </c>
      <c r="B11" s="469">
        <v>180</v>
      </c>
      <c r="C11" s="1876">
        <v>0</v>
      </c>
      <c r="D11" s="1873">
        <v>0</v>
      </c>
      <c r="E11" s="1873">
        <v>0</v>
      </c>
      <c r="F11" s="1873">
        <v>0</v>
      </c>
      <c r="G11" s="1873">
        <v>0</v>
      </c>
      <c r="H11" s="1873">
        <v>0</v>
      </c>
      <c r="I11" s="1877">
        <v>0</v>
      </c>
      <c r="J11" s="1877">
        <v>0</v>
      </c>
      <c r="K11" s="1873">
        <v>0</v>
      </c>
      <c r="L11" s="466"/>
      <c r="M11" s="468"/>
      <c r="N11" s="468"/>
    </row>
    <row r="12" spans="1:14" ht="13.5" customHeight="1" x14ac:dyDescent="0.2">
      <c r="A12" s="471" t="s">
        <v>419</v>
      </c>
      <c r="B12" s="469">
        <v>190</v>
      </c>
      <c r="C12" s="1871">
        <v>0</v>
      </c>
      <c r="D12" s="1872">
        <v>0</v>
      </c>
      <c r="E12" s="1872">
        <v>0</v>
      </c>
      <c r="F12" s="1872">
        <v>0</v>
      </c>
      <c r="G12" s="1872">
        <v>0</v>
      </c>
      <c r="H12" s="1872">
        <v>0</v>
      </c>
      <c r="I12" s="1872">
        <v>0</v>
      </c>
      <c r="J12" s="1873">
        <v>0</v>
      </c>
      <c r="K12" s="1872">
        <v>0</v>
      </c>
      <c r="L12" s="465"/>
      <c r="M12" s="468"/>
      <c r="N12" s="468"/>
    </row>
    <row r="13" spans="1:14" ht="13.5" customHeight="1" thickBot="1" x14ac:dyDescent="0.25">
      <c r="A13" s="1709" t="s">
        <v>644</v>
      </c>
      <c r="B13" s="1682"/>
      <c r="C13" s="1710">
        <f>SUM(C4:C12)</f>
        <v>149808308</v>
      </c>
      <c r="D13" s="1710">
        <f t="shared" ref="D13:L13" si="0">SUM(D4:D12)</f>
        <v>14381339</v>
      </c>
      <c r="E13" s="1710">
        <f t="shared" si="0"/>
        <v>3994868</v>
      </c>
      <c r="F13" s="1710">
        <f t="shared" si="0"/>
        <v>4721080</v>
      </c>
      <c r="G13" s="1710">
        <f t="shared" si="0"/>
        <v>3479015</v>
      </c>
      <c r="H13" s="1710">
        <f t="shared" si="0"/>
        <v>8249630</v>
      </c>
      <c r="I13" s="1710">
        <f t="shared" si="0"/>
        <v>5320756</v>
      </c>
      <c r="J13" s="1710">
        <f t="shared" si="0"/>
        <v>3093205</v>
      </c>
      <c r="K13" s="1710">
        <f t="shared" si="0"/>
        <v>1293662</v>
      </c>
      <c r="L13" s="1710">
        <f t="shared" si="0"/>
        <v>0</v>
      </c>
      <c r="M13" s="467"/>
      <c r="N13" s="468"/>
    </row>
    <row r="14" spans="1:14" ht="18" customHeight="1" thickTop="1" x14ac:dyDescent="0.2">
      <c r="A14" s="2163" t="s">
        <v>147</v>
      </c>
      <c r="B14" s="2164"/>
      <c r="C14" s="1536"/>
      <c r="D14" s="1537"/>
      <c r="E14" s="1537"/>
      <c r="F14" s="1537"/>
      <c r="G14" s="1537"/>
      <c r="H14" s="1537"/>
      <c r="I14" s="1537"/>
      <c r="J14" s="1537"/>
      <c r="K14" s="1537"/>
      <c r="L14" s="1537"/>
      <c r="M14" s="1538"/>
      <c r="N14" s="1539"/>
    </row>
    <row r="15" spans="1:14" s="481" customFormat="1" ht="12.75" customHeight="1" x14ac:dyDescent="0.2">
      <c r="A15" s="478" t="s">
        <v>1387</v>
      </c>
      <c r="B15" s="479">
        <v>210</v>
      </c>
      <c r="C15" s="473"/>
      <c r="D15" s="473"/>
      <c r="E15" s="473"/>
      <c r="F15" s="473"/>
      <c r="G15" s="473"/>
      <c r="H15" s="473"/>
      <c r="I15" s="473"/>
      <c r="J15" s="473"/>
      <c r="K15" s="473"/>
      <c r="L15" s="473"/>
      <c r="M15" s="474"/>
      <c r="N15" s="480"/>
    </row>
    <row r="16" spans="1:14" s="481" customFormat="1" ht="12.75" customHeight="1" x14ac:dyDescent="0.2">
      <c r="A16" s="478" t="s">
        <v>1388</v>
      </c>
      <c r="B16" s="479">
        <v>220</v>
      </c>
      <c r="C16" s="473"/>
      <c r="D16" s="473"/>
      <c r="E16" s="473"/>
      <c r="F16" s="473"/>
      <c r="G16" s="473"/>
      <c r="H16" s="473"/>
      <c r="I16" s="473"/>
      <c r="J16" s="473"/>
      <c r="K16" s="473"/>
      <c r="L16" s="473"/>
      <c r="M16" s="1873">
        <v>11943510</v>
      </c>
      <c r="N16" s="480"/>
    </row>
    <row r="17" spans="1:14" s="481" customFormat="1" ht="12.75" customHeight="1" x14ac:dyDescent="0.2">
      <c r="A17" s="478" t="s">
        <v>1389</v>
      </c>
      <c r="B17" s="479">
        <v>230</v>
      </c>
      <c r="C17" s="473"/>
      <c r="D17" s="473"/>
      <c r="E17" s="473"/>
      <c r="F17" s="473"/>
      <c r="G17" s="473"/>
      <c r="H17" s="473"/>
      <c r="I17" s="473"/>
      <c r="J17" s="473"/>
      <c r="K17" s="473"/>
      <c r="L17" s="473"/>
      <c r="M17" s="1873">
        <v>261553036</v>
      </c>
      <c r="N17" s="480"/>
    </row>
    <row r="18" spans="1:14" s="481" customFormat="1" ht="12.75" customHeight="1" x14ac:dyDescent="0.2">
      <c r="A18" s="478" t="s">
        <v>1390</v>
      </c>
      <c r="B18" s="479">
        <v>240</v>
      </c>
      <c r="C18" s="473"/>
      <c r="D18" s="473"/>
      <c r="E18" s="473"/>
      <c r="F18" s="473"/>
      <c r="G18" s="473"/>
      <c r="H18" s="473"/>
      <c r="I18" s="473"/>
      <c r="J18" s="473"/>
      <c r="K18" s="473"/>
      <c r="L18" s="473"/>
      <c r="M18" s="1873">
        <v>6049462</v>
      </c>
      <c r="N18" s="480"/>
    </row>
    <row r="19" spans="1:14" s="481" customFormat="1" ht="12.75" customHeight="1" x14ac:dyDescent="0.2">
      <c r="A19" s="478" t="s">
        <v>1391</v>
      </c>
      <c r="B19" s="479">
        <v>250</v>
      </c>
      <c r="C19" s="473"/>
      <c r="D19" s="473"/>
      <c r="E19" s="473"/>
      <c r="F19" s="473"/>
      <c r="G19" s="473"/>
      <c r="H19" s="473"/>
      <c r="I19" s="473"/>
      <c r="J19" s="473"/>
      <c r="K19" s="473"/>
      <c r="L19" s="473"/>
      <c r="M19" s="1873">
        <v>29393274</v>
      </c>
      <c r="N19" s="480"/>
    </row>
    <row r="20" spans="1:14" s="481" customFormat="1" ht="12.75" customHeight="1" x14ac:dyDescent="0.2">
      <c r="A20" s="478" t="s">
        <v>1392</v>
      </c>
      <c r="B20" s="479">
        <v>260</v>
      </c>
      <c r="C20" s="473"/>
      <c r="D20" s="473"/>
      <c r="E20" s="473"/>
      <c r="F20" s="473"/>
      <c r="G20" s="473"/>
      <c r="H20" s="473"/>
      <c r="I20" s="473"/>
      <c r="J20" s="473"/>
      <c r="K20" s="473"/>
      <c r="L20" s="473"/>
      <c r="M20" s="1873">
        <v>28726776</v>
      </c>
      <c r="N20" s="480"/>
    </row>
    <row r="21" spans="1:14" s="481" customFormat="1" ht="12.75" customHeight="1" x14ac:dyDescent="0.2">
      <c r="A21" s="478" t="s">
        <v>1393</v>
      </c>
      <c r="B21" s="479">
        <v>340</v>
      </c>
      <c r="C21" s="473"/>
      <c r="D21" s="473"/>
      <c r="E21" s="473"/>
      <c r="F21" s="473"/>
      <c r="G21" s="473"/>
      <c r="H21" s="473"/>
      <c r="I21" s="473"/>
      <c r="J21" s="473"/>
      <c r="K21" s="473"/>
      <c r="L21" s="473"/>
      <c r="M21" s="482"/>
      <c r="N21" s="1873">
        <f>+E39</f>
        <v>3994868</v>
      </c>
    </row>
    <row r="22" spans="1:14" s="481" customFormat="1" ht="12.75" customHeight="1" x14ac:dyDescent="0.2">
      <c r="A22" s="478" t="s">
        <v>1394</v>
      </c>
      <c r="B22" s="479">
        <v>350</v>
      </c>
      <c r="C22" s="473"/>
      <c r="D22" s="473"/>
      <c r="E22" s="473"/>
      <c r="F22" s="473"/>
      <c r="G22" s="473"/>
      <c r="H22" s="473"/>
      <c r="I22" s="473"/>
      <c r="J22" s="473"/>
      <c r="K22" s="473"/>
      <c r="L22" s="473"/>
      <c r="M22" s="482"/>
      <c r="N22" s="483">
        <f>'Short-Term Long-Term Debt 24'!J49</f>
        <v>43132749</v>
      </c>
    </row>
    <row r="23" spans="1:14" ht="13.5" customHeight="1" thickBot="1" x14ac:dyDescent="0.25">
      <c r="A23" s="1709" t="s">
        <v>643</v>
      </c>
      <c r="B23" s="1714"/>
      <c r="C23" s="467"/>
      <c r="D23" s="467"/>
      <c r="E23" s="467"/>
      <c r="F23" s="467"/>
      <c r="G23" s="467"/>
      <c r="H23" s="467"/>
      <c r="I23" s="467"/>
      <c r="J23" s="467"/>
      <c r="K23" s="467"/>
      <c r="L23" s="467"/>
      <c r="M23" s="1661">
        <f>SUM(M15:M22)</f>
        <v>337666058</v>
      </c>
      <c r="N23" s="1661">
        <f>SUM(N21:N22)</f>
        <v>47127617</v>
      </c>
    </row>
    <row r="24" spans="1:14" ht="18" customHeight="1" thickTop="1" x14ac:dyDescent="0.2">
      <c r="A24" s="2165" t="s">
        <v>598</v>
      </c>
      <c r="B24" s="2166"/>
      <c r="C24" s="1541"/>
      <c r="D24" s="1538"/>
      <c r="E24" s="1538"/>
      <c r="F24" s="1538"/>
      <c r="G24" s="1538"/>
      <c r="H24" s="1538"/>
      <c r="I24" s="1538"/>
      <c r="J24" s="1538"/>
      <c r="K24" s="1538"/>
      <c r="L24" s="1538"/>
      <c r="M24" s="1537"/>
      <c r="N24" s="1542"/>
    </row>
    <row r="25" spans="1:14" x14ac:dyDescent="0.2">
      <c r="A25" s="471" t="s">
        <v>645</v>
      </c>
      <c r="B25" s="469">
        <v>410</v>
      </c>
      <c r="C25" s="474">
        <v>0</v>
      </c>
      <c r="D25" s="474">
        <v>0</v>
      </c>
      <c r="E25" s="474">
        <v>0</v>
      </c>
      <c r="F25" s="474">
        <v>0</v>
      </c>
      <c r="G25" s="474">
        <v>0</v>
      </c>
      <c r="H25" s="1878">
        <v>0</v>
      </c>
      <c r="I25" s="467"/>
      <c r="J25" s="474">
        <v>0</v>
      </c>
      <c r="K25" s="474">
        <v>0</v>
      </c>
      <c r="L25" s="467"/>
      <c r="M25" s="467"/>
      <c r="N25" s="467"/>
    </row>
    <row r="26" spans="1:14" x14ac:dyDescent="0.2">
      <c r="A26" s="471" t="s">
        <v>646</v>
      </c>
      <c r="B26" s="469">
        <v>420</v>
      </c>
      <c r="C26" s="1873">
        <v>0</v>
      </c>
      <c r="D26" s="1873">
        <v>0</v>
      </c>
      <c r="E26" s="1873">
        <v>0</v>
      </c>
      <c r="F26" s="1873">
        <v>0</v>
      </c>
      <c r="G26" s="1873">
        <v>0</v>
      </c>
      <c r="H26" s="1873">
        <v>0</v>
      </c>
      <c r="I26" s="1873">
        <v>0</v>
      </c>
      <c r="J26" s="1875">
        <v>0</v>
      </c>
      <c r="K26" s="1873">
        <v>0</v>
      </c>
      <c r="L26" s="467"/>
      <c r="M26" s="467"/>
      <c r="N26" s="467"/>
    </row>
    <row r="27" spans="1:14" ht="13.5" customHeight="1" x14ac:dyDescent="0.2">
      <c r="A27" s="471" t="s">
        <v>647</v>
      </c>
      <c r="B27" s="469">
        <v>430</v>
      </c>
      <c r="C27" s="1873">
        <v>0</v>
      </c>
      <c r="D27" s="1873">
        <v>0</v>
      </c>
      <c r="E27" s="1873">
        <v>0</v>
      </c>
      <c r="F27" s="1873">
        <v>0</v>
      </c>
      <c r="G27" s="1873">
        <v>0</v>
      </c>
      <c r="H27" s="1873">
        <v>0</v>
      </c>
      <c r="I27" s="1873">
        <v>0</v>
      </c>
      <c r="J27" s="1873">
        <v>0</v>
      </c>
      <c r="K27" s="1873">
        <v>0</v>
      </c>
      <c r="L27" s="467"/>
      <c r="M27" s="467"/>
      <c r="N27" s="467"/>
    </row>
    <row r="28" spans="1:14" ht="13.5" customHeight="1" x14ac:dyDescent="0.2">
      <c r="A28" s="471" t="s">
        <v>648</v>
      </c>
      <c r="B28" s="469">
        <v>440</v>
      </c>
      <c r="C28" s="1873">
        <v>0</v>
      </c>
      <c r="D28" s="1873">
        <v>0</v>
      </c>
      <c r="E28" s="1875">
        <v>0</v>
      </c>
      <c r="F28" s="1873">
        <v>0</v>
      </c>
      <c r="G28" s="1875">
        <v>0</v>
      </c>
      <c r="H28" s="1875">
        <v>0</v>
      </c>
      <c r="I28" s="1873">
        <v>0</v>
      </c>
      <c r="J28" s="1873">
        <v>0</v>
      </c>
      <c r="K28" s="1878">
        <v>0</v>
      </c>
      <c r="L28" s="467"/>
      <c r="M28" s="467"/>
      <c r="N28" s="467"/>
    </row>
    <row r="29" spans="1:14" ht="13.5" customHeight="1" x14ac:dyDescent="0.2">
      <c r="A29" s="471" t="s">
        <v>649</v>
      </c>
      <c r="B29" s="469">
        <v>460</v>
      </c>
      <c r="C29" s="1880">
        <v>0</v>
      </c>
      <c r="D29" s="1881">
        <v>0</v>
      </c>
      <c r="E29" s="1875">
        <v>0</v>
      </c>
      <c r="F29" s="1873">
        <v>0</v>
      </c>
      <c r="G29" s="1875">
        <v>0</v>
      </c>
      <c r="H29" s="1875">
        <v>0</v>
      </c>
      <c r="I29" s="1875">
        <v>0</v>
      </c>
      <c r="J29" s="1875">
        <v>0</v>
      </c>
      <c r="K29" s="1873">
        <v>0</v>
      </c>
      <c r="L29" s="467"/>
      <c r="M29" s="467"/>
      <c r="N29" s="467"/>
    </row>
    <row r="30" spans="1:14" ht="13.5" customHeight="1" x14ac:dyDescent="0.2">
      <c r="A30" s="471" t="s">
        <v>650</v>
      </c>
      <c r="B30" s="469">
        <v>470</v>
      </c>
      <c r="C30" s="1873">
        <v>0</v>
      </c>
      <c r="D30" s="1875">
        <v>0</v>
      </c>
      <c r="E30" s="1873">
        <v>0</v>
      </c>
      <c r="F30" s="1873">
        <v>0</v>
      </c>
      <c r="G30" s="1873">
        <v>0</v>
      </c>
      <c r="H30" s="1873">
        <v>0</v>
      </c>
      <c r="I30" s="1873">
        <v>0</v>
      </c>
      <c r="J30" s="1873">
        <v>0</v>
      </c>
      <c r="K30" s="474">
        <v>0</v>
      </c>
      <c r="L30" s="467"/>
      <c r="M30" s="467"/>
      <c r="N30" s="467"/>
    </row>
    <row r="31" spans="1:14" ht="13.5" customHeight="1" x14ac:dyDescent="0.2">
      <c r="A31" s="471" t="s">
        <v>651</v>
      </c>
      <c r="B31" s="469">
        <v>480</v>
      </c>
      <c r="C31" s="1872">
        <v>209460</v>
      </c>
      <c r="D31" s="1873">
        <v>0</v>
      </c>
      <c r="E31" s="1873">
        <v>0</v>
      </c>
      <c r="F31" s="1872">
        <v>0</v>
      </c>
      <c r="G31" s="1873">
        <v>0</v>
      </c>
      <c r="H31" s="1873">
        <v>0</v>
      </c>
      <c r="I31" s="1873">
        <v>0</v>
      </c>
      <c r="J31" s="1873">
        <v>0</v>
      </c>
      <c r="K31" s="1873">
        <v>0</v>
      </c>
      <c r="L31" s="467"/>
      <c r="M31" s="467"/>
      <c r="N31" s="467"/>
    </row>
    <row r="32" spans="1:14" ht="13.5" customHeight="1" x14ac:dyDescent="0.2">
      <c r="A32" s="484" t="s">
        <v>652</v>
      </c>
      <c r="B32" s="485">
        <v>490</v>
      </c>
      <c r="C32" s="1882">
        <v>0</v>
      </c>
      <c r="D32" s="1882">
        <v>0</v>
      </c>
      <c r="E32" s="1875">
        <v>0</v>
      </c>
      <c r="F32" s="1875">
        <v>0</v>
      </c>
      <c r="G32" s="1875">
        <v>0</v>
      </c>
      <c r="H32" s="1875">
        <v>0</v>
      </c>
      <c r="I32" s="1875">
        <v>0</v>
      </c>
      <c r="J32" s="1875">
        <v>0</v>
      </c>
      <c r="K32" s="1878">
        <v>0</v>
      </c>
      <c r="L32" s="467"/>
      <c r="M32" s="467"/>
      <c r="N32" s="467"/>
    </row>
    <row r="33" spans="1:14" ht="13.5" customHeight="1" x14ac:dyDescent="0.2">
      <c r="A33" s="486" t="s">
        <v>303</v>
      </c>
      <c r="B33" s="485">
        <v>493</v>
      </c>
      <c r="C33" s="1873">
        <v>0</v>
      </c>
      <c r="D33" s="1873">
        <v>0</v>
      </c>
      <c r="E33" s="1873">
        <v>0</v>
      </c>
      <c r="F33" s="1873">
        <v>0</v>
      </c>
      <c r="G33" s="1873">
        <v>0</v>
      </c>
      <c r="H33" s="1873">
        <v>0</v>
      </c>
      <c r="I33" s="1873">
        <v>0</v>
      </c>
      <c r="J33" s="1873">
        <v>0</v>
      </c>
      <c r="K33" s="1873">
        <v>0</v>
      </c>
      <c r="L33" s="1873">
        <v>0</v>
      </c>
      <c r="M33" s="467"/>
      <c r="N33" s="468"/>
    </row>
    <row r="34" spans="1:14" ht="13.5" customHeight="1" thickBot="1" x14ac:dyDescent="0.25">
      <c r="A34" s="1711" t="s">
        <v>654</v>
      </c>
      <c r="B34" s="1712"/>
      <c r="C34" s="1713">
        <f>SUM(C25:C33)</f>
        <v>209460</v>
      </c>
      <c r="D34" s="1713">
        <f t="shared" ref="D34:K34" si="1">SUM(D25:D33)</f>
        <v>0</v>
      </c>
      <c r="E34" s="1713">
        <f t="shared" si="1"/>
        <v>0</v>
      </c>
      <c r="F34" s="1713">
        <f t="shared" si="1"/>
        <v>0</v>
      </c>
      <c r="G34" s="1713">
        <f t="shared" si="1"/>
        <v>0</v>
      </c>
      <c r="H34" s="1713">
        <f t="shared" si="1"/>
        <v>0</v>
      </c>
      <c r="I34" s="1713">
        <f t="shared" si="1"/>
        <v>0</v>
      </c>
      <c r="J34" s="1713">
        <f t="shared" si="1"/>
        <v>0</v>
      </c>
      <c r="K34" s="1713">
        <f t="shared" si="1"/>
        <v>0</v>
      </c>
      <c r="L34" s="1694">
        <f>SUM(L33)</f>
        <v>0</v>
      </c>
      <c r="M34" s="467"/>
      <c r="N34" s="476"/>
    </row>
    <row r="35" spans="1:14" ht="18" customHeight="1" thickTop="1" x14ac:dyDescent="0.2">
      <c r="A35" s="2167" t="s">
        <v>529</v>
      </c>
      <c r="B35" s="2168"/>
      <c r="C35" s="1543"/>
      <c r="D35" s="1544"/>
      <c r="E35" s="1544"/>
      <c r="F35" s="1544"/>
      <c r="G35" s="1544"/>
      <c r="H35" s="1544"/>
      <c r="I35" s="1544"/>
      <c r="J35" s="1544"/>
      <c r="K35" s="1544"/>
      <c r="L35" s="1544"/>
      <c r="M35" s="1538"/>
      <c r="N35" s="1542"/>
    </row>
    <row r="36" spans="1:14" x14ac:dyDescent="0.2">
      <c r="A36" s="487" t="s">
        <v>1</v>
      </c>
      <c r="B36" s="469">
        <v>511</v>
      </c>
      <c r="C36" s="473"/>
      <c r="D36" s="473"/>
      <c r="E36" s="473"/>
      <c r="F36" s="473"/>
      <c r="G36" s="473"/>
      <c r="H36" s="473"/>
      <c r="I36" s="473"/>
      <c r="J36" s="473"/>
      <c r="K36" s="473"/>
      <c r="L36" s="467"/>
      <c r="M36" s="467"/>
      <c r="N36" s="488">
        <f>'Short-Term Long-Term Debt 24'!I49</f>
        <v>47127617</v>
      </c>
    </row>
    <row r="37" spans="1:14" ht="13.5" thickBot="1" x14ac:dyDescent="0.25">
      <c r="A37" s="1709" t="s">
        <v>653</v>
      </c>
      <c r="B37" s="1714"/>
      <c r="C37" s="473"/>
      <c r="D37" s="473"/>
      <c r="E37" s="473"/>
      <c r="F37" s="473"/>
      <c r="G37" s="473"/>
      <c r="H37" s="473"/>
      <c r="I37" s="473"/>
      <c r="J37" s="473"/>
      <c r="K37" s="473"/>
      <c r="L37" s="476"/>
      <c r="M37" s="467"/>
      <c r="N37" s="1661">
        <f>SUM(N36:N36)</f>
        <v>47127617</v>
      </c>
    </row>
    <row r="38" spans="1:14" s="329" customFormat="1" ht="13.5" customHeight="1" thickTop="1" x14ac:dyDescent="0.2">
      <c r="A38" s="489" t="s">
        <v>420</v>
      </c>
      <c r="B38" s="479">
        <v>714</v>
      </c>
      <c r="C38" s="1872"/>
      <c r="D38" s="1872"/>
      <c r="E38" s="1872"/>
      <c r="F38" s="1872"/>
      <c r="G38" s="1872"/>
      <c r="H38" s="1872"/>
      <c r="I38" s="1872"/>
      <c r="J38" s="1873"/>
      <c r="K38" s="1872"/>
      <c r="L38" s="477"/>
      <c r="M38" s="490"/>
      <c r="N38" s="490"/>
    </row>
    <row r="39" spans="1:14" s="329" customFormat="1" ht="13.5" customHeight="1" x14ac:dyDescent="0.2">
      <c r="A39" s="489" t="s">
        <v>342</v>
      </c>
      <c r="B39" s="479">
        <v>730</v>
      </c>
      <c r="C39" s="1872">
        <v>149598848</v>
      </c>
      <c r="D39" s="1872">
        <v>14381339</v>
      </c>
      <c r="E39" s="1872">
        <v>3994868</v>
      </c>
      <c r="F39" s="1872">
        <v>4721080</v>
      </c>
      <c r="G39" s="1872">
        <v>3479015</v>
      </c>
      <c r="H39" s="1872">
        <v>8249630</v>
      </c>
      <c r="I39" s="1872">
        <v>5320756</v>
      </c>
      <c r="J39" s="1873">
        <v>3093205</v>
      </c>
      <c r="K39" s="1872">
        <v>1293662</v>
      </c>
      <c r="L39" s="1872">
        <v>0</v>
      </c>
      <c r="M39" s="490"/>
      <c r="N39" s="490"/>
    </row>
    <row r="40" spans="1:14" s="329" customFormat="1" ht="13.5" customHeight="1" x14ac:dyDescent="0.2">
      <c r="A40" s="491" t="s">
        <v>148</v>
      </c>
      <c r="B40" s="492"/>
      <c r="C40" s="493"/>
      <c r="D40" s="493"/>
      <c r="E40" s="493"/>
      <c r="F40" s="493"/>
      <c r="G40" s="493"/>
      <c r="H40" s="493"/>
      <c r="I40" s="493"/>
      <c r="J40" s="493"/>
      <c r="K40" s="493"/>
      <c r="L40" s="493"/>
      <c r="M40" s="1883">
        <v>337666058</v>
      </c>
      <c r="N40" s="490"/>
    </row>
    <row r="41" spans="1:14" ht="13.5" customHeight="1" thickBot="1" x14ac:dyDescent="0.25">
      <c r="A41" s="1709" t="s">
        <v>655</v>
      </c>
      <c r="B41" s="1679"/>
      <c r="C41" s="1661">
        <f>(SUM(C34,C37,C38,C39))</f>
        <v>149808308</v>
      </c>
      <c r="D41" s="1661">
        <f t="shared" ref="D41:L41" si="2">SUM(D34,D37,D38:D39)</f>
        <v>14381339</v>
      </c>
      <c r="E41" s="1661">
        <f t="shared" si="2"/>
        <v>3994868</v>
      </c>
      <c r="F41" s="1661">
        <f t="shared" si="2"/>
        <v>4721080</v>
      </c>
      <c r="G41" s="1661">
        <f t="shared" si="2"/>
        <v>3479015</v>
      </c>
      <c r="H41" s="1661">
        <f t="shared" si="2"/>
        <v>8249630</v>
      </c>
      <c r="I41" s="1661">
        <f t="shared" si="2"/>
        <v>5320756</v>
      </c>
      <c r="J41" s="1661">
        <f t="shared" si="2"/>
        <v>3093205</v>
      </c>
      <c r="K41" s="1661">
        <f t="shared" si="2"/>
        <v>1293662</v>
      </c>
      <c r="L41" s="1661">
        <f t="shared" si="2"/>
        <v>0</v>
      </c>
      <c r="M41" s="1661">
        <f>SUM(M40)</f>
        <v>337666058</v>
      </c>
      <c r="N41" s="1661">
        <f>SUM(N37)</f>
        <v>47127617</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20"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view="pageBreakPreview" colorId="8" zoomScaleNormal="110" zoomScaleSheetLayoutView="100" workbookViewId="0">
      <pane ySplit="2" topLeftCell="A3" activePane="bottomLeft" state="frozen"/>
      <selection activeCell="AF22" sqref="AF22"/>
      <selection pane="bottomLeft" activeCell="K9" sqref="K9"/>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77" t="s">
        <v>1621</v>
      </c>
      <c r="B1" s="452"/>
      <c r="C1" s="497" t="s">
        <v>425</v>
      </c>
      <c r="D1" s="497" t="s">
        <v>426</v>
      </c>
      <c r="E1" s="497" t="s">
        <v>427</v>
      </c>
      <c r="F1" s="497" t="s">
        <v>428</v>
      </c>
      <c r="G1" s="497" t="s">
        <v>429</v>
      </c>
      <c r="H1" s="497" t="s">
        <v>430</v>
      </c>
      <c r="I1" s="497" t="s">
        <v>431</v>
      </c>
      <c r="J1" s="497" t="s">
        <v>432</v>
      </c>
      <c r="K1" s="497" t="s">
        <v>756</v>
      </c>
      <c r="L1" s="494"/>
    </row>
    <row r="2" spans="1:13" s="498" customFormat="1" ht="37.5" customHeight="1" x14ac:dyDescent="0.2">
      <c r="A2" s="2178"/>
      <c r="B2" s="458" t="s">
        <v>378</v>
      </c>
      <c r="C2" s="459" t="s">
        <v>1155</v>
      </c>
      <c r="D2" s="459" t="s">
        <v>870</v>
      </c>
      <c r="E2" s="459" t="s">
        <v>438</v>
      </c>
      <c r="F2" s="459" t="s">
        <v>155</v>
      </c>
      <c r="G2" s="459" t="s">
        <v>989</v>
      </c>
      <c r="H2" s="459" t="s">
        <v>437</v>
      </c>
      <c r="I2" s="459" t="s">
        <v>407</v>
      </c>
      <c r="J2" s="459" t="s">
        <v>436</v>
      </c>
      <c r="K2" s="459" t="s">
        <v>157</v>
      </c>
      <c r="L2" s="495"/>
    </row>
    <row r="3" spans="1:13" s="500" customFormat="1" ht="16.7" customHeight="1" x14ac:dyDescent="0.2">
      <c r="A3" s="2189" t="s">
        <v>1175</v>
      </c>
      <c r="B3" s="2190"/>
      <c r="C3" s="1546"/>
      <c r="D3" s="1547"/>
      <c r="E3" s="1547"/>
      <c r="F3" s="1547"/>
      <c r="G3" s="1547"/>
      <c r="H3" s="1547"/>
      <c r="I3" s="1547"/>
      <c r="J3" s="1547"/>
      <c r="K3" s="1548"/>
      <c r="L3" s="499"/>
    </row>
    <row r="4" spans="1:13" ht="15.75" customHeight="1" x14ac:dyDescent="0.2">
      <c r="A4" s="1861" t="s">
        <v>1485</v>
      </c>
      <c r="B4" s="1862">
        <v>1000</v>
      </c>
      <c r="C4" s="1715">
        <f>'Revenues 9-14'!C109</f>
        <v>16974797</v>
      </c>
      <c r="D4" s="1715">
        <f>'Revenues 9-14'!D109</f>
        <v>4635462</v>
      </c>
      <c r="E4" s="1715">
        <f>'Revenues 9-14'!E109</f>
        <v>5880527</v>
      </c>
      <c r="F4" s="1715">
        <f>'Revenues 9-14'!F109</f>
        <v>1009706</v>
      </c>
      <c r="G4" s="1715">
        <f>'Revenues 9-14'!G109</f>
        <v>4225110</v>
      </c>
      <c r="H4" s="1715">
        <f>'Revenues 9-14'!H109</f>
        <v>745352</v>
      </c>
      <c r="I4" s="1715">
        <f>'Revenues 9-14'!I109</f>
        <v>95956</v>
      </c>
      <c r="J4" s="1715">
        <f>'Revenues 9-14'!J109</f>
        <v>1577972</v>
      </c>
      <c r="K4" s="1715">
        <f>'Revenues 9-14'!K109</f>
        <v>70574</v>
      </c>
      <c r="L4" s="347"/>
    </row>
    <row r="5" spans="1:13" ht="15.75" customHeight="1" x14ac:dyDescent="0.2">
      <c r="A5" s="1549" t="s">
        <v>1486</v>
      </c>
      <c r="B5" s="1550">
        <v>2000</v>
      </c>
      <c r="C5" s="1716">
        <f>'Revenues 9-14'!C114</f>
        <v>0</v>
      </c>
      <c r="D5" s="1716">
        <f>'Revenues 9-14'!D114</f>
        <v>0</v>
      </c>
      <c r="E5" s="501"/>
      <c r="F5" s="1716">
        <f>'Revenues 9-14'!F114</f>
        <v>0</v>
      </c>
      <c r="G5" s="1716">
        <f>'Revenues 9-14'!G114</f>
        <v>0</v>
      </c>
      <c r="H5" s="502" t="s">
        <v>1169</v>
      </c>
      <c r="I5" s="503" t="s">
        <v>1169</v>
      </c>
      <c r="J5" s="504" t="s">
        <v>1169</v>
      </c>
      <c r="K5" s="505" t="s">
        <v>1169</v>
      </c>
      <c r="L5" s="347"/>
    </row>
    <row r="6" spans="1:13" ht="15.75" customHeight="1" x14ac:dyDescent="0.2">
      <c r="A6" s="1549" t="s">
        <v>1487</v>
      </c>
      <c r="B6" s="1551">
        <v>3000</v>
      </c>
      <c r="C6" s="1716">
        <f>'Revenues 9-14'!C170</f>
        <v>111554875</v>
      </c>
      <c r="D6" s="1716">
        <f>'Revenues 9-14'!D170</f>
        <v>8000000</v>
      </c>
      <c r="E6" s="1716">
        <f>'Revenues 9-14'!E170</f>
        <v>0</v>
      </c>
      <c r="F6" s="1716">
        <f>'Revenues 9-14'!F170</f>
        <v>2816687</v>
      </c>
      <c r="G6" s="1716">
        <f>'Revenues 9-14'!G170</f>
        <v>0</v>
      </c>
      <c r="H6" s="1716">
        <f>'Revenues 9-14'!H170</f>
        <v>0</v>
      </c>
      <c r="I6" s="1716">
        <f>'Revenues 9-14'!I170</f>
        <v>0</v>
      </c>
      <c r="J6" s="1716">
        <f>'Revenues 9-14'!J170</f>
        <v>0</v>
      </c>
      <c r="K6" s="1716">
        <f>'Revenues 9-14'!K170</f>
        <v>0</v>
      </c>
      <c r="L6" s="347"/>
      <c r="M6" s="506"/>
    </row>
    <row r="7" spans="1:13" ht="15.75" customHeight="1" x14ac:dyDescent="0.2">
      <c r="A7" s="1549" t="s">
        <v>1488</v>
      </c>
      <c r="B7" s="1551">
        <v>4000</v>
      </c>
      <c r="C7" s="1716">
        <f>'Revenues 9-14'!C267</f>
        <v>17437648</v>
      </c>
      <c r="D7" s="1716">
        <f>'Revenues 9-14'!D267</f>
        <v>0</v>
      </c>
      <c r="E7" s="1716">
        <f>'Revenues 9-14'!E267</f>
        <v>1467193</v>
      </c>
      <c r="F7" s="1716">
        <f>'Revenues 9-14'!F267</f>
        <v>0</v>
      </c>
      <c r="G7" s="1716">
        <f>'Revenues 9-14'!G267</f>
        <v>0</v>
      </c>
      <c r="H7" s="1716">
        <f>'Revenues 9-14'!H267</f>
        <v>0</v>
      </c>
      <c r="I7" s="1716">
        <f>'Revenues 9-14'!I267</f>
        <v>0</v>
      </c>
      <c r="J7" s="1716">
        <f>'Revenues 9-14'!J267</f>
        <v>0</v>
      </c>
      <c r="K7" s="1716">
        <f>'Revenues 9-14'!K267</f>
        <v>0</v>
      </c>
      <c r="L7" s="347"/>
      <c r="M7" s="506"/>
    </row>
    <row r="8" spans="1:13" ht="13.5" thickBot="1" x14ac:dyDescent="0.25">
      <c r="A8" s="1709" t="s">
        <v>1172</v>
      </c>
      <c r="B8" s="1682"/>
      <c r="C8" s="1661">
        <f>SUM(C4:C7)</f>
        <v>145967320</v>
      </c>
      <c r="D8" s="1661">
        <f t="shared" ref="D8:K8" si="0">SUM(D4:D7)</f>
        <v>12635462</v>
      </c>
      <c r="E8" s="1661">
        <f t="shared" si="0"/>
        <v>7347720</v>
      </c>
      <c r="F8" s="1661">
        <f t="shared" si="0"/>
        <v>3826393</v>
      </c>
      <c r="G8" s="1661">
        <f t="shared" si="0"/>
        <v>4225110</v>
      </c>
      <c r="H8" s="1661">
        <f t="shared" si="0"/>
        <v>745352</v>
      </c>
      <c r="I8" s="1661">
        <f t="shared" si="0"/>
        <v>95956</v>
      </c>
      <c r="J8" s="1661">
        <f t="shared" si="0"/>
        <v>1577972</v>
      </c>
      <c r="K8" s="1661">
        <f t="shared" si="0"/>
        <v>70574</v>
      </c>
      <c r="L8" s="347"/>
    </row>
    <row r="9" spans="1:13" ht="15.75" thickTop="1" x14ac:dyDescent="0.2">
      <c r="A9" s="507" t="s">
        <v>1622</v>
      </c>
      <c r="B9" s="508">
        <v>3998</v>
      </c>
      <c r="C9" s="477">
        <v>49316355</v>
      </c>
      <c r="D9" s="509">
        <v>0</v>
      </c>
      <c r="E9" s="477">
        <v>0</v>
      </c>
      <c r="F9" s="477">
        <v>0</v>
      </c>
      <c r="G9" s="510">
        <v>0</v>
      </c>
      <c r="H9" s="477">
        <v>0</v>
      </c>
      <c r="I9" s="502" t="s">
        <v>1169</v>
      </c>
      <c r="J9" s="474">
        <v>0</v>
      </c>
      <c r="K9" s="477">
        <v>0</v>
      </c>
      <c r="L9" s="347"/>
    </row>
    <row r="10" spans="1:13" s="512" customFormat="1" ht="13.5" thickBot="1" x14ac:dyDescent="0.25">
      <c r="A10" s="1709" t="s">
        <v>1173</v>
      </c>
      <c r="B10" s="1682"/>
      <c r="C10" s="1661">
        <f>SUM(C8:C9)</f>
        <v>195283675</v>
      </c>
      <c r="D10" s="1661">
        <f t="shared" ref="D10:K10" si="1">SUM(D8:D9)</f>
        <v>12635462</v>
      </c>
      <c r="E10" s="1661">
        <f t="shared" si="1"/>
        <v>7347720</v>
      </c>
      <c r="F10" s="1661">
        <f t="shared" si="1"/>
        <v>3826393</v>
      </c>
      <c r="G10" s="1661">
        <f t="shared" si="1"/>
        <v>4225110</v>
      </c>
      <c r="H10" s="1661">
        <f t="shared" si="1"/>
        <v>745352</v>
      </c>
      <c r="I10" s="1661">
        <f t="shared" si="1"/>
        <v>95956</v>
      </c>
      <c r="J10" s="1661">
        <f t="shared" si="1"/>
        <v>1577972</v>
      </c>
      <c r="K10" s="1661">
        <f t="shared" si="1"/>
        <v>70574</v>
      </c>
      <c r="L10" s="511"/>
    </row>
    <row r="11" spans="1:13" s="512" customFormat="1" ht="16.7" customHeight="1" thickTop="1" x14ac:dyDescent="0.2">
      <c r="A11" s="2163" t="s">
        <v>1176</v>
      </c>
      <c r="B11" s="2164"/>
      <c r="C11" s="1543"/>
      <c r="D11" s="1544"/>
      <c r="E11" s="1544"/>
      <c r="F11" s="1544"/>
      <c r="G11" s="1544"/>
      <c r="H11" s="1544"/>
      <c r="I11" s="1544"/>
      <c r="J11" s="1544"/>
      <c r="K11" s="1545"/>
      <c r="L11" s="511"/>
    </row>
    <row r="12" spans="1:13" ht="15.75" customHeight="1" x14ac:dyDescent="0.2">
      <c r="A12" s="1549" t="s">
        <v>456</v>
      </c>
      <c r="B12" s="1551">
        <v>1000</v>
      </c>
      <c r="C12" s="1715">
        <f>'Expenditures 15-22'!K33</f>
        <v>79971733</v>
      </c>
      <c r="D12" s="513" t="s">
        <v>1169</v>
      </c>
      <c r="E12" s="467" t="s">
        <v>1169</v>
      </c>
      <c r="F12" s="467" t="s">
        <v>1169</v>
      </c>
      <c r="G12" s="1715">
        <f>'Expenditures 15-22'!K229</f>
        <v>1426626</v>
      </c>
      <c r="H12" s="514"/>
      <c r="I12" s="467" t="s">
        <v>1169</v>
      </c>
      <c r="J12" s="467" t="s">
        <v>1169</v>
      </c>
      <c r="K12" s="514" t="s">
        <v>1169</v>
      </c>
      <c r="L12" s="347"/>
    </row>
    <row r="13" spans="1:13" ht="15.75" customHeight="1" x14ac:dyDescent="0.2">
      <c r="A13" s="1549" t="s">
        <v>457</v>
      </c>
      <c r="B13" s="1551">
        <v>2000</v>
      </c>
      <c r="C13" s="1716">
        <f>'Expenditures 15-22'!K74</f>
        <v>42205088</v>
      </c>
      <c r="D13" s="1716">
        <f>'Expenditures 15-22'!K129</f>
        <v>10253431</v>
      </c>
      <c r="E13" s="468" t="s">
        <v>1169</v>
      </c>
      <c r="F13" s="1716">
        <f>'Expenditures 15-22'!K184</f>
        <v>4554629</v>
      </c>
      <c r="G13" s="1716">
        <f>'Expenditures 15-22'!K279</f>
        <v>2750742</v>
      </c>
      <c r="H13" s="1716">
        <f>'Expenditures 15-22'!K303</f>
        <v>28128328</v>
      </c>
      <c r="I13" s="467" t="s">
        <v>1169</v>
      </c>
      <c r="J13" s="1716">
        <f>'Expenditures 15-22'!K330</f>
        <v>1488509</v>
      </c>
      <c r="K13" s="1720">
        <f>'Expenditures 15-22'!K352</f>
        <v>0</v>
      </c>
      <c r="L13" s="347"/>
    </row>
    <row r="14" spans="1:13" ht="15.75" customHeight="1" x14ac:dyDescent="0.2">
      <c r="A14" s="1549" t="s">
        <v>449</v>
      </c>
      <c r="B14" s="1551">
        <v>3000</v>
      </c>
      <c r="C14" s="1716">
        <f>'Expenditures 15-22'!K75</f>
        <v>928382</v>
      </c>
      <c r="D14" s="1716">
        <f>'Expenditures 15-22'!K130</f>
        <v>0</v>
      </c>
      <c r="E14" s="513" t="s">
        <v>1169</v>
      </c>
      <c r="F14" s="1716">
        <f>'Expenditures 15-22'!K185</f>
        <v>0</v>
      </c>
      <c r="G14" s="1716">
        <f>'Expenditures 15-22'!K280</f>
        <v>15706</v>
      </c>
      <c r="H14" s="505"/>
      <c r="I14" s="467" t="s">
        <v>1169</v>
      </c>
      <c r="J14" s="467" t="s">
        <v>1169</v>
      </c>
      <c r="K14" s="505" t="s">
        <v>1169</v>
      </c>
      <c r="L14" s="347"/>
    </row>
    <row r="15" spans="1:13" ht="15.75" customHeight="1" x14ac:dyDescent="0.2">
      <c r="A15" s="1549" t="s">
        <v>107</v>
      </c>
      <c r="B15" s="1551">
        <v>4000</v>
      </c>
      <c r="C15" s="1716">
        <f>'Expenditures 15-22'!K102</f>
        <v>539078</v>
      </c>
      <c r="D15" s="1716">
        <f>'Expenditures 15-22'!K139</f>
        <v>0</v>
      </c>
      <c r="E15" s="1716">
        <f>'Expenditures 15-22'!K160</f>
        <v>0</v>
      </c>
      <c r="F15" s="1716">
        <f>'Expenditures 15-22'!K196</f>
        <v>0</v>
      </c>
      <c r="G15" s="1716">
        <f>'Expenditures 15-22'!K285</f>
        <v>0</v>
      </c>
      <c r="H15" s="1716">
        <f>'Expenditures 15-22'!K310</f>
        <v>0</v>
      </c>
      <c r="I15" s="467" t="s">
        <v>1169</v>
      </c>
      <c r="J15" s="1808">
        <f>'Expenditures 15-22'!K334</f>
        <v>0</v>
      </c>
      <c r="K15" s="1716">
        <f>'Expenditures 15-22'!K357</f>
        <v>0</v>
      </c>
      <c r="L15" s="347"/>
    </row>
    <row r="16" spans="1:13" ht="15.75" customHeight="1" x14ac:dyDescent="0.2">
      <c r="A16" s="1549" t="s">
        <v>450</v>
      </c>
      <c r="B16" s="1551">
        <v>5000</v>
      </c>
      <c r="C16" s="1716">
        <f>'Expenditures 15-22'!K112</f>
        <v>0</v>
      </c>
      <c r="D16" s="1716">
        <f>'Expenditures 15-22'!K149</f>
        <v>0</v>
      </c>
      <c r="E16" s="1716">
        <f>'Expenditures 15-22'!K172</f>
        <v>7722014</v>
      </c>
      <c r="F16" s="1716">
        <f>'Expenditures 15-22'!K208</f>
        <v>0</v>
      </c>
      <c r="G16" s="1716">
        <f>'Expenditures 15-22'!K293</f>
        <v>0</v>
      </c>
      <c r="H16" s="516"/>
      <c r="I16" s="467" t="s">
        <v>1169</v>
      </c>
      <c r="J16" s="1721">
        <f>'Expenditures 15-22'!K340</f>
        <v>0</v>
      </c>
      <c r="K16" s="1716">
        <f>'Expenditures 15-22'!K365</f>
        <v>0</v>
      </c>
      <c r="L16" s="347"/>
    </row>
    <row r="17" spans="1:12" ht="13.5" thickBot="1" x14ac:dyDescent="0.25">
      <c r="A17" s="1681" t="s">
        <v>48</v>
      </c>
      <c r="B17" s="1682"/>
      <c r="C17" s="1661">
        <f t="shared" ref="C17:H17" si="2">SUM(C12:C16)</f>
        <v>123644281</v>
      </c>
      <c r="D17" s="1661">
        <f t="shared" si="2"/>
        <v>10253431</v>
      </c>
      <c r="E17" s="1661">
        <f t="shared" si="2"/>
        <v>7722014</v>
      </c>
      <c r="F17" s="1661">
        <f t="shared" si="2"/>
        <v>4554629</v>
      </c>
      <c r="G17" s="1661">
        <f t="shared" si="2"/>
        <v>4193074</v>
      </c>
      <c r="H17" s="1661">
        <f t="shared" si="2"/>
        <v>28128328</v>
      </c>
      <c r="I17" s="467"/>
      <c r="J17" s="1661">
        <f>SUM(J12:J16)</f>
        <v>1488509</v>
      </c>
      <c r="K17" s="1661">
        <f>SUM(K12:K16)</f>
        <v>0</v>
      </c>
      <c r="L17" s="347"/>
    </row>
    <row r="18" spans="1:12" ht="15" customHeight="1" thickTop="1" x14ac:dyDescent="0.2">
      <c r="A18" s="1717" t="s">
        <v>1623</v>
      </c>
      <c r="B18" s="1718">
        <v>4180</v>
      </c>
      <c r="C18" s="1715">
        <f t="shared" ref="C18:H18" si="3">C9</f>
        <v>49316355</v>
      </c>
      <c r="D18" s="1715">
        <f t="shared" si="3"/>
        <v>0</v>
      </c>
      <c r="E18" s="1715">
        <f t="shared" si="3"/>
        <v>0</v>
      </c>
      <c r="F18" s="1715">
        <f t="shared" si="3"/>
        <v>0</v>
      </c>
      <c r="G18" s="1715">
        <f t="shared" si="3"/>
        <v>0</v>
      </c>
      <c r="H18" s="1715">
        <f t="shared" si="3"/>
        <v>0</v>
      </c>
      <c r="I18" s="467"/>
      <c r="J18" s="1715">
        <f>J9</f>
        <v>0</v>
      </c>
      <c r="K18" s="1715">
        <f>K9</f>
        <v>0</v>
      </c>
      <c r="L18" s="347"/>
    </row>
    <row r="19" spans="1:12" ht="13.5" thickBot="1" x14ac:dyDescent="0.25">
      <c r="A19" s="1681" t="s">
        <v>505</v>
      </c>
      <c r="B19" s="1682"/>
      <c r="C19" s="1661">
        <f t="shared" ref="C19:H19" si="4">SUM(C17:C18)</f>
        <v>172960636</v>
      </c>
      <c r="D19" s="1661">
        <f t="shared" si="4"/>
        <v>10253431</v>
      </c>
      <c r="E19" s="1661">
        <f t="shared" si="4"/>
        <v>7722014</v>
      </c>
      <c r="F19" s="1661">
        <f t="shared" si="4"/>
        <v>4554629</v>
      </c>
      <c r="G19" s="1661">
        <f t="shared" si="4"/>
        <v>4193074</v>
      </c>
      <c r="H19" s="1661">
        <f t="shared" si="4"/>
        <v>28128328</v>
      </c>
      <c r="I19" s="467"/>
      <c r="J19" s="1661">
        <f>SUM(J17:J18)</f>
        <v>1488509</v>
      </c>
      <c r="K19" s="1661">
        <f>SUM(K17:K18)</f>
        <v>0</v>
      </c>
      <c r="L19" s="347"/>
    </row>
    <row r="20" spans="1:12" ht="16.5" thickTop="1" thickBot="1" x14ac:dyDescent="0.25">
      <c r="A20" s="2179" t="s">
        <v>1624</v>
      </c>
      <c r="B20" s="2180"/>
      <c r="C20" s="1719">
        <f>C8-C17</f>
        <v>22323039</v>
      </c>
      <c r="D20" s="1719">
        <f t="shared" ref="D20:K20" si="5">D8-D17</f>
        <v>2382031</v>
      </c>
      <c r="E20" s="1719">
        <f t="shared" si="5"/>
        <v>-374294</v>
      </c>
      <c r="F20" s="1719">
        <f t="shared" si="5"/>
        <v>-728236</v>
      </c>
      <c r="G20" s="1719">
        <f t="shared" si="5"/>
        <v>32036</v>
      </c>
      <c r="H20" s="1719">
        <f t="shared" si="5"/>
        <v>-27382976</v>
      </c>
      <c r="I20" s="1719">
        <f t="shared" si="5"/>
        <v>95956</v>
      </c>
      <c r="J20" s="1719">
        <f t="shared" si="5"/>
        <v>89463</v>
      </c>
      <c r="K20" s="1719">
        <f t="shared" si="5"/>
        <v>70574</v>
      </c>
      <c r="L20" s="347"/>
    </row>
    <row r="21" spans="1:12" ht="16.7" customHeight="1" thickTop="1" x14ac:dyDescent="0.2">
      <c r="A21" s="2191" t="s">
        <v>595</v>
      </c>
      <c r="B21" s="2192"/>
      <c r="C21" s="1543"/>
      <c r="D21" s="1544"/>
      <c r="E21" s="1544"/>
      <c r="F21" s="1544"/>
      <c r="G21" s="1544"/>
      <c r="H21" s="1544"/>
      <c r="I21" s="1544"/>
      <c r="J21" s="1544"/>
      <c r="K21" s="1545"/>
      <c r="L21" s="517"/>
    </row>
    <row r="22" spans="1:12" ht="15.75" customHeight="1" collapsed="1" x14ac:dyDescent="0.2">
      <c r="A22" s="2187" t="s">
        <v>596</v>
      </c>
      <c r="B22" s="2188"/>
      <c r="C22" s="473"/>
      <c r="D22" s="473"/>
      <c r="E22" s="473"/>
      <c r="F22" s="473"/>
      <c r="G22" s="473"/>
      <c r="H22" s="473"/>
      <c r="I22" s="473"/>
      <c r="J22" s="473"/>
      <c r="K22" s="473"/>
      <c r="L22" s="347"/>
    </row>
    <row r="23" spans="1:12" s="481" customFormat="1" ht="15.75" customHeight="1" x14ac:dyDescent="0.2">
      <c r="A23" s="2183" t="s">
        <v>293</v>
      </c>
      <c r="B23" s="2184"/>
      <c r="C23" s="476"/>
      <c r="D23" s="473"/>
      <c r="E23" s="473"/>
      <c r="F23" s="473"/>
      <c r="G23" s="473"/>
      <c r="H23" s="473"/>
      <c r="I23" s="473"/>
      <c r="J23" s="473"/>
      <c r="K23" s="473"/>
      <c r="L23" s="517"/>
    </row>
    <row r="24" spans="1:12" s="481" customFormat="1" ht="13.5" customHeight="1" x14ac:dyDescent="0.2">
      <c r="A24" s="1462" t="s">
        <v>1625</v>
      </c>
      <c r="B24" s="518">
        <v>7110</v>
      </c>
      <c r="C24" s="1883"/>
      <c r="D24" s="473"/>
      <c r="E24" s="473"/>
      <c r="F24" s="473"/>
      <c r="G24" s="473"/>
      <c r="H24" s="473"/>
      <c r="I24" s="473"/>
      <c r="J24" s="473"/>
      <c r="K24" s="473"/>
      <c r="L24" s="517"/>
    </row>
    <row r="25" spans="1:12" s="481" customFormat="1" ht="13.5" customHeight="1" x14ac:dyDescent="0.2">
      <c r="A25" s="1462" t="s">
        <v>1626</v>
      </c>
      <c r="B25" s="518">
        <v>7110</v>
      </c>
      <c r="C25" s="1883">
        <v>0</v>
      </c>
      <c r="D25" s="1883">
        <v>0</v>
      </c>
      <c r="E25" s="1883">
        <v>0</v>
      </c>
      <c r="F25" s="1883">
        <v>0</v>
      </c>
      <c r="G25" s="1883">
        <v>0</v>
      </c>
      <c r="H25" s="1883">
        <v>0</v>
      </c>
      <c r="I25" s="473"/>
      <c r="J25" s="1883">
        <v>0</v>
      </c>
      <c r="K25" s="1883">
        <v>0</v>
      </c>
      <c r="L25" s="517"/>
    </row>
    <row r="26" spans="1:12" s="481" customFormat="1" ht="13.5" customHeight="1" x14ac:dyDescent="0.2">
      <c r="A26" s="1462" t="s">
        <v>184</v>
      </c>
      <c r="B26" s="479">
        <v>7120</v>
      </c>
      <c r="C26" s="1883">
        <v>0</v>
      </c>
      <c r="D26" s="1883">
        <v>0</v>
      </c>
      <c r="E26" s="1883">
        <v>0</v>
      </c>
      <c r="F26" s="1883">
        <v>0</v>
      </c>
      <c r="G26" s="1883">
        <v>25000</v>
      </c>
      <c r="H26" s="1883">
        <v>0</v>
      </c>
      <c r="I26" s="473"/>
      <c r="J26" s="1883">
        <v>0</v>
      </c>
      <c r="K26" s="1883">
        <v>0</v>
      </c>
      <c r="L26" s="517"/>
    </row>
    <row r="27" spans="1:12" s="481" customFormat="1" ht="13.5" customHeight="1" x14ac:dyDescent="0.2">
      <c r="A27" s="1462" t="s">
        <v>185</v>
      </c>
      <c r="B27" s="479">
        <v>7130</v>
      </c>
      <c r="C27" s="1883">
        <v>0</v>
      </c>
      <c r="D27" s="1883">
        <v>0</v>
      </c>
      <c r="E27" s="519"/>
      <c r="F27" s="1883">
        <v>0</v>
      </c>
      <c r="G27" s="476"/>
      <c r="H27" s="476"/>
      <c r="I27" s="476"/>
      <c r="J27" s="476"/>
      <c r="K27" s="476"/>
      <c r="L27" s="517"/>
    </row>
    <row r="28" spans="1:12" s="481" customFormat="1" ht="13.5" customHeight="1" x14ac:dyDescent="0.2">
      <c r="A28" s="1462" t="s">
        <v>1384</v>
      </c>
      <c r="B28" s="479">
        <v>7140</v>
      </c>
      <c r="C28" s="1883">
        <v>0</v>
      </c>
      <c r="D28" s="1883">
        <v>0</v>
      </c>
      <c r="E28" s="1883">
        <v>0</v>
      </c>
      <c r="F28" s="1883">
        <v>0</v>
      </c>
      <c r="G28" s="1883">
        <v>0</v>
      </c>
      <c r="H28" s="1883">
        <v>0</v>
      </c>
      <c r="I28" s="1883">
        <v>0</v>
      </c>
      <c r="J28" s="1883">
        <v>0</v>
      </c>
      <c r="K28" s="1883">
        <v>0</v>
      </c>
      <c r="L28" s="517"/>
    </row>
    <row r="29" spans="1:12" s="481" customFormat="1" ht="13.5" customHeight="1" x14ac:dyDescent="0.2">
      <c r="A29" s="1462" t="s">
        <v>294</v>
      </c>
      <c r="B29" s="479">
        <v>7150</v>
      </c>
      <c r="C29" s="472"/>
      <c r="D29" s="1883">
        <v>0</v>
      </c>
      <c r="E29" s="472"/>
      <c r="F29" s="472"/>
      <c r="G29" s="472"/>
      <c r="H29" s="472"/>
      <c r="I29" s="472"/>
      <c r="J29" s="472"/>
      <c r="K29" s="472"/>
      <c r="L29" s="517"/>
    </row>
    <row r="30" spans="1:12" s="481" customFormat="1" ht="26.25" x14ac:dyDescent="0.2">
      <c r="A30" s="1462" t="s">
        <v>1756</v>
      </c>
      <c r="B30" s="520">
        <v>7160</v>
      </c>
      <c r="C30" s="473"/>
      <c r="D30" s="1883">
        <v>0</v>
      </c>
      <c r="E30" s="473"/>
      <c r="F30" s="473"/>
      <c r="G30" s="473"/>
      <c r="H30" s="473"/>
      <c r="I30" s="473"/>
      <c r="J30" s="473"/>
      <c r="K30" s="473"/>
      <c r="L30" s="517"/>
    </row>
    <row r="31" spans="1:12" s="481" customFormat="1" ht="26.25" x14ac:dyDescent="0.2">
      <c r="A31" s="1462" t="s">
        <v>1760</v>
      </c>
      <c r="B31" s="520">
        <v>7170</v>
      </c>
      <c r="C31" s="473"/>
      <c r="D31" s="473"/>
      <c r="E31" s="1884">
        <v>0</v>
      </c>
      <c r="F31" s="473"/>
      <c r="G31" s="473"/>
      <c r="H31" s="473"/>
      <c r="I31" s="473"/>
      <c r="J31" s="473"/>
      <c r="K31" s="473"/>
      <c r="L31" s="517"/>
    </row>
    <row r="32" spans="1:12" s="481" customFormat="1" ht="15.75" customHeight="1" x14ac:dyDescent="0.2">
      <c r="A32" s="2185" t="s">
        <v>981</v>
      </c>
      <c r="B32" s="2186"/>
      <c r="C32" s="473"/>
      <c r="D32" s="473"/>
      <c r="E32" s="472"/>
      <c r="F32" s="473"/>
      <c r="G32" s="473"/>
      <c r="H32" s="473"/>
      <c r="I32" s="473"/>
      <c r="J32" s="473"/>
      <c r="K32" s="473"/>
      <c r="L32" s="517"/>
    </row>
    <row r="33" spans="1:12" s="481" customFormat="1" x14ac:dyDescent="0.2">
      <c r="A33" s="1462" t="s">
        <v>412</v>
      </c>
      <c r="B33" s="518">
        <v>7210</v>
      </c>
      <c r="C33" s="1883">
        <v>0</v>
      </c>
      <c r="D33" s="1883">
        <v>0</v>
      </c>
      <c r="E33" s="1883">
        <v>0</v>
      </c>
      <c r="F33" s="1883">
        <v>0</v>
      </c>
      <c r="G33" s="473"/>
      <c r="H33" s="1883">
        <v>0</v>
      </c>
      <c r="I33" s="1883">
        <v>0</v>
      </c>
      <c r="J33" s="1883">
        <v>0</v>
      </c>
      <c r="K33" s="1883">
        <v>0</v>
      </c>
      <c r="L33" s="517"/>
    </row>
    <row r="34" spans="1:12" s="481" customFormat="1" x14ac:dyDescent="0.2">
      <c r="A34" s="1462" t="s">
        <v>1001</v>
      </c>
      <c r="B34" s="518">
        <v>7220</v>
      </c>
      <c r="C34" s="1883">
        <v>0</v>
      </c>
      <c r="D34" s="1883">
        <v>0</v>
      </c>
      <c r="E34" s="1883">
        <v>0</v>
      </c>
      <c r="F34" s="1883">
        <v>0</v>
      </c>
      <c r="G34" s="473"/>
      <c r="H34" s="474">
        <v>0</v>
      </c>
      <c r="I34" s="474">
        <v>0</v>
      </c>
      <c r="J34" s="474">
        <v>0</v>
      </c>
      <c r="K34" s="474">
        <v>0</v>
      </c>
      <c r="L34" s="517"/>
    </row>
    <row r="35" spans="1:12" s="481" customFormat="1" x14ac:dyDescent="0.2">
      <c r="A35" s="1462" t="s">
        <v>990</v>
      </c>
      <c r="B35" s="518">
        <v>7230</v>
      </c>
      <c r="C35" s="1883">
        <v>0</v>
      </c>
      <c r="D35" s="1883">
        <v>0</v>
      </c>
      <c r="E35" s="1883">
        <v>0</v>
      </c>
      <c r="F35" s="1883">
        <v>0</v>
      </c>
      <c r="G35" s="476"/>
      <c r="H35" s="1883">
        <v>0</v>
      </c>
      <c r="I35" s="1883">
        <v>0</v>
      </c>
      <c r="J35" s="1883">
        <v>0</v>
      </c>
      <c r="K35" s="1883">
        <v>0</v>
      </c>
      <c r="L35" s="517"/>
    </row>
    <row r="36" spans="1:12" s="481" customFormat="1" ht="15" x14ac:dyDescent="0.2">
      <c r="A36" s="1462" t="s">
        <v>1627</v>
      </c>
      <c r="B36" s="518">
        <v>7300</v>
      </c>
      <c r="C36" s="1883">
        <v>0</v>
      </c>
      <c r="D36" s="1883">
        <v>0</v>
      </c>
      <c r="E36" s="1883">
        <v>0</v>
      </c>
      <c r="F36" s="1883">
        <v>0</v>
      </c>
      <c r="G36" s="1883">
        <v>0</v>
      </c>
      <c r="H36" s="1883">
        <v>0</v>
      </c>
      <c r="I36" s="472"/>
      <c r="J36" s="1883">
        <v>0</v>
      </c>
      <c r="K36" s="1883">
        <v>0</v>
      </c>
      <c r="L36" s="517"/>
    </row>
    <row r="37" spans="1:12" s="481" customFormat="1" x14ac:dyDescent="0.2">
      <c r="A37" s="1462" t="s">
        <v>441</v>
      </c>
      <c r="B37" s="518">
        <v>7400</v>
      </c>
      <c r="C37" s="472"/>
      <c r="D37" s="472"/>
      <c r="E37" s="1716">
        <f>SUM(C54:D57,H54:H57)</f>
        <v>135000</v>
      </c>
      <c r="F37" s="472"/>
      <c r="G37" s="472"/>
      <c r="H37" s="472"/>
      <c r="I37" s="473"/>
      <c r="J37" s="472"/>
      <c r="K37" s="472"/>
      <c r="L37" s="517"/>
    </row>
    <row r="38" spans="1:12" s="481" customFormat="1" x14ac:dyDescent="0.2">
      <c r="A38" s="1462" t="s">
        <v>442</v>
      </c>
      <c r="B38" s="518">
        <v>7500</v>
      </c>
      <c r="C38" s="473"/>
      <c r="D38" s="473"/>
      <c r="E38" s="1716">
        <f>SUM(C58:D61,H58:H61)</f>
        <v>0</v>
      </c>
      <c r="F38" s="473"/>
      <c r="G38" s="473"/>
      <c r="H38" s="473"/>
      <c r="I38" s="473"/>
      <c r="J38" s="473"/>
      <c r="K38" s="473"/>
      <c r="L38" s="517"/>
    </row>
    <row r="39" spans="1:12" s="481" customFormat="1" x14ac:dyDescent="0.2">
      <c r="A39" s="1462" t="s">
        <v>443</v>
      </c>
      <c r="B39" s="518">
        <v>7600</v>
      </c>
      <c r="C39" s="473"/>
      <c r="D39" s="473"/>
      <c r="E39" s="1716">
        <f>SUM(C62:D65)</f>
        <v>0</v>
      </c>
      <c r="F39" s="473"/>
      <c r="G39" s="473"/>
      <c r="H39" s="473"/>
      <c r="I39" s="473"/>
      <c r="J39" s="473"/>
      <c r="K39" s="473"/>
      <c r="L39" s="517"/>
    </row>
    <row r="40" spans="1:12" s="481" customFormat="1" ht="13.5" customHeight="1" x14ac:dyDescent="0.2">
      <c r="A40" s="1462" t="s">
        <v>642</v>
      </c>
      <c r="B40" s="479">
        <v>7700</v>
      </c>
      <c r="C40" s="473"/>
      <c r="D40" s="473"/>
      <c r="E40" s="1716">
        <f>SUM(C66:D69)</f>
        <v>0</v>
      </c>
      <c r="F40" s="473"/>
      <c r="G40" s="473"/>
      <c r="H40" s="476"/>
      <c r="I40" s="473"/>
      <c r="J40" s="473"/>
      <c r="K40" s="473"/>
      <c r="L40" s="517"/>
    </row>
    <row r="41" spans="1:12" s="481" customFormat="1" ht="13.5" customHeight="1" x14ac:dyDescent="0.2">
      <c r="A41" s="1462" t="s">
        <v>640</v>
      </c>
      <c r="B41" s="479">
        <v>7800</v>
      </c>
      <c r="C41" s="476"/>
      <c r="D41" s="476"/>
      <c r="E41" s="519"/>
      <c r="F41" s="476"/>
      <c r="G41" s="476"/>
      <c r="H41" s="1716">
        <f>SUM(C70:D73)</f>
        <v>7000000</v>
      </c>
      <c r="I41" s="473"/>
      <c r="J41" s="473"/>
      <c r="K41" s="476"/>
      <c r="L41" s="517"/>
    </row>
    <row r="42" spans="1:12" s="481" customFormat="1" ht="13.5" customHeight="1" x14ac:dyDescent="0.2">
      <c r="A42" s="1462" t="s">
        <v>641</v>
      </c>
      <c r="B42" s="479">
        <v>7900</v>
      </c>
      <c r="C42" s="1883">
        <v>0</v>
      </c>
      <c r="D42" s="1883">
        <v>0</v>
      </c>
      <c r="E42" s="1883">
        <v>0</v>
      </c>
      <c r="F42" s="1883">
        <v>0</v>
      </c>
      <c r="G42" s="1883">
        <v>0</v>
      </c>
      <c r="H42" s="1883">
        <v>0</v>
      </c>
      <c r="I42" s="476"/>
      <c r="J42" s="476"/>
      <c r="K42" s="1883">
        <v>0</v>
      </c>
      <c r="L42" s="517"/>
    </row>
    <row r="43" spans="1:12" s="481" customFormat="1" ht="13.5" customHeight="1" x14ac:dyDescent="0.2">
      <c r="A43" s="1462" t="s">
        <v>373</v>
      </c>
      <c r="B43" s="479">
        <v>7990</v>
      </c>
      <c r="C43" s="1883">
        <v>0</v>
      </c>
      <c r="D43" s="1883">
        <v>0</v>
      </c>
      <c r="E43" s="1883">
        <v>0</v>
      </c>
      <c r="F43" s="1883">
        <v>0</v>
      </c>
      <c r="G43" s="1883">
        <v>0</v>
      </c>
      <c r="H43" s="1883">
        <v>0</v>
      </c>
      <c r="I43" s="1883">
        <v>0</v>
      </c>
      <c r="J43" s="1883">
        <v>0</v>
      </c>
      <c r="K43" s="1883">
        <v>0</v>
      </c>
      <c r="L43" s="517"/>
    </row>
    <row r="44" spans="1:12" s="481" customFormat="1" ht="13.5" customHeight="1" thickBot="1" x14ac:dyDescent="0.25">
      <c r="A44" s="2193" t="s">
        <v>374</v>
      </c>
      <c r="B44" s="2194"/>
      <c r="C44" s="1676">
        <f>SUM(C24:C43)</f>
        <v>0</v>
      </c>
      <c r="D44" s="1676">
        <f t="shared" ref="D44:K44" si="6">SUM(D24:D43)</f>
        <v>0</v>
      </c>
      <c r="E44" s="1676">
        <f t="shared" si="6"/>
        <v>135000</v>
      </c>
      <c r="F44" s="1676">
        <f t="shared" si="6"/>
        <v>0</v>
      </c>
      <c r="G44" s="1676">
        <f t="shared" si="6"/>
        <v>25000</v>
      </c>
      <c r="H44" s="1676">
        <f t="shared" si="6"/>
        <v>7000000</v>
      </c>
      <c r="I44" s="1676">
        <f t="shared" si="6"/>
        <v>0</v>
      </c>
      <c r="J44" s="1676">
        <f t="shared" si="6"/>
        <v>0</v>
      </c>
      <c r="K44" s="1676">
        <f t="shared" si="6"/>
        <v>0</v>
      </c>
      <c r="L44" s="517"/>
    </row>
    <row r="45" spans="1:12" ht="15.75" customHeight="1" thickTop="1" x14ac:dyDescent="0.2">
      <c r="A45" s="2187" t="s">
        <v>108</v>
      </c>
      <c r="B45" s="2188"/>
      <c r="C45" s="521"/>
      <c r="D45" s="521"/>
      <c r="E45" s="521"/>
      <c r="F45" s="521"/>
      <c r="G45" s="521"/>
      <c r="H45" s="521"/>
      <c r="I45" s="521"/>
      <c r="J45" s="521"/>
      <c r="K45" s="521"/>
      <c r="L45" s="347"/>
    </row>
    <row r="46" spans="1:12" s="481" customFormat="1" ht="15.75" customHeight="1" x14ac:dyDescent="0.2">
      <c r="A46" s="2195" t="s">
        <v>109</v>
      </c>
      <c r="B46" s="2196"/>
      <c r="C46" s="473"/>
      <c r="D46" s="473"/>
      <c r="E46" s="473"/>
      <c r="F46" s="473"/>
      <c r="G46" s="473"/>
      <c r="H46" s="473"/>
      <c r="I46" s="476"/>
      <c r="J46" s="473"/>
      <c r="K46" s="473"/>
      <c r="L46" s="522"/>
    </row>
    <row r="47" spans="1:12" s="481" customFormat="1" ht="15" x14ac:dyDescent="0.2">
      <c r="A47" s="1463" t="s">
        <v>1628</v>
      </c>
      <c r="B47" s="479">
        <v>8110</v>
      </c>
      <c r="C47" s="473"/>
      <c r="D47" s="473"/>
      <c r="E47" s="473"/>
      <c r="F47" s="473"/>
      <c r="G47" s="473"/>
      <c r="H47" s="473"/>
      <c r="I47" s="1716">
        <f>SUM(C24,C25:H25,J25:K25)</f>
        <v>0</v>
      </c>
      <c r="J47" s="473"/>
      <c r="K47" s="473"/>
      <c r="L47" s="522"/>
    </row>
    <row r="48" spans="1:12" s="481" customFormat="1" ht="15" x14ac:dyDescent="0.2">
      <c r="A48" s="1463" t="s">
        <v>1629</v>
      </c>
      <c r="B48" s="479">
        <v>8120</v>
      </c>
      <c r="C48" s="476"/>
      <c r="D48" s="476"/>
      <c r="E48" s="473"/>
      <c r="F48" s="476"/>
      <c r="G48" s="473"/>
      <c r="H48" s="473"/>
      <c r="I48" s="1716">
        <f>SUM(C26:H26,J26,K26)</f>
        <v>25000</v>
      </c>
      <c r="J48" s="473"/>
      <c r="K48" s="473"/>
      <c r="L48" s="522"/>
    </row>
    <row r="49" spans="1:12" s="481" customFormat="1" x14ac:dyDescent="0.2">
      <c r="A49" s="1463" t="s">
        <v>185</v>
      </c>
      <c r="B49" s="479">
        <v>8130</v>
      </c>
      <c r="C49" s="1883">
        <v>0</v>
      </c>
      <c r="D49" s="1883">
        <v>0</v>
      </c>
      <c r="E49" s="476"/>
      <c r="F49" s="1883">
        <v>0</v>
      </c>
      <c r="G49" s="476"/>
      <c r="H49" s="476"/>
      <c r="I49" s="473"/>
      <c r="J49" s="476"/>
      <c r="K49" s="473"/>
      <c r="L49" s="517"/>
    </row>
    <row r="50" spans="1:12" s="481" customFormat="1" x14ac:dyDescent="0.2">
      <c r="A50" s="1463" t="s">
        <v>1384</v>
      </c>
      <c r="B50" s="479">
        <v>8140</v>
      </c>
      <c r="C50" s="1883">
        <v>0</v>
      </c>
      <c r="D50" s="1883">
        <v>0</v>
      </c>
      <c r="E50" s="1883">
        <v>0</v>
      </c>
      <c r="F50" s="1883">
        <v>0</v>
      </c>
      <c r="G50" s="1883">
        <v>0</v>
      </c>
      <c r="H50" s="1883">
        <v>0</v>
      </c>
      <c r="I50" s="473"/>
      <c r="J50" s="1883">
        <v>0</v>
      </c>
      <c r="K50" s="473"/>
      <c r="L50" s="517"/>
    </row>
    <row r="51" spans="1:12" s="481" customFormat="1" x14ac:dyDescent="0.2">
      <c r="A51" s="1463" t="s">
        <v>294</v>
      </c>
      <c r="B51" s="479">
        <v>8150</v>
      </c>
      <c r="C51" s="472"/>
      <c r="D51" s="472"/>
      <c r="E51" s="472"/>
      <c r="F51" s="472"/>
      <c r="G51" s="472"/>
      <c r="H51" s="1716">
        <f>SUM(D29)</f>
        <v>0</v>
      </c>
      <c r="I51" s="473"/>
      <c r="J51" s="472"/>
      <c r="K51" s="476"/>
      <c r="L51" s="517"/>
    </row>
    <row r="52" spans="1:12" s="481" customFormat="1" ht="26.25" x14ac:dyDescent="0.2">
      <c r="A52" s="1463" t="s">
        <v>1759</v>
      </c>
      <c r="B52" s="479">
        <v>8160</v>
      </c>
      <c r="C52" s="473"/>
      <c r="D52" s="473"/>
      <c r="E52" s="473"/>
      <c r="F52" s="473"/>
      <c r="G52" s="473"/>
      <c r="H52" s="473"/>
      <c r="I52" s="473"/>
      <c r="J52" s="473"/>
      <c r="K52" s="1716">
        <f>D30</f>
        <v>0</v>
      </c>
      <c r="L52" s="517"/>
    </row>
    <row r="53" spans="1:12" s="481" customFormat="1" ht="26.25" x14ac:dyDescent="0.2">
      <c r="A53" s="1463" t="s">
        <v>1758</v>
      </c>
      <c r="B53" s="479">
        <v>8170</v>
      </c>
      <c r="C53" s="476"/>
      <c r="D53" s="476"/>
      <c r="E53" s="473"/>
      <c r="F53" s="473"/>
      <c r="G53" s="473"/>
      <c r="H53" s="476"/>
      <c r="I53" s="473"/>
      <c r="J53" s="473"/>
      <c r="K53" s="1716">
        <f>E31</f>
        <v>0</v>
      </c>
      <c r="L53" s="517"/>
    </row>
    <row r="54" spans="1:12" s="481" customFormat="1" ht="13.5" thickBot="1" x14ac:dyDescent="0.25">
      <c r="A54" s="1463" t="s">
        <v>692</v>
      </c>
      <c r="B54" s="479">
        <v>8410</v>
      </c>
      <c r="C54" s="1885">
        <v>0</v>
      </c>
      <c r="D54" s="1885">
        <v>0</v>
      </c>
      <c r="E54" s="473"/>
      <c r="F54" s="473"/>
      <c r="G54" s="473"/>
      <c r="H54" s="1889">
        <v>0</v>
      </c>
      <c r="I54" s="473"/>
      <c r="J54" s="473"/>
      <c r="K54" s="472"/>
      <c r="L54" s="517"/>
    </row>
    <row r="55" spans="1:12" s="481" customFormat="1" ht="14.25" thickTop="1" thickBot="1" x14ac:dyDescent="0.25">
      <c r="A55" s="1464" t="s">
        <v>693</v>
      </c>
      <c r="B55" s="479">
        <v>8420</v>
      </c>
      <c r="C55" s="1886">
        <v>0</v>
      </c>
      <c r="D55" s="1886">
        <v>0</v>
      </c>
      <c r="E55" s="473"/>
      <c r="F55" s="473"/>
      <c r="G55" s="473"/>
      <c r="H55" s="1889">
        <v>0</v>
      </c>
      <c r="I55" s="473"/>
      <c r="J55" s="473"/>
      <c r="K55" s="473"/>
      <c r="L55" s="517"/>
    </row>
    <row r="56" spans="1:12" s="481" customFormat="1" ht="14.25" thickTop="1" thickBot="1" x14ac:dyDescent="0.25">
      <c r="A56" s="1463" t="s">
        <v>581</v>
      </c>
      <c r="B56" s="479">
        <v>8430</v>
      </c>
      <c r="C56" s="1886">
        <v>0</v>
      </c>
      <c r="D56" s="1886">
        <v>0</v>
      </c>
      <c r="E56" s="473"/>
      <c r="F56" s="473"/>
      <c r="G56" s="473"/>
      <c r="H56" s="1889">
        <v>0</v>
      </c>
      <c r="I56" s="473"/>
      <c r="J56" s="473"/>
      <c r="K56" s="473"/>
      <c r="L56" s="517"/>
    </row>
    <row r="57" spans="1:12" s="481" customFormat="1" ht="14.25" thickTop="1" thickBot="1" x14ac:dyDescent="0.25">
      <c r="A57" s="1464" t="s">
        <v>578</v>
      </c>
      <c r="B57" s="479">
        <v>8440</v>
      </c>
      <c r="C57" s="1886">
        <v>135000</v>
      </c>
      <c r="D57" s="1886">
        <v>0</v>
      </c>
      <c r="E57" s="473"/>
      <c r="F57" s="473"/>
      <c r="G57" s="473"/>
      <c r="H57" s="1889">
        <v>0</v>
      </c>
      <c r="I57" s="473"/>
      <c r="J57" s="473"/>
      <c r="K57" s="473"/>
      <c r="L57" s="517"/>
    </row>
    <row r="58" spans="1:12" s="481" customFormat="1" ht="14.25" thickTop="1" thickBot="1" x14ac:dyDescent="0.25">
      <c r="A58" s="1463" t="s">
        <v>579</v>
      </c>
      <c r="B58" s="479">
        <v>8510</v>
      </c>
      <c r="C58" s="1886">
        <v>0</v>
      </c>
      <c r="D58" s="1886">
        <v>0</v>
      </c>
      <c r="E58" s="473"/>
      <c r="F58" s="473"/>
      <c r="G58" s="473"/>
      <c r="H58" s="1889">
        <v>0</v>
      </c>
      <c r="I58" s="473"/>
      <c r="J58" s="473"/>
      <c r="K58" s="473"/>
      <c r="L58" s="517"/>
    </row>
    <row r="59" spans="1:12" s="481" customFormat="1" ht="14.25" thickTop="1" thickBot="1" x14ac:dyDescent="0.25">
      <c r="A59" s="1465" t="s">
        <v>694</v>
      </c>
      <c r="B59" s="479">
        <v>8520</v>
      </c>
      <c r="C59" s="1886">
        <v>0</v>
      </c>
      <c r="D59" s="1886">
        <v>0</v>
      </c>
      <c r="E59" s="473"/>
      <c r="F59" s="473"/>
      <c r="G59" s="473"/>
      <c r="H59" s="1889">
        <v>0</v>
      </c>
      <c r="I59" s="473"/>
      <c r="J59" s="473"/>
      <c r="K59" s="473"/>
      <c r="L59" s="517"/>
    </row>
    <row r="60" spans="1:12" s="481" customFormat="1" ht="14.25" thickTop="1" thickBot="1" x14ac:dyDescent="0.25">
      <c r="A60" s="1463" t="s">
        <v>580</v>
      </c>
      <c r="B60" s="479">
        <v>8530</v>
      </c>
      <c r="C60" s="1886">
        <v>0</v>
      </c>
      <c r="D60" s="1886">
        <v>0</v>
      </c>
      <c r="E60" s="473"/>
      <c r="F60" s="473"/>
      <c r="G60" s="473"/>
      <c r="H60" s="1889">
        <v>0</v>
      </c>
      <c r="I60" s="473"/>
      <c r="J60" s="473"/>
      <c r="K60" s="473"/>
      <c r="L60" s="517"/>
    </row>
    <row r="61" spans="1:12" s="481" customFormat="1" ht="14.25" thickTop="1" thickBot="1" x14ac:dyDescent="0.25">
      <c r="A61" s="1464" t="s">
        <v>743</v>
      </c>
      <c r="B61" s="479">
        <v>8540</v>
      </c>
      <c r="C61" s="1886">
        <v>0</v>
      </c>
      <c r="D61" s="1886">
        <v>0</v>
      </c>
      <c r="E61" s="473"/>
      <c r="F61" s="473"/>
      <c r="G61" s="473"/>
      <c r="H61" s="1889">
        <v>0</v>
      </c>
      <c r="I61" s="473"/>
      <c r="J61" s="473"/>
      <c r="K61" s="473"/>
      <c r="L61" s="517"/>
    </row>
    <row r="62" spans="1:12" s="481" customFormat="1" ht="13.5" customHeight="1" thickTop="1" thickBot="1" x14ac:dyDescent="0.25">
      <c r="A62" s="1463" t="s">
        <v>744</v>
      </c>
      <c r="B62" s="479">
        <v>8610</v>
      </c>
      <c r="C62" s="1886">
        <v>0</v>
      </c>
      <c r="D62" s="1886">
        <v>0</v>
      </c>
      <c r="E62" s="473"/>
      <c r="F62" s="473"/>
      <c r="G62" s="473"/>
      <c r="H62" s="473"/>
      <c r="I62" s="473"/>
      <c r="J62" s="473"/>
      <c r="K62" s="473"/>
      <c r="L62" s="517"/>
    </row>
    <row r="63" spans="1:12" s="481" customFormat="1" ht="14.25" thickTop="1" thickBot="1" x14ac:dyDescent="0.25">
      <c r="A63" s="1464" t="s">
        <v>695</v>
      </c>
      <c r="B63" s="479">
        <v>8620</v>
      </c>
      <c r="C63" s="1886">
        <v>0</v>
      </c>
      <c r="D63" s="1886">
        <v>0</v>
      </c>
      <c r="E63" s="473"/>
      <c r="F63" s="473"/>
      <c r="G63" s="473"/>
      <c r="H63" s="473"/>
      <c r="I63" s="473"/>
      <c r="J63" s="473"/>
      <c r="K63" s="473"/>
      <c r="L63" s="517"/>
    </row>
    <row r="64" spans="1:12" s="481" customFormat="1" ht="13.5" customHeight="1" thickTop="1" thickBot="1" x14ac:dyDescent="0.25">
      <c r="A64" s="1463" t="s">
        <v>745</v>
      </c>
      <c r="B64" s="479">
        <v>8630</v>
      </c>
      <c r="C64" s="1886">
        <v>0</v>
      </c>
      <c r="D64" s="1886">
        <v>0</v>
      </c>
      <c r="E64" s="473"/>
      <c r="F64" s="473"/>
      <c r="G64" s="473"/>
      <c r="H64" s="473"/>
      <c r="I64" s="473"/>
      <c r="J64" s="473"/>
      <c r="K64" s="473"/>
      <c r="L64" s="517"/>
    </row>
    <row r="65" spans="1:12" s="481" customFormat="1" ht="14.25" thickTop="1" thickBot="1" x14ac:dyDescent="0.25">
      <c r="A65" s="1464" t="s">
        <v>746</v>
      </c>
      <c r="B65" s="479">
        <v>8640</v>
      </c>
      <c r="C65" s="1886">
        <v>0</v>
      </c>
      <c r="D65" s="1886">
        <v>0</v>
      </c>
      <c r="E65" s="473"/>
      <c r="F65" s="473"/>
      <c r="G65" s="473"/>
      <c r="H65" s="473"/>
      <c r="I65" s="473"/>
      <c r="J65" s="473"/>
      <c r="K65" s="473"/>
      <c r="L65" s="517"/>
    </row>
    <row r="66" spans="1:12" s="481" customFormat="1" ht="14.25" thickTop="1" thickBot="1" x14ac:dyDescent="0.25">
      <c r="A66" s="1463" t="s">
        <v>747</v>
      </c>
      <c r="B66" s="479">
        <v>8710</v>
      </c>
      <c r="C66" s="1886">
        <v>0</v>
      </c>
      <c r="D66" s="1886">
        <v>0</v>
      </c>
      <c r="E66" s="473"/>
      <c r="F66" s="473"/>
      <c r="G66" s="473"/>
      <c r="H66" s="473"/>
      <c r="I66" s="473"/>
      <c r="J66" s="473"/>
      <c r="K66" s="473"/>
      <c r="L66" s="517"/>
    </row>
    <row r="67" spans="1:12" s="481" customFormat="1" ht="14.25" thickTop="1" thickBot="1" x14ac:dyDescent="0.25">
      <c r="A67" s="1464" t="s">
        <v>696</v>
      </c>
      <c r="B67" s="479">
        <v>8720</v>
      </c>
      <c r="C67" s="1886">
        <v>0</v>
      </c>
      <c r="D67" s="1886">
        <v>0</v>
      </c>
      <c r="E67" s="473"/>
      <c r="F67" s="473"/>
      <c r="G67" s="473"/>
      <c r="H67" s="473"/>
      <c r="I67" s="473"/>
      <c r="J67" s="473"/>
      <c r="K67" s="473"/>
      <c r="L67" s="517"/>
    </row>
    <row r="68" spans="1:12" s="481" customFormat="1" ht="14.25" thickTop="1" thickBot="1" x14ac:dyDescent="0.25">
      <c r="A68" s="1465" t="s">
        <v>748</v>
      </c>
      <c r="B68" s="479">
        <v>8730</v>
      </c>
      <c r="C68" s="1886">
        <v>0</v>
      </c>
      <c r="D68" s="1886">
        <v>0</v>
      </c>
      <c r="E68" s="473"/>
      <c r="F68" s="473"/>
      <c r="G68" s="473"/>
      <c r="H68" s="473"/>
      <c r="I68" s="473"/>
      <c r="J68" s="473"/>
      <c r="K68" s="473"/>
      <c r="L68" s="517"/>
    </row>
    <row r="69" spans="1:12" s="481" customFormat="1" ht="14.25" thickTop="1" thickBot="1" x14ac:dyDescent="0.25">
      <c r="A69" s="1464" t="s">
        <v>749</v>
      </c>
      <c r="B69" s="479">
        <v>8740</v>
      </c>
      <c r="C69" s="1886">
        <v>0</v>
      </c>
      <c r="D69" s="1886">
        <v>0</v>
      </c>
      <c r="E69" s="473"/>
      <c r="F69" s="473"/>
      <c r="G69" s="473"/>
      <c r="H69" s="473"/>
      <c r="I69" s="473"/>
      <c r="J69" s="473"/>
      <c r="K69" s="473"/>
      <c r="L69" s="517"/>
    </row>
    <row r="70" spans="1:12" s="481" customFormat="1" ht="14.25" thickTop="1" thickBot="1" x14ac:dyDescent="0.25">
      <c r="A70" s="1463" t="s">
        <v>750</v>
      </c>
      <c r="B70" s="479">
        <v>8810</v>
      </c>
      <c r="C70" s="1886">
        <v>0</v>
      </c>
      <c r="D70" s="1886">
        <v>0</v>
      </c>
      <c r="E70" s="473"/>
      <c r="F70" s="473"/>
      <c r="G70" s="473"/>
      <c r="H70" s="473"/>
      <c r="I70" s="473"/>
      <c r="J70" s="473"/>
      <c r="K70" s="473"/>
      <c r="L70" s="517"/>
    </row>
    <row r="71" spans="1:12" s="481" customFormat="1" ht="14.25" thickTop="1" thickBot="1" x14ac:dyDescent="0.25">
      <c r="A71" s="1463" t="s">
        <v>754</v>
      </c>
      <c r="B71" s="479">
        <v>8820</v>
      </c>
      <c r="C71" s="1886">
        <v>0</v>
      </c>
      <c r="D71" s="1886">
        <v>0</v>
      </c>
      <c r="E71" s="473"/>
      <c r="F71" s="473"/>
      <c r="G71" s="473"/>
      <c r="H71" s="473"/>
      <c r="I71" s="473"/>
      <c r="J71" s="473"/>
      <c r="K71" s="473"/>
      <c r="L71" s="517"/>
    </row>
    <row r="72" spans="1:12" s="481" customFormat="1" ht="14.25" thickTop="1" thickBot="1" x14ac:dyDescent="0.25">
      <c r="A72" s="1463" t="s">
        <v>751</v>
      </c>
      <c r="B72" s="479">
        <v>8830</v>
      </c>
      <c r="C72" s="1886">
        <v>0</v>
      </c>
      <c r="D72" s="1886">
        <v>0</v>
      </c>
      <c r="E72" s="473"/>
      <c r="F72" s="473"/>
      <c r="G72" s="473"/>
      <c r="H72" s="473"/>
      <c r="I72" s="473"/>
      <c r="J72" s="473"/>
      <c r="K72" s="473"/>
      <c r="L72" s="517"/>
    </row>
    <row r="73" spans="1:12" s="481" customFormat="1" ht="14.25" thickTop="1" thickBot="1" x14ac:dyDescent="0.25">
      <c r="A73" s="1463" t="s">
        <v>752</v>
      </c>
      <c r="B73" s="479">
        <v>8840</v>
      </c>
      <c r="C73" s="1886">
        <v>7000000</v>
      </c>
      <c r="D73" s="1886">
        <v>0</v>
      </c>
      <c r="E73" s="473"/>
      <c r="F73" s="473"/>
      <c r="G73" s="473"/>
      <c r="H73" s="473"/>
      <c r="I73" s="473"/>
      <c r="J73" s="473"/>
      <c r="K73" s="476"/>
      <c r="L73" s="517"/>
    </row>
    <row r="74" spans="1:12" s="481" customFormat="1" ht="14.25" thickTop="1" thickBot="1" x14ac:dyDescent="0.25">
      <c r="A74" s="1463" t="s">
        <v>375</v>
      </c>
      <c r="B74" s="479">
        <v>8910</v>
      </c>
      <c r="C74" s="1886">
        <v>0</v>
      </c>
      <c r="D74" s="1886">
        <v>0</v>
      </c>
      <c r="E74" s="476"/>
      <c r="F74" s="1889">
        <v>0</v>
      </c>
      <c r="G74" s="1889">
        <v>0</v>
      </c>
      <c r="H74" s="1889">
        <v>0</v>
      </c>
      <c r="I74" s="476"/>
      <c r="J74" s="476"/>
      <c r="K74" s="1889">
        <v>0</v>
      </c>
      <c r="L74" s="517"/>
    </row>
    <row r="75" spans="1:12" s="481" customFormat="1" ht="14.25" thickTop="1" thickBot="1" x14ac:dyDescent="0.25">
      <c r="A75" s="1466" t="s">
        <v>439</v>
      </c>
      <c r="B75" s="479">
        <v>8990</v>
      </c>
      <c r="C75" s="1886">
        <v>0</v>
      </c>
      <c r="D75" s="1886">
        <v>0</v>
      </c>
      <c r="E75" s="1889">
        <v>0</v>
      </c>
      <c r="F75" s="1890">
        <v>0</v>
      </c>
      <c r="G75" s="1890">
        <v>0</v>
      </c>
      <c r="H75" s="1890">
        <v>0</v>
      </c>
      <c r="I75" s="1889">
        <v>0</v>
      </c>
      <c r="J75" s="1889">
        <v>0</v>
      </c>
      <c r="K75" s="1890">
        <v>0</v>
      </c>
      <c r="L75" s="517"/>
    </row>
    <row r="76" spans="1:12" s="481" customFormat="1" ht="14.25" thickTop="1" thickBot="1" x14ac:dyDescent="0.25">
      <c r="A76" s="2169" t="s">
        <v>440</v>
      </c>
      <c r="B76" s="2170"/>
      <c r="C76" s="1676">
        <f t="shared" ref="C76:K76" si="7">SUM(C47:C75)</f>
        <v>7135000</v>
      </c>
      <c r="D76" s="1676">
        <f t="shared" si="7"/>
        <v>0</v>
      </c>
      <c r="E76" s="1676">
        <f t="shared" si="7"/>
        <v>0</v>
      </c>
      <c r="F76" s="1676">
        <f t="shared" si="7"/>
        <v>0</v>
      </c>
      <c r="G76" s="1676">
        <f t="shared" si="7"/>
        <v>0</v>
      </c>
      <c r="H76" s="1676">
        <f t="shared" si="7"/>
        <v>0</v>
      </c>
      <c r="I76" s="1676">
        <f t="shared" si="7"/>
        <v>25000</v>
      </c>
      <c r="J76" s="1676">
        <f t="shared" si="7"/>
        <v>0</v>
      </c>
      <c r="K76" s="1676">
        <f t="shared" si="7"/>
        <v>0</v>
      </c>
      <c r="L76" s="517"/>
    </row>
    <row r="77" spans="1:12" ht="14.25" thickTop="1" thickBot="1" x14ac:dyDescent="0.25">
      <c r="A77" s="2171" t="s">
        <v>1177</v>
      </c>
      <c r="B77" s="2172"/>
      <c r="C77" s="1676">
        <f t="shared" ref="C77:K77" si="8">C44-C76</f>
        <v>-7135000</v>
      </c>
      <c r="D77" s="1676">
        <f t="shared" si="8"/>
        <v>0</v>
      </c>
      <c r="E77" s="1676">
        <f t="shared" si="8"/>
        <v>135000</v>
      </c>
      <c r="F77" s="1676">
        <f t="shared" si="8"/>
        <v>0</v>
      </c>
      <c r="G77" s="1676">
        <f t="shared" si="8"/>
        <v>25000</v>
      </c>
      <c r="H77" s="1676">
        <f t="shared" si="8"/>
        <v>7000000</v>
      </c>
      <c r="I77" s="1676">
        <f t="shared" si="8"/>
        <v>-25000</v>
      </c>
      <c r="J77" s="1676">
        <f t="shared" si="8"/>
        <v>0</v>
      </c>
      <c r="K77" s="1676">
        <f t="shared" si="8"/>
        <v>0</v>
      </c>
      <c r="L77" s="347"/>
    </row>
    <row r="78" spans="1:12" ht="21.75" customHeight="1" thickTop="1" thickBot="1" x14ac:dyDescent="0.25">
      <c r="A78" s="2175" t="s">
        <v>597</v>
      </c>
      <c r="B78" s="2176"/>
      <c r="C78" s="1675">
        <f t="shared" ref="C78:K78" si="9">C20+C77</f>
        <v>15188039</v>
      </c>
      <c r="D78" s="1675">
        <f t="shared" si="9"/>
        <v>2382031</v>
      </c>
      <c r="E78" s="1675">
        <f t="shared" si="9"/>
        <v>-239294</v>
      </c>
      <c r="F78" s="1675">
        <f t="shared" si="9"/>
        <v>-728236</v>
      </c>
      <c r="G78" s="1675">
        <f t="shared" si="9"/>
        <v>57036</v>
      </c>
      <c r="H78" s="1675">
        <f t="shared" si="9"/>
        <v>-20382976</v>
      </c>
      <c r="I78" s="1675">
        <f t="shared" si="9"/>
        <v>70956</v>
      </c>
      <c r="J78" s="1675">
        <f t="shared" si="9"/>
        <v>89463</v>
      </c>
      <c r="K78" s="1675">
        <f t="shared" si="9"/>
        <v>70574</v>
      </c>
      <c r="L78" s="524"/>
    </row>
    <row r="79" spans="1:12" ht="13.5" thickTop="1" x14ac:dyDescent="0.2">
      <c r="A79" s="1467" t="s">
        <v>1909</v>
      </c>
      <c r="B79" s="525"/>
      <c r="C79" s="1968">
        <v>134255192</v>
      </c>
      <c r="D79" s="1891">
        <v>11995443</v>
      </c>
      <c r="E79" s="1891">
        <v>4234162</v>
      </c>
      <c r="F79" s="1891">
        <v>5442141</v>
      </c>
      <c r="G79" s="1891">
        <v>3421979</v>
      </c>
      <c r="H79" s="1891">
        <v>28632606</v>
      </c>
      <c r="I79" s="1891">
        <v>5249800</v>
      </c>
      <c r="J79" s="1891">
        <v>3003742</v>
      </c>
      <c r="K79" s="1891">
        <v>1223088</v>
      </c>
      <c r="L79" s="347"/>
    </row>
    <row r="80" spans="1:12" x14ac:dyDescent="0.2">
      <c r="A80" s="2181" t="s">
        <v>1757</v>
      </c>
      <c r="B80" s="2182"/>
      <c r="C80" s="466">
        <v>155617</v>
      </c>
      <c r="D80" s="466">
        <v>3865</v>
      </c>
      <c r="E80" s="466">
        <v>0</v>
      </c>
      <c r="F80" s="466">
        <v>7175</v>
      </c>
      <c r="G80" s="466">
        <v>0</v>
      </c>
      <c r="H80" s="466">
        <v>0</v>
      </c>
      <c r="I80" s="466">
        <v>0</v>
      </c>
      <c r="J80" s="466">
        <v>0</v>
      </c>
      <c r="K80" s="466">
        <v>0</v>
      </c>
      <c r="L80" s="347"/>
    </row>
    <row r="81" spans="1:12" ht="13.5" thickBot="1" x14ac:dyDescent="0.25">
      <c r="A81" s="2173" t="s">
        <v>1910</v>
      </c>
      <c r="B81" s="2174"/>
      <c r="C81" s="1661">
        <f>(SUM(C78:C80))</f>
        <v>149598848</v>
      </c>
      <c r="D81" s="1661">
        <f>SUM(D78:D80)</f>
        <v>14381339</v>
      </c>
      <c r="E81" s="1661">
        <f t="shared" ref="E81:K81" si="10">SUM(E78:E80)</f>
        <v>3994868</v>
      </c>
      <c r="F81" s="1661">
        <f t="shared" si="10"/>
        <v>4721080</v>
      </c>
      <c r="G81" s="1661">
        <f t="shared" si="10"/>
        <v>3479015</v>
      </c>
      <c r="H81" s="1661">
        <f t="shared" si="10"/>
        <v>8249630</v>
      </c>
      <c r="I81" s="1661">
        <f t="shared" si="10"/>
        <v>5320756</v>
      </c>
      <c r="J81" s="1661">
        <f t="shared" si="10"/>
        <v>3093205</v>
      </c>
      <c r="K81" s="1661">
        <f t="shared" si="10"/>
        <v>1293662</v>
      </c>
      <c r="L81" s="347"/>
    </row>
    <row r="82" spans="1:12" ht="0.75" customHeight="1" thickTop="1" thickBot="1" x14ac:dyDescent="0.25">
      <c r="A82" s="526" t="s">
        <v>343</v>
      </c>
      <c r="B82" s="527"/>
      <c r="C82" s="528">
        <f>(C81-C79)</f>
        <v>15343656</v>
      </c>
      <c r="D82" s="528">
        <f t="shared" ref="D82:K82" si="11">(D81-D79)</f>
        <v>2385896</v>
      </c>
      <c r="E82" s="528">
        <f t="shared" si="11"/>
        <v>-239294</v>
      </c>
      <c r="F82" s="528">
        <f t="shared" si="11"/>
        <v>-721061</v>
      </c>
      <c r="G82" s="528">
        <f t="shared" si="11"/>
        <v>57036</v>
      </c>
      <c r="H82" s="528">
        <f t="shared" si="11"/>
        <v>-20382976</v>
      </c>
      <c r="I82" s="528">
        <f t="shared" si="11"/>
        <v>70956</v>
      </c>
      <c r="J82" s="528">
        <f t="shared" si="11"/>
        <v>89463</v>
      </c>
      <c r="K82" s="528">
        <f t="shared" si="11"/>
        <v>70574</v>
      </c>
    </row>
    <row r="83" spans="1:12" ht="14.25" hidden="1" thickTop="1" thickBot="1" x14ac:dyDescent="0.25">
      <c r="A83" s="529" t="s">
        <v>344</v>
      </c>
      <c r="B83" s="464"/>
      <c r="C83" s="530">
        <f>C82/C81</f>
        <v>0.10256533526247474</v>
      </c>
      <c r="D83" s="530">
        <f t="shared" ref="D83:K83" si="12">D82/D81</f>
        <v>0.16590221536395186</v>
      </c>
      <c r="E83" s="530">
        <f t="shared" si="12"/>
        <v>-5.9900352151810776E-2</v>
      </c>
      <c r="F83" s="530">
        <f t="shared" si="12"/>
        <v>-0.15273221381548291</v>
      </c>
      <c r="G83" s="530">
        <f t="shared" si="12"/>
        <v>1.6394295511804349E-2</v>
      </c>
      <c r="H83" s="530">
        <f t="shared" si="12"/>
        <v>-2.4707745680715378</v>
      </c>
      <c r="I83" s="530">
        <f t="shared" si="12"/>
        <v>1.3335698911959128E-2</v>
      </c>
      <c r="J83" s="530">
        <f t="shared" si="12"/>
        <v>2.8922428355055679E-2</v>
      </c>
      <c r="K83" s="530">
        <f t="shared" si="12"/>
        <v>5.4553662394041101E-2</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0"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Normal="100" zoomScaleSheetLayoutView="75" workbookViewId="0">
      <pane ySplit="2" topLeftCell="A3" activePane="bottomLeft" state="frozen"/>
      <selection activeCell="AF22" sqref="AF22"/>
      <selection pane="bottomLeft" activeCell="G8" sqref="G8"/>
    </sheetView>
  </sheetViews>
  <sheetFormatPr defaultColWidth="9.140625" defaultRowHeight="12.75" x14ac:dyDescent="0.2"/>
  <cols>
    <col min="1" max="1" width="54.140625" style="571" customWidth="1"/>
    <col min="2" max="2" width="4.7109375" style="572" customWidth="1"/>
    <col min="3" max="11" width="13.7109375" style="384" customWidth="1"/>
    <col min="12" max="16384" width="9.140625" style="384"/>
  </cols>
  <sheetData>
    <row r="1" spans="1:12" x14ac:dyDescent="0.2">
      <c r="A1" s="2177" t="s">
        <v>1764</v>
      </c>
      <c r="B1" s="452"/>
      <c r="C1" s="453" t="s">
        <v>425</v>
      </c>
      <c r="D1" s="453" t="s">
        <v>426</v>
      </c>
      <c r="E1" s="453" t="s">
        <v>427</v>
      </c>
      <c r="F1" s="453" t="s">
        <v>428</v>
      </c>
      <c r="G1" s="453" t="s">
        <v>429</v>
      </c>
      <c r="H1" s="453" t="s">
        <v>430</v>
      </c>
      <c r="I1" s="453" t="s">
        <v>431</v>
      </c>
      <c r="J1" s="453" t="s">
        <v>432</v>
      </c>
      <c r="K1" s="453" t="s">
        <v>756</v>
      </c>
    </row>
    <row r="2" spans="1:12" ht="36" x14ac:dyDescent="0.2">
      <c r="A2" s="2178"/>
      <c r="B2" s="531" t="s">
        <v>378</v>
      </c>
      <c r="C2" s="532" t="s">
        <v>1155</v>
      </c>
      <c r="D2" s="532" t="s">
        <v>870</v>
      </c>
      <c r="E2" s="532" t="s">
        <v>438</v>
      </c>
      <c r="F2" s="532" t="s">
        <v>155</v>
      </c>
      <c r="G2" s="532" t="s">
        <v>989</v>
      </c>
      <c r="H2" s="532" t="s">
        <v>437</v>
      </c>
      <c r="I2" s="532" t="s">
        <v>407</v>
      </c>
      <c r="J2" s="532" t="s">
        <v>436</v>
      </c>
      <c r="K2" s="532" t="s">
        <v>157</v>
      </c>
    </row>
    <row r="3" spans="1:12" ht="16.7" customHeight="1" x14ac:dyDescent="0.2">
      <c r="A3" s="1552" t="s">
        <v>113</v>
      </c>
      <c r="B3" s="1553"/>
      <c r="C3" s="1554"/>
      <c r="D3" s="1554"/>
      <c r="E3" s="1554"/>
      <c r="F3" s="1555"/>
      <c r="G3" s="1556"/>
      <c r="H3" s="1555"/>
      <c r="I3" s="1555"/>
      <c r="J3" s="1555"/>
      <c r="K3" s="1557"/>
    </row>
    <row r="4" spans="1:12" ht="15.75" customHeight="1" x14ac:dyDescent="0.2">
      <c r="A4" s="1563" t="s">
        <v>379</v>
      </c>
      <c r="B4" s="1564">
        <v>1100</v>
      </c>
      <c r="C4" s="533"/>
      <c r="D4" s="533"/>
      <c r="E4" s="533"/>
      <c r="F4" s="534"/>
      <c r="G4" s="535"/>
      <c r="H4" s="536"/>
      <c r="I4" s="536"/>
      <c r="J4" s="536"/>
      <c r="K4" s="536"/>
    </row>
    <row r="5" spans="1:12" ht="15" x14ac:dyDescent="0.2">
      <c r="A5" s="486" t="s">
        <v>1630</v>
      </c>
      <c r="B5" s="537"/>
      <c r="C5" s="477">
        <v>11241120</v>
      </c>
      <c r="D5" s="477">
        <v>2876300</v>
      </c>
      <c r="E5" s="1887">
        <v>5803508</v>
      </c>
      <c r="F5" s="1895">
        <v>873529</v>
      </c>
      <c r="G5" s="1893">
        <v>1441617</v>
      </c>
      <c r="H5" s="1893">
        <v>0</v>
      </c>
      <c r="I5" s="1893">
        <v>463</v>
      </c>
      <c r="J5" s="1897">
        <v>1523335</v>
      </c>
      <c r="K5" s="1896">
        <v>48327</v>
      </c>
    </row>
    <row r="6" spans="1:12" ht="15" x14ac:dyDescent="0.2">
      <c r="A6" s="463" t="s">
        <v>1631</v>
      </c>
      <c r="B6" s="469">
        <v>1130</v>
      </c>
      <c r="C6" s="1887">
        <v>22948</v>
      </c>
      <c r="D6" s="1887">
        <v>0</v>
      </c>
      <c r="E6" s="472"/>
      <c r="F6" s="472"/>
      <c r="G6" s="467"/>
      <c r="H6" s="467"/>
      <c r="I6" s="467"/>
      <c r="J6" s="467"/>
      <c r="K6" s="467"/>
    </row>
    <row r="7" spans="1:12" x14ac:dyDescent="0.2">
      <c r="A7" s="463" t="s">
        <v>110</v>
      </c>
      <c r="B7" s="538">
        <v>1140</v>
      </c>
      <c r="C7" s="1887">
        <v>23661</v>
      </c>
      <c r="D7" s="1887">
        <v>0</v>
      </c>
      <c r="E7" s="467"/>
      <c r="F7" s="1894">
        <v>0</v>
      </c>
      <c r="G7" s="1894">
        <v>0</v>
      </c>
      <c r="H7" s="1894">
        <v>0</v>
      </c>
      <c r="I7" s="467"/>
      <c r="J7" s="467"/>
      <c r="K7" s="467"/>
    </row>
    <row r="8" spans="1:12" x14ac:dyDescent="0.2">
      <c r="A8" s="463" t="s">
        <v>413</v>
      </c>
      <c r="B8" s="469">
        <v>1150</v>
      </c>
      <c r="C8" s="472"/>
      <c r="D8" s="472"/>
      <c r="E8" s="473"/>
      <c r="F8" s="473"/>
      <c r="G8" s="477">
        <v>1394614</v>
      </c>
      <c r="H8" s="467"/>
      <c r="I8" s="467"/>
      <c r="J8" s="467"/>
      <c r="K8" s="467"/>
    </row>
    <row r="9" spans="1:12" x14ac:dyDescent="0.2">
      <c r="A9" s="471" t="s">
        <v>111</v>
      </c>
      <c r="B9" s="469">
        <v>1160</v>
      </c>
      <c r="C9" s="467"/>
      <c r="D9" s="1888">
        <v>0</v>
      </c>
      <c r="E9" s="1894">
        <v>0</v>
      </c>
      <c r="F9" s="468"/>
      <c r="G9" s="472"/>
      <c r="H9" s="1894">
        <v>0</v>
      </c>
      <c r="I9" s="467"/>
      <c r="J9" s="467"/>
      <c r="K9" s="467"/>
    </row>
    <row r="10" spans="1:12" x14ac:dyDescent="0.2">
      <c r="A10" s="471" t="s">
        <v>112</v>
      </c>
      <c r="B10" s="469">
        <v>1170</v>
      </c>
      <c r="C10" s="1888">
        <v>0</v>
      </c>
      <c r="D10" s="519"/>
      <c r="E10" s="519"/>
      <c r="F10" s="468"/>
      <c r="G10" s="467"/>
      <c r="H10" s="467"/>
      <c r="I10" s="467"/>
      <c r="J10" s="467"/>
      <c r="K10" s="467"/>
    </row>
    <row r="11" spans="1:12" x14ac:dyDescent="0.2">
      <c r="A11" s="471" t="s">
        <v>414</v>
      </c>
      <c r="B11" s="539">
        <v>1190</v>
      </c>
      <c r="C11" s="1892">
        <v>0</v>
      </c>
      <c r="D11" s="1887">
        <v>0</v>
      </c>
      <c r="E11" s="1893">
        <v>0</v>
      </c>
      <c r="F11" s="1893">
        <v>0</v>
      </c>
      <c r="G11" s="1893">
        <v>0</v>
      </c>
      <c r="H11" s="1893">
        <v>0</v>
      </c>
      <c r="I11" s="1893">
        <v>0</v>
      </c>
      <c r="J11" s="1897">
        <v>0</v>
      </c>
      <c r="K11" s="1896">
        <v>0</v>
      </c>
      <c r="L11" s="540"/>
    </row>
    <row r="12" spans="1:12" ht="12.75" customHeight="1" thickBot="1" x14ac:dyDescent="0.25">
      <c r="A12" s="1678" t="s">
        <v>29</v>
      </c>
      <c r="B12" s="1679"/>
      <c r="C12" s="1680">
        <f t="shared" ref="C12:K12" si="0">SUM(C5:C11)</f>
        <v>11287729</v>
      </c>
      <c r="D12" s="1680">
        <f t="shared" si="0"/>
        <v>2876300</v>
      </c>
      <c r="E12" s="1680">
        <f t="shared" si="0"/>
        <v>5803508</v>
      </c>
      <c r="F12" s="1680">
        <f t="shared" si="0"/>
        <v>873529</v>
      </c>
      <c r="G12" s="1680">
        <f t="shared" si="0"/>
        <v>2836231</v>
      </c>
      <c r="H12" s="1680">
        <f t="shared" si="0"/>
        <v>0</v>
      </c>
      <c r="I12" s="1680">
        <f t="shared" si="0"/>
        <v>463</v>
      </c>
      <c r="J12" s="1680">
        <f t="shared" si="0"/>
        <v>1523335</v>
      </c>
      <c r="K12" s="1661">
        <f t="shared" si="0"/>
        <v>48327</v>
      </c>
    </row>
    <row r="13" spans="1:12" ht="15.75" customHeight="1" thickTop="1" x14ac:dyDescent="0.2">
      <c r="A13" s="1565" t="s">
        <v>451</v>
      </c>
      <c r="B13" s="1566">
        <v>1200</v>
      </c>
      <c r="C13" s="541"/>
      <c r="D13" s="541"/>
      <c r="E13" s="541"/>
      <c r="F13" s="541"/>
      <c r="G13" s="541"/>
      <c r="H13" s="541"/>
      <c r="I13" s="541"/>
      <c r="J13" s="541"/>
      <c r="K13" s="467"/>
    </row>
    <row r="14" spans="1:12" x14ac:dyDescent="0.2">
      <c r="A14" s="463" t="s">
        <v>3</v>
      </c>
      <c r="B14" s="469">
        <v>1210</v>
      </c>
      <c r="C14" s="1901">
        <v>0</v>
      </c>
      <c r="D14" s="1896">
        <v>0</v>
      </c>
      <c r="E14" s="1896">
        <v>0</v>
      </c>
      <c r="F14" s="1896">
        <v>0</v>
      </c>
      <c r="G14" s="1896">
        <v>0</v>
      </c>
      <c r="H14" s="1896">
        <v>0</v>
      </c>
      <c r="I14" s="1896">
        <v>0</v>
      </c>
      <c r="J14" s="1897">
        <v>0</v>
      </c>
      <c r="K14" s="1896">
        <v>0</v>
      </c>
    </row>
    <row r="15" spans="1:12" ht="12.75" customHeight="1" x14ac:dyDescent="0.2">
      <c r="A15" s="463" t="s">
        <v>95</v>
      </c>
      <c r="B15" s="469">
        <v>1220</v>
      </c>
      <c r="C15" s="1901">
        <v>0</v>
      </c>
      <c r="D15" s="1896">
        <v>0</v>
      </c>
      <c r="E15" s="1896">
        <v>0</v>
      </c>
      <c r="F15" s="1896">
        <v>0</v>
      </c>
      <c r="G15" s="1896">
        <v>0</v>
      </c>
      <c r="H15" s="1896">
        <v>0</v>
      </c>
      <c r="I15" s="1896">
        <v>0</v>
      </c>
      <c r="J15" s="1897">
        <v>0</v>
      </c>
      <c r="K15" s="1896">
        <v>0</v>
      </c>
    </row>
    <row r="16" spans="1:12" ht="15" customHeight="1" x14ac:dyDescent="0.2">
      <c r="A16" s="463" t="s">
        <v>1632</v>
      </c>
      <c r="B16" s="538">
        <v>1230</v>
      </c>
      <c r="C16" s="1901">
        <v>1587425</v>
      </c>
      <c r="D16" s="1896">
        <v>1428682</v>
      </c>
      <c r="E16" s="1896">
        <v>0</v>
      </c>
      <c r="F16" s="1896">
        <v>0</v>
      </c>
      <c r="G16" s="1896">
        <v>1326633</v>
      </c>
      <c r="H16" s="1896">
        <v>0</v>
      </c>
      <c r="I16" s="1896">
        <v>0</v>
      </c>
      <c r="J16" s="1897">
        <v>0</v>
      </c>
      <c r="K16" s="1896">
        <v>0</v>
      </c>
    </row>
    <row r="17" spans="1:11" ht="12.75" customHeight="1" x14ac:dyDescent="0.2">
      <c r="A17" s="463" t="s">
        <v>807</v>
      </c>
      <c r="B17" s="469">
        <v>1290</v>
      </c>
      <c r="C17" s="1901">
        <v>0</v>
      </c>
      <c r="D17" s="1896">
        <v>0</v>
      </c>
      <c r="E17" s="1896">
        <v>0</v>
      </c>
      <c r="F17" s="1896">
        <v>0</v>
      </c>
      <c r="G17" s="1896">
        <v>0</v>
      </c>
      <c r="H17" s="1896">
        <v>0</v>
      </c>
      <c r="I17" s="1896">
        <v>0</v>
      </c>
      <c r="J17" s="1897">
        <v>0</v>
      </c>
      <c r="K17" s="1896">
        <v>0</v>
      </c>
    </row>
    <row r="18" spans="1:11" ht="12.75" customHeight="1" thickBot="1" x14ac:dyDescent="0.25">
      <c r="A18" s="1681" t="s">
        <v>537</v>
      </c>
      <c r="B18" s="1682"/>
      <c r="C18" s="1683">
        <f>SUM(C14:C17)</f>
        <v>1587425</v>
      </c>
      <c r="D18" s="1683">
        <f t="shared" ref="D18:K18" si="1">SUM(D14:D17)</f>
        <v>1428682</v>
      </c>
      <c r="E18" s="1683">
        <f t="shared" si="1"/>
        <v>0</v>
      </c>
      <c r="F18" s="1683">
        <f t="shared" si="1"/>
        <v>0</v>
      </c>
      <c r="G18" s="1683">
        <f t="shared" si="1"/>
        <v>1326633</v>
      </c>
      <c r="H18" s="1683">
        <f t="shared" si="1"/>
        <v>0</v>
      </c>
      <c r="I18" s="1683">
        <f t="shared" si="1"/>
        <v>0</v>
      </c>
      <c r="J18" s="1683">
        <f t="shared" si="1"/>
        <v>0</v>
      </c>
      <c r="K18" s="1684">
        <f t="shared" si="1"/>
        <v>0</v>
      </c>
    </row>
    <row r="19" spans="1:11" ht="15.75" customHeight="1" thickTop="1" x14ac:dyDescent="0.2">
      <c r="A19" s="1565" t="s">
        <v>452</v>
      </c>
      <c r="B19" s="1566">
        <v>1300</v>
      </c>
      <c r="C19" s="542"/>
      <c r="D19" s="542"/>
      <c r="E19" s="542"/>
      <c r="F19" s="542"/>
      <c r="G19" s="541"/>
      <c r="H19" s="542"/>
      <c r="I19" s="542"/>
      <c r="J19" s="542"/>
      <c r="K19" s="543"/>
    </row>
    <row r="20" spans="1:11" x14ac:dyDescent="0.2">
      <c r="A20" s="463" t="s">
        <v>1073</v>
      </c>
      <c r="B20" s="469">
        <v>1311</v>
      </c>
      <c r="C20" s="1896">
        <v>0</v>
      </c>
      <c r="D20" s="467"/>
      <c r="E20" s="467"/>
      <c r="F20" s="467"/>
      <c r="G20" s="467"/>
      <c r="H20" s="467"/>
      <c r="I20" s="467"/>
      <c r="J20" s="467"/>
      <c r="K20" s="467"/>
    </row>
    <row r="21" spans="1:11" ht="12.75" customHeight="1" x14ac:dyDescent="0.2">
      <c r="A21" s="463" t="s">
        <v>832</v>
      </c>
      <c r="B21" s="469">
        <v>1312</v>
      </c>
      <c r="C21" s="1901">
        <v>0</v>
      </c>
      <c r="D21" s="467"/>
      <c r="E21" s="467"/>
      <c r="F21" s="467"/>
      <c r="G21" s="467"/>
      <c r="H21" s="467"/>
      <c r="I21" s="467"/>
      <c r="J21" s="467"/>
      <c r="K21" s="467"/>
    </row>
    <row r="22" spans="1:11" ht="12.75" customHeight="1" x14ac:dyDescent="0.2">
      <c r="A22" s="463" t="s">
        <v>1074</v>
      </c>
      <c r="B22" s="469">
        <v>1313</v>
      </c>
      <c r="C22" s="1901">
        <v>0</v>
      </c>
      <c r="D22" s="467"/>
      <c r="E22" s="467"/>
      <c r="F22" s="467"/>
      <c r="G22" s="467"/>
      <c r="H22" s="467"/>
      <c r="I22" s="467"/>
      <c r="J22" s="467"/>
      <c r="K22" s="467"/>
    </row>
    <row r="23" spans="1:11" ht="12.75" customHeight="1" x14ac:dyDescent="0.2">
      <c r="A23" s="463" t="s">
        <v>1075</v>
      </c>
      <c r="B23" s="469">
        <v>1314</v>
      </c>
      <c r="C23" s="1900">
        <v>0</v>
      </c>
      <c r="D23" s="467"/>
      <c r="E23" s="467"/>
      <c r="F23" s="467"/>
      <c r="G23" s="467"/>
      <c r="H23" s="467"/>
      <c r="I23" s="467"/>
      <c r="J23" s="467"/>
      <c r="K23" s="467"/>
    </row>
    <row r="24" spans="1:11" ht="12.75" customHeight="1" x14ac:dyDescent="0.2">
      <c r="A24" s="463" t="s">
        <v>1027</v>
      </c>
      <c r="B24" s="469">
        <v>1321</v>
      </c>
      <c r="C24" s="1901">
        <v>0</v>
      </c>
      <c r="D24" s="467"/>
      <c r="E24" s="467"/>
      <c r="F24" s="467"/>
      <c r="G24" s="467"/>
      <c r="H24" s="467"/>
      <c r="I24" s="467"/>
      <c r="J24" s="467"/>
      <c r="K24" s="467"/>
    </row>
    <row r="25" spans="1:11" ht="12.75" customHeight="1" x14ac:dyDescent="0.2">
      <c r="A25" s="463" t="s">
        <v>833</v>
      </c>
      <c r="B25" s="469">
        <v>1322</v>
      </c>
      <c r="C25" s="1901">
        <v>0</v>
      </c>
      <c r="D25" s="467"/>
      <c r="E25" s="467"/>
      <c r="F25" s="467"/>
      <c r="G25" s="467"/>
      <c r="H25" s="467"/>
      <c r="I25" s="467"/>
      <c r="J25" s="467"/>
      <c r="K25" s="467"/>
    </row>
    <row r="26" spans="1:11" ht="12.75" customHeight="1" x14ac:dyDescent="0.2">
      <c r="A26" s="463" t="s">
        <v>1101</v>
      </c>
      <c r="B26" s="469">
        <v>1323</v>
      </c>
      <c r="C26" s="1901">
        <v>0</v>
      </c>
      <c r="D26" s="467"/>
      <c r="E26" s="467"/>
      <c r="F26" s="467"/>
      <c r="G26" s="467"/>
      <c r="H26" s="467"/>
      <c r="I26" s="467"/>
      <c r="J26" s="467"/>
      <c r="K26" s="467"/>
    </row>
    <row r="27" spans="1:11" ht="12.75" customHeight="1" x14ac:dyDescent="0.2">
      <c r="A27" s="463" t="s">
        <v>1023</v>
      </c>
      <c r="B27" s="469">
        <v>1324</v>
      </c>
      <c r="C27" s="1900">
        <v>0</v>
      </c>
      <c r="D27" s="467"/>
      <c r="E27" s="467"/>
      <c r="F27" s="467"/>
      <c r="G27" s="467"/>
      <c r="H27" s="467"/>
      <c r="I27" s="467"/>
      <c r="J27" s="467"/>
      <c r="K27" s="467"/>
    </row>
    <row r="28" spans="1:11" ht="12.75" customHeight="1" x14ac:dyDescent="0.2">
      <c r="A28" s="463" t="s">
        <v>1024</v>
      </c>
      <c r="B28" s="469">
        <v>1331</v>
      </c>
      <c r="C28" s="1901">
        <v>0</v>
      </c>
      <c r="D28" s="467"/>
      <c r="E28" s="467"/>
      <c r="F28" s="467"/>
      <c r="G28" s="467"/>
      <c r="H28" s="467"/>
      <c r="I28" s="467"/>
      <c r="J28" s="467"/>
      <c r="K28" s="467"/>
    </row>
    <row r="29" spans="1:11" ht="12.75" customHeight="1" x14ac:dyDescent="0.2">
      <c r="A29" s="463" t="s">
        <v>834</v>
      </c>
      <c r="B29" s="469">
        <v>1332</v>
      </c>
      <c r="C29" s="1901">
        <v>0</v>
      </c>
      <c r="D29" s="467"/>
      <c r="E29" s="467"/>
      <c r="F29" s="467"/>
      <c r="G29" s="467"/>
      <c r="H29" s="467"/>
      <c r="I29" s="467"/>
      <c r="J29" s="467"/>
      <c r="K29" s="467"/>
    </row>
    <row r="30" spans="1:11" ht="12.75" customHeight="1" x14ac:dyDescent="0.2">
      <c r="A30" s="463" t="s">
        <v>1026</v>
      </c>
      <c r="B30" s="469">
        <v>1333</v>
      </c>
      <c r="C30" s="1901">
        <v>0</v>
      </c>
      <c r="D30" s="467"/>
      <c r="E30" s="467"/>
      <c r="F30" s="467"/>
      <c r="G30" s="467"/>
      <c r="H30" s="467"/>
      <c r="I30" s="467"/>
      <c r="J30" s="467"/>
      <c r="K30" s="467"/>
    </row>
    <row r="31" spans="1:11" ht="12.75" customHeight="1" x14ac:dyDescent="0.2">
      <c r="A31" s="463" t="s">
        <v>1025</v>
      </c>
      <c r="B31" s="469">
        <v>1334</v>
      </c>
      <c r="C31" s="1900">
        <v>0</v>
      </c>
      <c r="D31" s="467"/>
      <c r="E31" s="467"/>
      <c r="F31" s="467"/>
      <c r="G31" s="467"/>
      <c r="H31" s="467"/>
      <c r="I31" s="467"/>
      <c r="J31" s="467"/>
      <c r="K31" s="467"/>
    </row>
    <row r="32" spans="1:11" ht="12.75" customHeight="1" x14ac:dyDescent="0.2">
      <c r="A32" s="463" t="s">
        <v>494</v>
      </c>
      <c r="B32" s="469">
        <v>1341</v>
      </c>
      <c r="C32" s="1901">
        <v>0</v>
      </c>
      <c r="D32" s="467"/>
      <c r="E32" s="467"/>
      <c r="F32" s="467"/>
      <c r="G32" s="467"/>
      <c r="H32" s="467"/>
      <c r="I32" s="467"/>
      <c r="J32" s="467"/>
      <c r="K32" s="467"/>
    </row>
    <row r="33" spans="1:11" ht="12.75" customHeight="1" x14ac:dyDescent="0.2">
      <c r="A33" s="463" t="s">
        <v>835</v>
      </c>
      <c r="B33" s="469">
        <v>1342</v>
      </c>
      <c r="C33" s="1901">
        <v>0</v>
      </c>
      <c r="D33" s="467"/>
      <c r="E33" s="467"/>
      <c r="F33" s="467"/>
      <c r="G33" s="467"/>
      <c r="H33" s="467"/>
      <c r="I33" s="467"/>
      <c r="J33" s="467"/>
      <c r="K33" s="467"/>
    </row>
    <row r="34" spans="1:11" ht="12.75" customHeight="1" x14ac:dyDescent="0.2">
      <c r="A34" s="463" t="s">
        <v>495</v>
      </c>
      <c r="B34" s="469">
        <v>1343</v>
      </c>
      <c r="C34" s="1901">
        <v>0</v>
      </c>
      <c r="D34" s="467"/>
      <c r="E34" s="467"/>
      <c r="F34" s="467"/>
      <c r="G34" s="467"/>
      <c r="H34" s="467"/>
      <c r="I34" s="467"/>
      <c r="J34" s="467"/>
      <c r="K34" s="467"/>
    </row>
    <row r="35" spans="1:11" ht="12.75" customHeight="1" x14ac:dyDescent="0.2">
      <c r="A35" s="463" t="s">
        <v>493</v>
      </c>
      <c r="B35" s="469">
        <v>1344</v>
      </c>
      <c r="C35" s="1900">
        <v>0</v>
      </c>
      <c r="D35" s="467"/>
      <c r="E35" s="467"/>
      <c r="F35" s="467"/>
      <c r="G35" s="467"/>
      <c r="H35" s="467"/>
      <c r="I35" s="467"/>
      <c r="J35" s="467"/>
      <c r="K35" s="467"/>
    </row>
    <row r="36" spans="1:11" ht="12.75" customHeight="1" x14ac:dyDescent="0.2">
      <c r="A36" s="463" t="s">
        <v>831</v>
      </c>
      <c r="B36" s="469">
        <v>1351</v>
      </c>
      <c r="C36" s="1901">
        <v>0</v>
      </c>
      <c r="D36" s="467"/>
      <c r="E36" s="467"/>
      <c r="F36" s="467"/>
      <c r="G36" s="467"/>
      <c r="H36" s="467"/>
      <c r="I36" s="467"/>
      <c r="J36" s="467"/>
      <c r="K36" s="467"/>
    </row>
    <row r="37" spans="1:11" ht="12.75" customHeight="1" x14ac:dyDescent="0.2">
      <c r="A37" s="463" t="s">
        <v>836</v>
      </c>
      <c r="B37" s="469">
        <v>1352</v>
      </c>
      <c r="C37" s="1901">
        <v>0</v>
      </c>
      <c r="D37" s="467"/>
      <c r="E37" s="467"/>
      <c r="F37" s="467"/>
      <c r="G37" s="467"/>
      <c r="H37" s="467"/>
      <c r="I37" s="467"/>
      <c r="J37" s="467"/>
      <c r="K37" s="467"/>
    </row>
    <row r="38" spans="1:11" ht="12.75" customHeight="1" x14ac:dyDescent="0.2">
      <c r="A38" s="463" t="s">
        <v>593</v>
      </c>
      <c r="B38" s="469">
        <v>1353</v>
      </c>
      <c r="C38" s="1901">
        <v>0</v>
      </c>
      <c r="D38" s="467"/>
      <c r="E38" s="467"/>
      <c r="F38" s="467"/>
      <c r="G38" s="467"/>
      <c r="H38" s="467"/>
      <c r="I38" s="467"/>
      <c r="J38" s="467"/>
      <c r="K38" s="467"/>
    </row>
    <row r="39" spans="1:11" ht="12.75" customHeight="1" x14ac:dyDescent="0.2">
      <c r="A39" s="1468" t="s">
        <v>594</v>
      </c>
      <c r="B39" s="544">
        <v>1354</v>
      </c>
      <c r="C39" s="1900">
        <v>0</v>
      </c>
      <c r="D39" s="467"/>
      <c r="E39" s="467"/>
      <c r="F39" s="467"/>
      <c r="G39" s="467"/>
      <c r="H39" s="467"/>
      <c r="I39" s="467"/>
      <c r="J39" s="467"/>
      <c r="K39" s="467"/>
    </row>
    <row r="40" spans="1:11" ht="12.75" customHeight="1" thickBot="1" x14ac:dyDescent="0.25">
      <c r="A40" s="1681" t="s">
        <v>538</v>
      </c>
      <c r="B40" s="1682"/>
      <c r="C40" s="1661">
        <f>SUM(C20:C39)</f>
        <v>0</v>
      </c>
      <c r="D40" s="467"/>
      <c r="E40" s="467"/>
      <c r="F40" s="467"/>
      <c r="G40" s="467"/>
      <c r="H40" s="467"/>
      <c r="I40" s="467"/>
      <c r="J40" s="467"/>
      <c r="K40" s="467"/>
    </row>
    <row r="41" spans="1:11" ht="15.75" customHeight="1" thickTop="1" x14ac:dyDescent="0.2">
      <c r="A41" s="1565" t="s">
        <v>274</v>
      </c>
      <c r="B41" s="1566">
        <v>1400</v>
      </c>
      <c r="C41" s="467"/>
      <c r="D41" s="467"/>
      <c r="E41" s="467"/>
      <c r="F41" s="514"/>
      <c r="G41" s="467"/>
      <c r="H41" s="467"/>
      <c r="I41" s="467"/>
      <c r="J41" s="467"/>
      <c r="K41" s="467"/>
    </row>
    <row r="42" spans="1:11" ht="12.75" customHeight="1" x14ac:dyDescent="0.2">
      <c r="A42" s="463" t="s">
        <v>1076</v>
      </c>
      <c r="B42" s="469">
        <v>1411</v>
      </c>
      <c r="C42" s="467"/>
      <c r="D42" s="467"/>
      <c r="E42" s="467"/>
      <c r="F42" s="477">
        <v>0</v>
      </c>
      <c r="G42" s="467"/>
      <c r="H42" s="467"/>
      <c r="I42" s="467"/>
      <c r="J42" s="467"/>
      <c r="K42" s="467"/>
    </row>
    <row r="43" spans="1:11" ht="12.75" customHeight="1" x14ac:dyDescent="0.2">
      <c r="A43" s="463" t="s">
        <v>837</v>
      </c>
      <c r="B43" s="469">
        <v>1412</v>
      </c>
      <c r="C43" s="467"/>
      <c r="D43" s="467"/>
      <c r="E43" s="467"/>
      <c r="F43" s="1896">
        <v>34584</v>
      </c>
      <c r="G43" s="467"/>
      <c r="H43" s="467"/>
      <c r="I43" s="467"/>
      <c r="J43" s="467"/>
      <c r="K43" s="467"/>
    </row>
    <row r="44" spans="1:11" ht="12.75" customHeight="1" x14ac:dyDescent="0.2">
      <c r="A44" s="463" t="s">
        <v>384</v>
      </c>
      <c r="B44" s="469">
        <v>1413</v>
      </c>
      <c r="C44" s="467"/>
      <c r="D44" s="467"/>
      <c r="E44" s="467"/>
      <c r="F44" s="1896">
        <v>0</v>
      </c>
      <c r="G44" s="467"/>
      <c r="H44" s="467"/>
      <c r="I44" s="467"/>
      <c r="J44" s="467"/>
      <c r="K44" s="467"/>
    </row>
    <row r="45" spans="1:11" ht="12.75" customHeight="1" x14ac:dyDescent="0.2">
      <c r="A45" s="463" t="s">
        <v>240</v>
      </c>
      <c r="B45" s="469">
        <v>1415</v>
      </c>
      <c r="C45" s="467"/>
      <c r="D45" s="467"/>
      <c r="E45" s="467"/>
      <c r="F45" s="1896">
        <v>0</v>
      </c>
      <c r="G45" s="467"/>
      <c r="H45" s="467"/>
      <c r="I45" s="467"/>
      <c r="J45" s="467"/>
      <c r="K45" s="467"/>
    </row>
    <row r="46" spans="1:11" ht="12.75" customHeight="1" x14ac:dyDescent="0.2">
      <c r="A46" s="463" t="s">
        <v>1174</v>
      </c>
      <c r="B46" s="469">
        <v>1416</v>
      </c>
      <c r="C46" s="467"/>
      <c r="D46" s="467"/>
      <c r="E46" s="467"/>
      <c r="F46" s="1897">
        <v>0</v>
      </c>
      <c r="G46" s="467"/>
      <c r="H46" s="467"/>
      <c r="I46" s="467"/>
      <c r="J46" s="467"/>
      <c r="K46" s="467"/>
    </row>
    <row r="47" spans="1:11" ht="12.75" customHeight="1" x14ac:dyDescent="0.2">
      <c r="A47" s="463" t="s">
        <v>57</v>
      </c>
      <c r="B47" s="469">
        <v>1421</v>
      </c>
      <c r="C47" s="467"/>
      <c r="D47" s="467"/>
      <c r="E47" s="467"/>
      <c r="F47" s="1896">
        <v>0</v>
      </c>
      <c r="G47" s="467"/>
      <c r="H47" s="467"/>
      <c r="I47" s="467"/>
      <c r="J47" s="467"/>
      <c r="K47" s="467"/>
    </row>
    <row r="48" spans="1:11" ht="12.75" customHeight="1" x14ac:dyDescent="0.2">
      <c r="A48" s="463" t="s">
        <v>838</v>
      </c>
      <c r="B48" s="469">
        <v>1422</v>
      </c>
      <c r="C48" s="467"/>
      <c r="D48" s="467"/>
      <c r="E48" s="467"/>
      <c r="F48" s="1896">
        <v>0</v>
      </c>
      <c r="G48" s="467"/>
      <c r="H48" s="467"/>
      <c r="I48" s="467"/>
      <c r="J48" s="467"/>
      <c r="K48" s="467"/>
    </row>
    <row r="49" spans="1:11" ht="12.75" customHeight="1" x14ac:dyDescent="0.2">
      <c r="A49" s="463" t="s">
        <v>58</v>
      </c>
      <c r="B49" s="469">
        <v>1423</v>
      </c>
      <c r="C49" s="467"/>
      <c r="D49" s="467"/>
      <c r="E49" s="467"/>
      <c r="F49" s="1896">
        <v>0</v>
      </c>
      <c r="G49" s="467"/>
      <c r="H49" s="467"/>
      <c r="I49" s="467"/>
      <c r="J49" s="467"/>
      <c r="K49" s="467"/>
    </row>
    <row r="50" spans="1:11" ht="12.75" customHeight="1" x14ac:dyDescent="0.2">
      <c r="A50" s="463" t="s">
        <v>59</v>
      </c>
      <c r="B50" s="469">
        <v>1424</v>
      </c>
      <c r="C50" s="467"/>
      <c r="D50" s="467"/>
      <c r="E50" s="467"/>
      <c r="F50" s="1897">
        <v>0</v>
      </c>
      <c r="G50" s="467"/>
      <c r="H50" s="467"/>
      <c r="I50" s="467"/>
      <c r="J50" s="467"/>
      <c r="K50" s="467"/>
    </row>
    <row r="51" spans="1:11" ht="12.75" customHeight="1" x14ac:dyDescent="0.2">
      <c r="A51" s="1469" t="s">
        <v>60</v>
      </c>
      <c r="B51" s="545">
        <v>1431</v>
      </c>
      <c r="C51" s="467"/>
      <c r="D51" s="467"/>
      <c r="E51" s="467"/>
      <c r="F51" s="1896">
        <v>0</v>
      </c>
      <c r="G51" s="467"/>
      <c r="H51" s="467"/>
      <c r="I51" s="467"/>
      <c r="J51" s="467"/>
      <c r="K51" s="467"/>
    </row>
    <row r="52" spans="1:11" ht="12.75" customHeight="1" x14ac:dyDescent="0.2">
      <c r="A52" s="1469" t="s">
        <v>1106</v>
      </c>
      <c r="B52" s="545">
        <v>1432</v>
      </c>
      <c r="C52" s="467"/>
      <c r="D52" s="467"/>
      <c r="E52" s="467"/>
      <c r="F52" s="1896">
        <v>0</v>
      </c>
      <c r="G52" s="467"/>
      <c r="H52" s="467"/>
      <c r="I52" s="467"/>
      <c r="J52" s="467"/>
      <c r="K52" s="467"/>
    </row>
    <row r="53" spans="1:11" ht="12.75" customHeight="1" x14ac:dyDescent="0.2">
      <c r="A53" s="1469" t="s">
        <v>61</v>
      </c>
      <c r="B53" s="545">
        <v>1433</v>
      </c>
      <c r="C53" s="467"/>
      <c r="D53" s="467"/>
      <c r="E53" s="467"/>
      <c r="F53" s="1896">
        <v>0</v>
      </c>
      <c r="G53" s="467"/>
      <c r="H53" s="467"/>
      <c r="I53" s="467"/>
      <c r="J53" s="467"/>
      <c r="K53" s="467"/>
    </row>
    <row r="54" spans="1:11" ht="12.75" customHeight="1" x14ac:dyDescent="0.2">
      <c r="A54" s="1469" t="s">
        <v>62</v>
      </c>
      <c r="B54" s="545">
        <v>1434</v>
      </c>
      <c r="C54" s="467"/>
      <c r="D54" s="467"/>
      <c r="E54" s="467"/>
      <c r="F54" s="1897">
        <v>0</v>
      </c>
      <c r="G54" s="467"/>
      <c r="H54" s="467"/>
      <c r="I54" s="467"/>
      <c r="J54" s="467"/>
      <c r="K54" s="467"/>
    </row>
    <row r="55" spans="1:11" ht="12.75" customHeight="1" x14ac:dyDescent="0.2">
      <c r="A55" s="1469" t="s">
        <v>63</v>
      </c>
      <c r="B55" s="545">
        <v>1441</v>
      </c>
      <c r="C55" s="467"/>
      <c r="D55" s="467"/>
      <c r="E55" s="467"/>
      <c r="F55" s="1896">
        <v>0</v>
      </c>
      <c r="G55" s="467"/>
      <c r="H55" s="467"/>
      <c r="I55" s="467"/>
      <c r="J55" s="467"/>
      <c r="K55" s="467"/>
    </row>
    <row r="56" spans="1:11" ht="12.75" customHeight="1" x14ac:dyDescent="0.2">
      <c r="A56" s="1469" t="s">
        <v>1107</v>
      </c>
      <c r="B56" s="545">
        <v>1442</v>
      </c>
      <c r="C56" s="467"/>
      <c r="D56" s="467"/>
      <c r="E56" s="467"/>
      <c r="F56" s="1896">
        <v>0</v>
      </c>
      <c r="G56" s="467"/>
      <c r="H56" s="467"/>
      <c r="I56" s="467"/>
      <c r="J56" s="467"/>
      <c r="K56" s="467"/>
    </row>
    <row r="57" spans="1:11" ht="12.75" customHeight="1" x14ac:dyDescent="0.2">
      <c r="A57" s="1469" t="s">
        <v>489</v>
      </c>
      <c r="B57" s="545">
        <v>1443</v>
      </c>
      <c r="C57" s="467"/>
      <c r="D57" s="467"/>
      <c r="E57" s="467"/>
      <c r="F57" s="1896">
        <v>0</v>
      </c>
      <c r="G57" s="467"/>
      <c r="H57" s="467"/>
      <c r="I57" s="467"/>
      <c r="J57" s="467"/>
      <c r="K57" s="467"/>
    </row>
    <row r="58" spans="1:11" ht="12.75" customHeight="1" x14ac:dyDescent="0.2">
      <c r="A58" s="1469" t="s">
        <v>65</v>
      </c>
      <c r="B58" s="545">
        <v>1444</v>
      </c>
      <c r="C58" s="467"/>
      <c r="D58" s="467"/>
      <c r="E58" s="467"/>
      <c r="F58" s="1896">
        <v>0</v>
      </c>
      <c r="G58" s="467"/>
      <c r="H58" s="467"/>
      <c r="I58" s="467"/>
      <c r="J58" s="467"/>
      <c r="K58" s="467"/>
    </row>
    <row r="59" spans="1:11" ht="12.75" customHeight="1" x14ac:dyDescent="0.2">
      <c r="A59" s="1469" t="s">
        <v>878</v>
      </c>
      <c r="B59" s="545">
        <v>1451</v>
      </c>
      <c r="C59" s="467"/>
      <c r="D59" s="467"/>
      <c r="E59" s="467"/>
      <c r="F59" s="1896">
        <v>0</v>
      </c>
      <c r="G59" s="467"/>
      <c r="H59" s="467"/>
      <c r="I59" s="467"/>
      <c r="J59" s="467"/>
      <c r="K59" s="467"/>
    </row>
    <row r="60" spans="1:11" ht="12.75" customHeight="1" x14ac:dyDescent="0.2">
      <c r="A60" s="1469" t="s">
        <v>1108</v>
      </c>
      <c r="B60" s="545">
        <v>1452</v>
      </c>
      <c r="C60" s="467"/>
      <c r="D60" s="467"/>
      <c r="E60" s="467"/>
      <c r="F60" s="1896">
        <v>0</v>
      </c>
      <c r="G60" s="467"/>
      <c r="H60" s="467"/>
      <c r="I60" s="467"/>
      <c r="J60" s="467"/>
      <c r="K60" s="467"/>
    </row>
    <row r="61" spans="1:11" ht="12.75" customHeight="1" x14ac:dyDescent="0.2">
      <c r="A61" s="551" t="s">
        <v>879</v>
      </c>
      <c r="B61" s="545">
        <v>1453</v>
      </c>
      <c r="C61" s="467"/>
      <c r="D61" s="467"/>
      <c r="E61" s="467"/>
      <c r="F61" s="1896">
        <v>0</v>
      </c>
      <c r="G61" s="467"/>
      <c r="H61" s="467"/>
      <c r="I61" s="467"/>
      <c r="J61" s="467"/>
      <c r="K61" s="467"/>
    </row>
    <row r="62" spans="1:11" ht="12.75" customHeight="1" x14ac:dyDescent="0.2">
      <c r="A62" s="1470" t="s">
        <v>880</v>
      </c>
      <c r="B62" s="546">
        <v>1454</v>
      </c>
      <c r="C62" s="467"/>
      <c r="D62" s="467"/>
      <c r="E62" s="467"/>
      <c r="F62" s="1897">
        <v>0</v>
      </c>
      <c r="G62" s="467"/>
      <c r="H62" s="467"/>
      <c r="I62" s="467"/>
      <c r="J62" s="467"/>
      <c r="K62" s="467"/>
    </row>
    <row r="63" spans="1:11" ht="12.75" customHeight="1" thickBot="1" x14ac:dyDescent="0.25">
      <c r="A63" s="1681" t="s">
        <v>485</v>
      </c>
      <c r="B63" s="1682"/>
      <c r="C63" s="467"/>
      <c r="D63" s="467"/>
      <c r="E63" s="467"/>
      <c r="F63" s="1661">
        <f>SUM(F42:F62)</f>
        <v>34584</v>
      </c>
      <c r="G63" s="467"/>
      <c r="H63" s="467"/>
      <c r="I63" s="467"/>
      <c r="J63" s="467"/>
      <c r="K63" s="467"/>
    </row>
    <row r="64" spans="1:11" ht="15.75" customHeight="1" thickTop="1" x14ac:dyDescent="0.2">
      <c r="A64" s="1565" t="s">
        <v>454</v>
      </c>
      <c r="B64" s="1566">
        <v>1500</v>
      </c>
      <c r="C64" s="467"/>
      <c r="D64" s="467"/>
      <c r="E64" s="467"/>
      <c r="F64" s="467"/>
      <c r="G64" s="467"/>
      <c r="H64" s="467"/>
      <c r="I64" s="467"/>
      <c r="J64" s="467"/>
      <c r="K64" s="467"/>
    </row>
    <row r="65" spans="1:11" ht="12.75" customHeight="1" x14ac:dyDescent="0.2">
      <c r="A65" s="463" t="s">
        <v>547</v>
      </c>
      <c r="B65" s="469">
        <v>1510</v>
      </c>
      <c r="C65" s="1896">
        <v>2446689</v>
      </c>
      <c r="D65" s="1896">
        <v>218195</v>
      </c>
      <c r="E65" s="1896">
        <v>77019</v>
      </c>
      <c r="F65" s="1897">
        <v>98991</v>
      </c>
      <c r="G65" s="1896">
        <v>62246</v>
      </c>
      <c r="H65" s="1896">
        <v>745352</v>
      </c>
      <c r="I65" s="1896">
        <v>95493</v>
      </c>
      <c r="J65" s="1897">
        <v>54637</v>
      </c>
      <c r="K65" s="1896">
        <v>22247</v>
      </c>
    </row>
    <row r="66" spans="1:11" ht="12.75" customHeight="1" x14ac:dyDescent="0.2">
      <c r="A66" s="463" t="s">
        <v>679</v>
      </c>
      <c r="B66" s="469">
        <v>1520</v>
      </c>
      <c r="C66" s="1896">
        <v>0</v>
      </c>
      <c r="D66" s="1896">
        <v>0</v>
      </c>
      <c r="E66" s="1896">
        <v>0</v>
      </c>
      <c r="F66" s="1896">
        <v>0</v>
      </c>
      <c r="G66" s="1896">
        <v>0</v>
      </c>
      <c r="H66" s="1896">
        <v>0</v>
      </c>
      <c r="I66" s="1896">
        <v>0</v>
      </c>
      <c r="J66" s="1897">
        <v>0</v>
      </c>
      <c r="K66" s="1896">
        <v>0</v>
      </c>
    </row>
    <row r="67" spans="1:11" ht="12.75" customHeight="1" thickBot="1" x14ac:dyDescent="0.25">
      <c r="A67" s="1681" t="s">
        <v>486</v>
      </c>
      <c r="B67" s="1682"/>
      <c r="C67" s="1661">
        <f>SUM(C65:C66)</f>
        <v>2446689</v>
      </c>
      <c r="D67" s="1661">
        <f t="shared" ref="D67:K67" si="2">SUM(D65:D66)</f>
        <v>218195</v>
      </c>
      <c r="E67" s="1661">
        <f t="shared" si="2"/>
        <v>77019</v>
      </c>
      <c r="F67" s="1661">
        <f t="shared" si="2"/>
        <v>98991</v>
      </c>
      <c r="G67" s="1661">
        <f t="shared" si="2"/>
        <v>62246</v>
      </c>
      <c r="H67" s="1661">
        <f t="shared" si="2"/>
        <v>745352</v>
      </c>
      <c r="I67" s="1661">
        <f t="shared" si="2"/>
        <v>95493</v>
      </c>
      <c r="J67" s="1661">
        <f t="shared" si="2"/>
        <v>54637</v>
      </c>
      <c r="K67" s="1661">
        <f t="shared" si="2"/>
        <v>22247</v>
      </c>
    </row>
    <row r="68" spans="1:11" ht="15.75" customHeight="1" thickTop="1" x14ac:dyDescent="0.2">
      <c r="A68" s="1565" t="s">
        <v>455</v>
      </c>
      <c r="B68" s="1567">
        <v>1600</v>
      </c>
      <c r="C68" s="541"/>
      <c r="D68" s="467"/>
      <c r="E68" s="467"/>
      <c r="F68" s="467"/>
      <c r="G68" s="467"/>
      <c r="H68" s="467"/>
      <c r="I68" s="467"/>
      <c r="J68" s="467"/>
      <c r="K68" s="467"/>
    </row>
    <row r="69" spans="1:11" ht="12.75" customHeight="1" x14ac:dyDescent="0.2">
      <c r="A69" s="463" t="s">
        <v>666</v>
      </c>
      <c r="B69" s="469">
        <v>1611</v>
      </c>
      <c r="C69" s="1896">
        <v>0</v>
      </c>
      <c r="D69" s="467"/>
      <c r="E69" s="467"/>
      <c r="F69" s="467"/>
      <c r="G69" s="467"/>
      <c r="H69" s="467"/>
      <c r="I69" s="467"/>
      <c r="J69" s="467"/>
      <c r="K69" s="467"/>
    </row>
    <row r="70" spans="1:11" ht="12.75" customHeight="1" x14ac:dyDescent="0.2">
      <c r="A70" s="463" t="s">
        <v>997</v>
      </c>
      <c r="B70" s="469">
        <v>1612</v>
      </c>
      <c r="C70" s="1901">
        <v>0</v>
      </c>
      <c r="D70" s="467"/>
      <c r="E70" s="467"/>
      <c r="F70" s="467"/>
      <c r="G70" s="467"/>
      <c r="H70" s="467"/>
      <c r="I70" s="467"/>
      <c r="J70" s="467"/>
      <c r="K70" s="467"/>
    </row>
    <row r="71" spans="1:11" ht="12.75" customHeight="1" x14ac:dyDescent="0.2">
      <c r="A71" s="463" t="s">
        <v>273</v>
      </c>
      <c r="B71" s="469">
        <v>1613</v>
      </c>
      <c r="C71" s="1901">
        <v>0</v>
      </c>
      <c r="D71" s="467"/>
      <c r="E71" s="467"/>
      <c r="F71" s="467"/>
      <c r="G71" s="467"/>
      <c r="H71" s="467"/>
      <c r="I71" s="467"/>
      <c r="J71" s="467"/>
      <c r="K71" s="467"/>
    </row>
    <row r="72" spans="1:11" ht="12.75" customHeight="1" x14ac:dyDescent="0.2">
      <c r="A72" s="463" t="s">
        <v>24</v>
      </c>
      <c r="B72" s="469">
        <v>1614</v>
      </c>
      <c r="C72" s="1901">
        <v>0</v>
      </c>
      <c r="D72" s="467"/>
      <c r="E72" s="467"/>
      <c r="F72" s="467"/>
      <c r="G72" s="467"/>
      <c r="H72" s="467"/>
      <c r="I72" s="467"/>
      <c r="J72" s="467"/>
      <c r="K72" s="467"/>
    </row>
    <row r="73" spans="1:11" ht="12.75" customHeight="1" x14ac:dyDescent="0.2">
      <c r="A73" s="463" t="s">
        <v>998</v>
      </c>
      <c r="B73" s="469">
        <v>1620</v>
      </c>
      <c r="C73" s="1901">
        <v>0</v>
      </c>
      <c r="D73" s="467"/>
      <c r="E73" s="467"/>
      <c r="F73" s="467"/>
      <c r="G73" s="467"/>
      <c r="H73" s="467"/>
      <c r="I73" s="467"/>
      <c r="J73" s="467"/>
      <c r="K73" s="467"/>
    </row>
    <row r="74" spans="1:11" ht="12.75" customHeight="1" x14ac:dyDescent="0.2">
      <c r="A74" s="463" t="s">
        <v>25</v>
      </c>
      <c r="B74" s="469">
        <v>1690</v>
      </c>
      <c r="C74" s="1901">
        <v>0</v>
      </c>
      <c r="D74" s="467"/>
      <c r="E74" s="467"/>
      <c r="F74" s="467"/>
      <c r="G74" s="467"/>
      <c r="H74" s="467"/>
      <c r="I74" s="467"/>
      <c r="J74" s="467"/>
      <c r="K74" s="467"/>
    </row>
    <row r="75" spans="1:11" ht="12.75" customHeight="1" thickBot="1" x14ac:dyDescent="0.25">
      <c r="A75" s="1681" t="s">
        <v>548</v>
      </c>
      <c r="B75" s="1682"/>
      <c r="C75" s="1661">
        <f>SUM(C69:C74)</f>
        <v>0</v>
      </c>
      <c r="D75" s="467"/>
      <c r="E75" s="467"/>
      <c r="F75" s="467"/>
      <c r="G75" s="467"/>
      <c r="H75" s="467"/>
      <c r="I75" s="467"/>
      <c r="J75" s="467"/>
      <c r="K75" s="467"/>
    </row>
    <row r="76" spans="1:11" ht="15.75" customHeight="1" thickTop="1" x14ac:dyDescent="0.2">
      <c r="A76" s="1565" t="s">
        <v>881</v>
      </c>
      <c r="B76" s="1567">
        <v>1700</v>
      </c>
      <c r="C76" s="541"/>
      <c r="D76" s="467"/>
      <c r="E76" s="467"/>
      <c r="F76" s="467"/>
      <c r="G76" s="467"/>
      <c r="H76" s="467"/>
      <c r="I76" s="467"/>
      <c r="J76" s="467"/>
      <c r="K76" s="467"/>
    </row>
    <row r="77" spans="1:11" ht="12.75" customHeight="1" x14ac:dyDescent="0.2">
      <c r="A77" s="463" t="s">
        <v>549</v>
      </c>
      <c r="B77" s="469">
        <v>1711</v>
      </c>
      <c r="C77" s="509">
        <v>0</v>
      </c>
      <c r="D77" s="1896">
        <v>0</v>
      </c>
      <c r="E77" s="467"/>
      <c r="F77" s="467"/>
      <c r="G77" s="467"/>
      <c r="H77" s="467"/>
      <c r="I77" s="467"/>
      <c r="J77" s="467"/>
      <c r="K77" s="467"/>
    </row>
    <row r="78" spans="1:11" ht="12.75" customHeight="1" x14ac:dyDescent="0.2">
      <c r="A78" s="463" t="s">
        <v>76</v>
      </c>
      <c r="B78" s="469">
        <v>1719</v>
      </c>
      <c r="C78" s="1901">
        <v>0</v>
      </c>
      <c r="D78" s="1896">
        <v>0</v>
      </c>
      <c r="E78" s="467"/>
      <c r="F78" s="467"/>
      <c r="G78" s="467"/>
      <c r="H78" s="467"/>
      <c r="I78" s="467"/>
      <c r="J78" s="467"/>
      <c r="K78" s="467"/>
    </row>
    <row r="79" spans="1:11" ht="12.75" customHeight="1" x14ac:dyDescent="0.2">
      <c r="A79" s="463" t="s">
        <v>550</v>
      </c>
      <c r="B79" s="469">
        <v>1720</v>
      </c>
      <c r="C79" s="1901">
        <v>142841</v>
      </c>
      <c r="D79" s="1896">
        <v>0</v>
      </c>
      <c r="E79" s="467"/>
      <c r="F79" s="467"/>
      <c r="G79" s="467"/>
      <c r="H79" s="467"/>
      <c r="I79" s="467"/>
      <c r="J79" s="467"/>
      <c r="K79" s="467"/>
    </row>
    <row r="80" spans="1:11" ht="12.75" customHeight="1" x14ac:dyDescent="0.2">
      <c r="A80" s="463" t="s">
        <v>551</v>
      </c>
      <c r="B80" s="469">
        <v>1730</v>
      </c>
      <c r="C80" s="1901">
        <v>1475</v>
      </c>
      <c r="D80" s="1896">
        <v>0</v>
      </c>
      <c r="E80" s="467"/>
      <c r="F80" s="467"/>
      <c r="G80" s="467"/>
      <c r="H80" s="467"/>
      <c r="I80" s="467"/>
      <c r="J80" s="467"/>
      <c r="K80" s="467"/>
    </row>
    <row r="81" spans="1:11" ht="12.75" customHeight="1" x14ac:dyDescent="0.2">
      <c r="A81" s="463" t="s">
        <v>26</v>
      </c>
      <c r="B81" s="469">
        <v>1790</v>
      </c>
      <c r="C81" s="1901">
        <v>0</v>
      </c>
      <c r="D81" s="1896">
        <v>0</v>
      </c>
      <c r="E81" s="467"/>
      <c r="F81" s="467"/>
      <c r="G81" s="467"/>
      <c r="H81" s="467"/>
      <c r="I81" s="467"/>
      <c r="J81" s="467"/>
      <c r="K81" s="467"/>
    </row>
    <row r="82" spans="1:11" ht="12.75" customHeight="1" thickBot="1" x14ac:dyDescent="0.25">
      <c r="A82" s="1681" t="s">
        <v>241</v>
      </c>
      <c r="B82" s="1682"/>
      <c r="C82" s="1680">
        <f>SUM(C77:C81)</f>
        <v>144316</v>
      </c>
      <c r="D82" s="1661">
        <f>SUM(D77:D81)</f>
        <v>0</v>
      </c>
      <c r="E82" s="467"/>
      <c r="F82" s="467"/>
      <c r="G82" s="467"/>
      <c r="H82" s="467"/>
      <c r="I82" s="467"/>
      <c r="J82" s="467"/>
      <c r="K82" s="467"/>
    </row>
    <row r="83" spans="1:11" ht="15.75" customHeight="1" thickTop="1" x14ac:dyDescent="0.2">
      <c r="A83" s="1565" t="s">
        <v>242</v>
      </c>
      <c r="B83" s="1567">
        <v>1800</v>
      </c>
      <c r="C83" s="541"/>
      <c r="D83" s="467"/>
      <c r="E83" s="467"/>
      <c r="F83" s="467"/>
      <c r="G83" s="467"/>
      <c r="H83" s="467"/>
      <c r="I83" s="467"/>
      <c r="J83" s="467"/>
      <c r="K83" s="467"/>
    </row>
    <row r="84" spans="1:11" ht="12.75" customHeight="1" x14ac:dyDescent="0.2">
      <c r="A84" s="463" t="s">
        <v>552</v>
      </c>
      <c r="B84" s="469">
        <v>1811</v>
      </c>
      <c r="C84" s="1896">
        <v>0</v>
      </c>
      <c r="D84" s="467"/>
      <c r="E84" s="467"/>
      <c r="F84" s="467"/>
      <c r="G84" s="467"/>
      <c r="H84" s="467"/>
      <c r="I84" s="467"/>
      <c r="J84" s="467"/>
      <c r="K84" s="467"/>
    </row>
    <row r="85" spans="1:11" ht="12.75" customHeight="1" x14ac:dyDescent="0.2">
      <c r="A85" s="463" t="s">
        <v>553</v>
      </c>
      <c r="B85" s="469">
        <v>1812</v>
      </c>
      <c r="C85" s="1901">
        <v>0</v>
      </c>
      <c r="D85" s="467"/>
      <c r="E85" s="467"/>
      <c r="F85" s="467"/>
      <c r="G85" s="467"/>
      <c r="H85" s="467"/>
      <c r="I85" s="467"/>
      <c r="J85" s="467"/>
      <c r="K85" s="467"/>
    </row>
    <row r="86" spans="1:11" ht="12.75" customHeight="1" x14ac:dyDescent="0.2">
      <c r="A86" s="463" t="s">
        <v>999</v>
      </c>
      <c r="B86" s="469">
        <v>1813</v>
      </c>
      <c r="C86" s="1901">
        <v>0</v>
      </c>
      <c r="D86" s="467"/>
      <c r="E86" s="467"/>
      <c r="F86" s="467"/>
      <c r="G86" s="467"/>
      <c r="H86" s="467"/>
      <c r="I86" s="467"/>
      <c r="J86" s="467"/>
      <c r="K86" s="467"/>
    </row>
    <row r="87" spans="1:11" ht="12.75" customHeight="1" x14ac:dyDescent="0.2">
      <c r="A87" s="463" t="s">
        <v>77</v>
      </c>
      <c r="B87" s="469">
        <v>1819</v>
      </c>
      <c r="C87" s="1901">
        <v>0</v>
      </c>
      <c r="D87" s="467"/>
      <c r="E87" s="467"/>
      <c r="F87" s="467"/>
      <c r="G87" s="467"/>
      <c r="H87" s="467"/>
      <c r="I87" s="467"/>
      <c r="J87" s="467"/>
      <c r="K87" s="467"/>
    </row>
    <row r="88" spans="1:11" ht="12.75" customHeight="1" x14ac:dyDescent="0.2">
      <c r="A88" s="463" t="s">
        <v>554</v>
      </c>
      <c r="B88" s="469">
        <v>1821</v>
      </c>
      <c r="C88" s="1901">
        <v>0</v>
      </c>
      <c r="D88" s="467"/>
      <c r="E88" s="467"/>
      <c r="F88" s="467"/>
      <c r="G88" s="467"/>
      <c r="H88" s="467"/>
      <c r="I88" s="467"/>
      <c r="J88" s="467"/>
      <c r="K88" s="467"/>
    </row>
    <row r="89" spans="1:11" ht="12.75" customHeight="1" x14ac:dyDescent="0.2">
      <c r="A89" s="463" t="s">
        <v>714</v>
      </c>
      <c r="B89" s="469">
        <v>1822</v>
      </c>
      <c r="C89" s="1901">
        <v>0</v>
      </c>
      <c r="D89" s="467"/>
      <c r="E89" s="467"/>
      <c r="F89" s="467"/>
      <c r="G89" s="467"/>
      <c r="H89" s="467"/>
      <c r="I89" s="467"/>
      <c r="J89" s="467"/>
      <c r="K89" s="467"/>
    </row>
    <row r="90" spans="1:11" ht="12.75" customHeight="1" x14ac:dyDescent="0.2">
      <c r="A90" s="463" t="s">
        <v>139</v>
      </c>
      <c r="B90" s="469">
        <v>1823</v>
      </c>
      <c r="C90" s="1901">
        <v>0</v>
      </c>
      <c r="D90" s="467"/>
      <c r="E90" s="467"/>
      <c r="F90" s="467"/>
      <c r="G90" s="467"/>
      <c r="H90" s="467"/>
      <c r="I90" s="467"/>
      <c r="J90" s="467"/>
      <c r="K90" s="467"/>
    </row>
    <row r="91" spans="1:11" ht="12.75" customHeight="1" x14ac:dyDescent="0.2">
      <c r="A91" s="463" t="s">
        <v>27</v>
      </c>
      <c r="B91" s="469">
        <v>1829</v>
      </c>
      <c r="C91" s="1901">
        <v>0</v>
      </c>
      <c r="D91" s="467"/>
      <c r="E91" s="467"/>
      <c r="F91" s="467"/>
      <c r="G91" s="467"/>
      <c r="H91" s="467"/>
      <c r="I91" s="467"/>
      <c r="J91" s="467"/>
      <c r="K91" s="467"/>
    </row>
    <row r="92" spans="1:11" ht="12.75" customHeight="1" x14ac:dyDescent="0.2">
      <c r="A92" s="463" t="s">
        <v>762</v>
      </c>
      <c r="B92" s="469">
        <v>1890</v>
      </c>
      <c r="C92" s="1901">
        <v>3564</v>
      </c>
      <c r="D92" s="467"/>
      <c r="E92" s="467"/>
      <c r="F92" s="467"/>
      <c r="G92" s="467"/>
      <c r="H92" s="467"/>
      <c r="I92" s="467"/>
      <c r="J92" s="467"/>
      <c r="K92" s="467"/>
    </row>
    <row r="93" spans="1:11" ht="12.75" customHeight="1" thickBot="1" x14ac:dyDescent="0.25">
      <c r="A93" s="1681" t="s">
        <v>243</v>
      </c>
      <c r="B93" s="1682"/>
      <c r="C93" s="1661">
        <f>SUM(C84:C92)</f>
        <v>3564</v>
      </c>
      <c r="D93" s="467"/>
      <c r="E93" s="467"/>
      <c r="F93" s="467"/>
      <c r="G93" s="467"/>
      <c r="H93" s="467"/>
      <c r="I93" s="467"/>
      <c r="J93" s="467"/>
      <c r="K93" s="467"/>
    </row>
    <row r="94" spans="1:11" ht="15.75" customHeight="1" thickTop="1" x14ac:dyDescent="0.2">
      <c r="A94" s="1565" t="s">
        <v>1137</v>
      </c>
      <c r="B94" s="1567">
        <v>1900</v>
      </c>
      <c r="C94" s="541"/>
      <c r="D94" s="514"/>
      <c r="E94" s="467"/>
      <c r="F94" s="467"/>
      <c r="G94" s="467"/>
      <c r="H94" s="467"/>
      <c r="I94" s="467"/>
      <c r="J94" s="467"/>
      <c r="K94" s="467"/>
    </row>
    <row r="95" spans="1:11" ht="12.75" customHeight="1" x14ac:dyDescent="0.2">
      <c r="A95" s="463" t="s">
        <v>1064</v>
      </c>
      <c r="B95" s="469">
        <v>1910</v>
      </c>
      <c r="C95" s="1896">
        <v>0</v>
      </c>
      <c r="D95" s="1901">
        <v>64720</v>
      </c>
      <c r="E95" s="514"/>
      <c r="F95" s="514"/>
      <c r="G95" s="514"/>
      <c r="H95" s="514"/>
      <c r="I95" s="514"/>
      <c r="J95" s="514"/>
      <c r="K95" s="514"/>
    </row>
    <row r="96" spans="1:11" ht="12.75" customHeight="1" x14ac:dyDescent="0.2">
      <c r="A96" s="463" t="s">
        <v>391</v>
      </c>
      <c r="B96" s="469">
        <v>1920</v>
      </c>
      <c r="C96" s="1901">
        <v>13900</v>
      </c>
      <c r="D96" s="1901">
        <v>0</v>
      </c>
      <c r="E96" s="1899">
        <v>0</v>
      </c>
      <c r="F96" s="474">
        <v>0</v>
      </c>
      <c r="G96" s="474">
        <v>0</v>
      </c>
      <c r="H96" s="474">
        <v>0</v>
      </c>
      <c r="I96" s="474">
        <v>0</v>
      </c>
      <c r="J96" s="474">
        <v>0</v>
      </c>
      <c r="K96" s="474">
        <v>0</v>
      </c>
    </row>
    <row r="97" spans="1:12" ht="12.75" customHeight="1" x14ac:dyDescent="0.2">
      <c r="A97" s="1468" t="s">
        <v>244</v>
      </c>
      <c r="B97" s="547">
        <v>1930</v>
      </c>
      <c r="C97" s="1900">
        <v>0</v>
      </c>
      <c r="D97" s="1897">
        <v>0</v>
      </c>
      <c r="E97" s="1898">
        <v>0</v>
      </c>
      <c r="F97" s="1897">
        <v>0</v>
      </c>
      <c r="G97" s="1903">
        <v>0</v>
      </c>
      <c r="H97" s="1903">
        <v>0</v>
      </c>
      <c r="I97" s="1903">
        <v>0</v>
      </c>
      <c r="J97" s="1903">
        <v>0</v>
      </c>
      <c r="K97" s="1903">
        <v>0</v>
      </c>
    </row>
    <row r="98" spans="1:12" ht="12.75" customHeight="1" x14ac:dyDescent="0.2">
      <c r="A98" s="463" t="s">
        <v>189</v>
      </c>
      <c r="B98" s="469">
        <v>1940</v>
      </c>
      <c r="C98" s="1900">
        <v>0</v>
      </c>
      <c r="D98" s="1896">
        <v>0</v>
      </c>
      <c r="E98" s="505"/>
      <c r="F98" s="1896">
        <v>0</v>
      </c>
      <c r="G98" s="505"/>
      <c r="H98" s="505"/>
      <c r="I98" s="503"/>
      <c r="J98" s="505"/>
      <c r="K98" s="505"/>
    </row>
    <row r="99" spans="1:12" ht="12.75" customHeight="1" x14ac:dyDescent="0.2">
      <c r="A99" s="463" t="s">
        <v>821</v>
      </c>
      <c r="B99" s="469">
        <v>1950</v>
      </c>
      <c r="C99" s="1900">
        <v>1414507</v>
      </c>
      <c r="D99" s="1896">
        <v>1265</v>
      </c>
      <c r="E99" s="1896">
        <v>0</v>
      </c>
      <c r="F99" s="1896">
        <v>0</v>
      </c>
      <c r="G99" s="1902">
        <v>0</v>
      </c>
      <c r="H99" s="1902">
        <v>0</v>
      </c>
      <c r="I99" s="467"/>
      <c r="J99" s="1903">
        <v>0</v>
      </c>
      <c r="K99" s="1902">
        <v>0</v>
      </c>
    </row>
    <row r="100" spans="1:12" ht="12.75" customHeight="1" x14ac:dyDescent="0.2">
      <c r="A100" s="463" t="s">
        <v>245</v>
      </c>
      <c r="B100" s="469">
        <v>1960</v>
      </c>
      <c r="C100" s="1900">
        <v>0</v>
      </c>
      <c r="D100" s="1900">
        <v>0</v>
      </c>
      <c r="E100" s="1900">
        <v>0</v>
      </c>
      <c r="F100" s="1900">
        <v>0</v>
      </c>
      <c r="G100" s="1904">
        <v>0</v>
      </c>
      <c r="H100" s="1904">
        <v>0</v>
      </c>
      <c r="I100" s="1903">
        <v>0</v>
      </c>
      <c r="J100" s="1904">
        <v>0</v>
      </c>
      <c r="K100" s="1903">
        <v>0</v>
      </c>
    </row>
    <row r="101" spans="1:12" ht="12.75" customHeight="1" x14ac:dyDescent="0.2">
      <c r="A101" s="463" t="s">
        <v>246</v>
      </c>
      <c r="B101" s="469">
        <v>1970</v>
      </c>
      <c r="C101" s="1900">
        <v>0</v>
      </c>
      <c r="D101" s="519"/>
      <c r="E101" s="476"/>
      <c r="F101" s="519"/>
      <c r="G101" s="472"/>
      <c r="H101" s="519"/>
      <c r="I101" s="467"/>
      <c r="J101" s="472"/>
      <c r="K101" s="472"/>
    </row>
    <row r="102" spans="1:12" ht="12.75" customHeight="1" x14ac:dyDescent="0.2">
      <c r="A102" s="463" t="s">
        <v>247</v>
      </c>
      <c r="B102" s="469">
        <v>1980</v>
      </c>
      <c r="C102" s="1900">
        <v>0</v>
      </c>
      <c r="D102" s="1900">
        <v>0</v>
      </c>
      <c r="E102" s="1900">
        <v>0</v>
      </c>
      <c r="F102" s="1904">
        <v>0</v>
      </c>
      <c r="G102" s="1904">
        <v>0</v>
      </c>
      <c r="H102" s="1904">
        <v>0</v>
      </c>
      <c r="I102" s="1903">
        <v>0</v>
      </c>
      <c r="J102" s="1904">
        <v>0</v>
      </c>
      <c r="K102" s="1903">
        <v>0</v>
      </c>
    </row>
    <row r="103" spans="1:12" ht="12.75" customHeight="1" x14ac:dyDescent="0.2">
      <c r="A103" s="463" t="s">
        <v>345</v>
      </c>
      <c r="B103" s="469">
        <v>1983</v>
      </c>
      <c r="C103" s="467"/>
      <c r="D103" s="467"/>
      <c r="E103" s="548">
        <v>0</v>
      </c>
      <c r="F103" s="467"/>
      <c r="G103" s="467"/>
      <c r="H103" s="1904">
        <v>0</v>
      </c>
      <c r="I103" s="467"/>
      <c r="J103" s="503"/>
      <c r="K103" s="503"/>
    </row>
    <row r="104" spans="1:12" ht="12.75" customHeight="1" x14ac:dyDescent="0.2">
      <c r="A104" s="463" t="s">
        <v>830</v>
      </c>
      <c r="B104" s="469">
        <v>1991</v>
      </c>
      <c r="C104" s="1900">
        <v>0</v>
      </c>
      <c r="D104" s="1896">
        <v>0</v>
      </c>
      <c r="E104" s="477">
        <v>0</v>
      </c>
      <c r="F104" s="1903">
        <v>0</v>
      </c>
      <c r="G104" s="1903">
        <v>0</v>
      </c>
      <c r="H104" s="1902">
        <v>0</v>
      </c>
      <c r="I104" s="467"/>
      <c r="J104" s="467"/>
      <c r="K104" s="467"/>
    </row>
    <row r="105" spans="1:12" ht="12.75" customHeight="1" x14ac:dyDescent="0.2">
      <c r="A105" s="463" t="s">
        <v>822</v>
      </c>
      <c r="B105" s="469">
        <v>1992</v>
      </c>
      <c r="C105" s="1896">
        <v>0</v>
      </c>
      <c r="D105" s="549"/>
      <c r="E105" s="467"/>
      <c r="F105" s="467"/>
      <c r="G105" s="467"/>
      <c r="H105" s="503"/>
      <c r="I105" s="467"/>
      <c r="J105" s="467"/>
      <c r="K105" s="467"/>
    </row>
    <row r="106" spans="1:12" ht="12.75" customHeight="1" x14ac:dyDescent="0.2">
      <c r="A106" s="463" t="s">
        <v>1416</v>
      </c>
      <c r="B106" s="469">
        <v>1993</v>
      </c>
      <c r="C106" s="1896">
        <v>0</v>
      </c>
      <c r="D106" s="1900">
        <v>0</v>
      </c>
      <c r="E106" s="1897">
        <v>0</v>
      </c>
      <c r="F106" s="1903">
        <v>0</v>
      </c>
      <c r="G106" s="1903">
        <v>0</v>
      </c>
      <c r="H106" s="1903">
        <v>0</v>
      </c>
      <c r="I106" s="514"/>
      <c r="J106" s="1903">
        <v>0</v>
      </c>
      <c r="K106" s="1903">
        <v>0</v>
      </c>
    </row>
    <row r="107" spans="1:12" ht="12.75" customHeight="1" x14ac:dyDescent="0.2">
      <c r="A107" s="463" t="s">
        <v>78</v>
      </c>
      <c r="B107" s="469">
        <v>1999</v>
      </c>
      <c r="C107" s="1901">
        <v>76667</v>
      </c>
      <c r="D107" s="1896">
        <v>46300</v>
      </c>
      <c r="E107" s="1896">
        <v>0</v>
      </c>
      <c r="F107" s="1902">
        <v>2602</v>
      </c>
      <c r="G107" s="1902">
        <v>0</v>
      </c>
      <c r="H107" s="1902">
        <v>0</v>
      </c>
      <c r="I107" s="1902">
        <v>0</v>
      </c>
      <c r="J107" s="1903">
        <v>0</v>
      </c>
      <c r="K107" s="1902">
        <v>0</v>
      </c>
    </row>
    <row r="108" spans="1:12" ht="12.75" customHeight="1" thickBot="1" x14ac:dyDescent="0.25">
      <c r="A108" s="1681" t="s">
        <v>487</v>
      </c>
      <c r="B108" s="1685"/>
      <c r="C108" s="1680">
        <f>SUM(C95:C107)</f>
        <v>1505074</v>
      </c>
      <c r="D108" s="1680">
        <f t="shared" ref="D108:K108" si="3">SUM(D95:D107)</f>
        <v>112285</v>
      </c>
      <c r="E108" s="1680">
        <f t="shared" si="3"/>
        <v>0</v>
      </c>
      <c r="F108" s="1680">
        <f t="shared" si="3"/>
        <v>2602</v>
      </c>
      <c r="G108" s="1680">
        <f t="shared" si="3"/>
        <v>0</v>
      </c>
      <c r="H108" s="1680">
        <f t="shared" si="3"/>
        <v>0</v>
      </c>
      <c r="I108" s="1680">
        <f t="shared" si="3"/>
        <v>0</v>
      </c>
      <c r="J108" s="1680">
        <f t="shared" si="3"/>
        <v>0</v>
      </c>
      <c r="K108" s="1661">
        <f t="shared" si="3"/>
        <v>0</v>
      </c>
    </row>
    <row r="109" spans="1:12" ht="14.25" thickTop="1" thickBot="1" x14ac:dyDescent="0.25">
      <c r="A109" s="1686" t="s">
        <v>248</v>
      </c>
      <c r="B109" s="1687" t="s">
        <v>570</v>
      </c>
      <c r="C109" s="1688">
        <f t="shared" ref="C109:K109" si="4">SUM(C12,C18,C40,C63,C67,C75,C82,C93,C108,)</f>
        <v>16974797</v>
      </c>
      <c r="D109" s="1688">
        <f t="shared" si="4"/>
        <v>4635462</v>
      </c>
      <c r="E109" s="1688">
        <f t="shared" si="4"/>
        <v>5880527</v>
      </c>
      <c r="F109" s="1688">
        <f t="shared" si="4"/>
        <v>1009706</v>
      </c>
      <c r="G109" s="1688">
        <f t="shared" si="4"/>
        <v>4225110</v>
      </c>
      <c r="H109" s="1688">
        <f t="shared" si="4"/>
        <v>745352</v>
      </c>
      <c r="I109" s="1688">
        <f t="shared" si="4"/>
        <v>95956</v>
      </c>
      <c r="J109" s="1688">
        <f t="shared" si="4"/>
        <v>1577972</v>
      </c>
      <c r="K109" s="1675">
        <f t="shared" si="4"/>
        <v>70574</v>
      </c>
    </row>
    <row r="110" spans="1:12" ht="30" customHeight="1" thickTop="1" x14ac:dyDescent="0.2">
      <c r="A110" s="1558" t="s">
        <v>346</v>
      </c>
      <c r="B110" s="1559"/>
      <c r="C110" s="1544"/>
      <c r="D110" s="1544"/>
      <c r="E110" s="1544"/>
      <c r="F110" s="1544"/>
      <c r="G110" s="1544"/>
      <c r="H110" s="1544"/>
      <c r="I110" s="1544"/>
      <c r="J110" s="1544"/>
      <c r="K110" s="1545"/>
    </row>
    <row r="111" spans="1:12" ht="12.75" customHeight="1" x14ac:dyDescent="0.2">
      <c r="A111" s="486" t="s">
        <v>823</v>
      </c>
      <c r="B111" s="485">
        <v>2100</v>
      </c>
      <c r="C111" s="509">
        <v>0</v>
      </c>
      <c r="D111" s="477">
        <v>0</v>
      </c>
      <c r="E111" s="549"/>
      <c r="F111" s="477">
        <v>0</v>
      </c>
      <c r="G111" s="477">
        <v>0</v>
      </c>
      <c r="H111" s="549"/>
      <c r="I111" s="467"/>
      <c r="J111" s="467"/>
      <c r="K111" s="467"/>
    </row>
    <row r="112" spans="1:12" ht="12.75" customHeight="1" x14ac:dyDescent="0.2">
      <c r="A112" s="463" t="s">
        <v>824</v>
      </c>
      <c r="B112" s="469">
        <v>2200</v>
      </c>
      <c r="C112" s="1905">
        <v>0</v>
      </c>
      <c r="D112" s="1902">
        <v>0</v>
      </c>
      <c r="E112" s="549"/>
      <c r="F112" s="1902">
        <v>0</v>
      </c>
      <c r="G112" s="1902">
        <v>0</v>
      </c>
      <c r="H112" s="549"/>
      <c r="I112" s="467"/>
      <c r="J112" s="467"/>
      <c r="K112" s="467"/>
      <c r="L112" s="540"/>
    </row>
    <row r="113" spans="1:11" ht="12.75" customHeight="1" x14ac:dyDescent="0.2">
      <c r="A113" s="463" t="s">
        <v>28</v>
      </c>
      <c r="B113" s="469">
        <v>2300</v>
      </c>
      <c r="C113" s="1905">
        <v>0</v>
      </c>
      <c r="D113" s="1902">
        <v>0</v>
      </c>
      <c r="E113" s="549"/>
      <c r="F113" s="1902">
        <v>0</v>
      </c>
      <c r="G113" s="1902">
        <v>0</v>
      </c>
      <c r="H113" s="549"/>
      <c r="I113" s="467"/>
      <c r="J113" s="467"/>
      <c r="K113" s="467"/>
    </row>
    <row r="114" spans="1:11" ht="13.5" thickBot="1" x14ac:dyDescent="0.25">
      <c r="A114" s="1689" t="s">
        <v>806</v>
      </c>
      <c r="B114" s="1690" t="s">
        <v>569</v>
      </c>
      <c r="C114" s="1691">
        <f>SUM(C111:C113)</f>
        <v>0</v>
      </c>
      <c r="D114" s="1691">
        <f>SUM(D111:D113)</f>
        <v>0</v>
      </c>
      <c r="E114" s="549" t="s">
        <v>1169</v>
      </c>
      <c r="F114" s="1691">
        <f>SUM(F111:F113)</f>
        <v>0</v>
      </c>
      <c r="G114" s="1691">
        <f>SUM(G111:G113)</f>
        <v>0</v>
      </c>
      <c r="H114" s="549"/>
      <c r="I114" s="467"/>
      <c r="J114" s="467"/>
      <c r="K114" s="467"/>
    </row>
    <row r="115" spans="1:11" ht="16.7" customHeight="1" thickTop="1" x14ac:dyDescent="0.2">
      <c r="A115" s="1560" t="s">
        <v>803</v>
      </c>
      <c r="B115" s="1561"/>
      <c r="C115" s="1543"/>
      <c r="D115" s="1544"/>
      <c r="E115" s="1544"/>
      <c r="F115" s="1544"/>
      <c r="G115" s="1544"/>
      <c r="H115" s="1544"/>
      <c r="I115" s="1544"/>
      <c r="J115" s="1544"/>
      <c r="K115" s="1545"/>
    </row>
    <row r="116" spans="1:11" ht="18" customHeight="1" x14ac:dyDescent="0.2">
      <c r="A116" s="1568" t="s">
        <v>1477</v>
      </c>
      <c r="B116" s="1569"/>
      <c r="C116" s="515"/>
      <c r="D116" s="514"/>
      <c r="E116" s="549"/>
      <c r="F116" s="514"/>
      <c r="G116" s="514"/>
      <c r="H116" s="549"/>
      <c r="I116" s="467"/>
      <c r="J116" s="514"/>
      <c r="K116" s="514"/>
    </row>
    <row r="117" spans="1:11" ht="12.75" customHeight="1" x14ac:dyDescent="0.2">
      <c r="A117" s="463" t="s">
        <v>1636</v>
      </c>
      <c r="B117" s="550">
        <v>3001</v>
      </c>
      <c r="C117" s="509">
        <v>107730852</v>
      </c>
      <c r="D117" s="477">
        <v>8000000</v>
      </c>
      <c r="E117" s="1902">
        <v>0</v>
      </c>
      <c r="F117" s="477">
        <v>0</v>
      </c>
      <c r="G117" s="477">
        <v>0</v>
      </c>
      <c r="H117" s="1902">
        <v>0</v>
      </c>
      <c r="I117" s="467"/>
      <c r="J117" s="1903">
        <v>0</v>
      </c>
      <c r="K117" s="1902">
        <v>0</v>
      </c>
    </row>
    <row r="118" spans="1:11" ht="12.75" customHeight="1" x14ac:dyDescent="0.2">
      <c r="A118" s="463" t="s">
        <v>1761</v>
      </c>
      <c r="B118" s="550">
        <v>3002</v>
      </c>
      <c r="C118" s="1905">
        <v>0</v>
      </c>
      <c r="D118" s="1902">
        <v>0</v>
      </c>
      <c r="E118" s="1902">
        <v>0</v>
      </c>
      <c r="F118" s="1902">
        <v>0</v>
      </c>
      <c r="G118" s="1902">
        <v>0</v>
      </c>
      <c r="H118" s="1902">
        <v>0</v>
      </c>
      <c r="I118" s="467"/>
      <c r="J118" s="1903">
        <v>0</v>
      </c>
      <c r="K118" s="1902">
        <v>0</v>
      </c>
    </row>
    <row r="119" spans="1:11" ht="12.75" customHeight="1" x14ac:dyDescent="0.2">
      <c r="A119" s="463" t="s">
        <v>1762</v>
      </c>
      <c r="B119" s="550">
        <v>3005</v>
      </c>
      <c r="C119" s="1905">
        <v>0</v>
      </c>
      <c r="D119" s="1902">
        <v>0</v>
      </c>
      <c r="E119" s="1902">
        <v>0</v>
      </c>
      <c r="F119" s="1902">
        <v>0</v>
      </c>
      <c r="G119" s="1902">
        <v>0</v>
      </c>
      <c r="H119" s="1902">
        <v>0</v>
      </c>
      <c r="I119" s="467"/>
      <c r="J119" s="1903">
        <v>0</v>
      </c>
      <c r="K119" s="1902">
        <v>0</v>
      </c>
    </row>
    <row r="120" spans="1:11" ht="12.75" customHeight="1" x14ac:dyDescent="0.2">
      <c r="A120" s="1864" t="s">
        <v>1896</v>
      </c>
      <c r="B120" s="550">
        <v>3030</v>
      </c>
      <c r="C120" s="1905">
        <v>0</v>
      </c>
      <c r="D120" s="1902">
        <v>0</v>
      </c>
      <c r="E120" s="1902">
        <v>0</v>
      </c>
      <c r="F120" s="1902">
        <v>0</v>
      </c>
      <c r="G120" s="1902">
        <v>0</v>
      </c>
      <c r="H120" s="1902">
        <v>0</v>
      </c>
      <c r="I120" s="467"/>
      <c r="J120" s="466">
        <v>0</v>
      </c>
      <c r="K120" s="465">
        <v>0</v>
      </c>
    </row>
    <row r="121" spans="1:11" x14ac:dyDescent="0.2">
      <c r="A121" s="1469" t="s">
        <v>1763</v>
      </c>
      <c r="B121" s="552">
        <v>3099</v>
      </c>
      <c r="C121" s="1905">
        <v>0</v>
      </c>
      <c r="D121" s="1902">
        <v>0</v>
      </c>
      <c r="E121" s="1902">
        <v>0</v>
      </c>
      <c r="F121" s="1902">
        <v>0</v>
      </c>
      <c r="G121" s="1902">
        <v>0</v>
      </c>
      <c r="H121" s="1902">
        <v>0</v>
      </c>
      <c r="I121" s="467"/>
      <c r="J121" s="1903">
        <v>0</v>
      </c>
      <c r="K121" s="1902">
        <v>0</v>
      </c>
    </row>
    <row r="122" spans="1:11" ht="12.6" customHeight="1" thickBot="1" x14ac:dyDescent="0.25">
      <c r="A122" s="1681" t="s">
        <v>488</v>
      </c>
      <c r="B122" s="1692"/>
      <c r="C122" s="1680">
        <f t="shared" ref="C122:H122" si="5">SUM(C117:C121)</f>
        <v>107730852</v>
      </c>
      <c r="D122" s="1680">
        <f t="shared" si="5"/>
        <v>8000000</v>
      </c>
      <c r="E122" s="1680">
        <f t="shared" si="5"/>
        <v>0</v>
      </c>
      <c r="F122" s="1680">
        <f t="shared" si="5"/>
        <v>0</v>
      </c>
      <c r="G122" s="1680">
        <f t="shared" si="5"/>
        <v>0</v>
      </c>
      <c r="H122" s="1680">
        <f t="shared" si="5"/>
        <v>0</v>
      </c>
      <c r="I122" s="467"/>
      <c r="J122" s="1680">
        <f>SUM(J117:J121)</f>
        <v>0</v>
      </c>
      <c r="K122" s="1661">
        <f>SUM(K117:K121)</f>
        <v>0</v>
      </c>
    </row>
    <row r="123" spans="1:11" ht="15.75" customHeight="1" thickTop="1" x14ac:dyDescent="0.2">
      <c r="A123" s="1565" t="s">
        <v>1476</v>
      </c>
      <c r="B123" s="1570"/>
      <c r="C123" s="553"/>
      <c r="D123" s="502"/>
      <c r="E123" s="467"/>
      <c r="F123" s="554"/>
      <c r="G123" s="467"/>
      <c r="H123" s="467"/>
      <c r="I123" s="467"/>
      <c r="J123" s="467"/>
      <c r="K123" s="467"/>
    </row>
    <row r="124" spans="1:11" ht="15" customHeight="1" x14ac:dyDescent="0.2">
      <c r="A124" s="1571" t="s">
        <v>667</v>
      </c>
      <c r="B124" s="1572"/>
      <c r="C124" s="514"/>
      <c r="D124" s="502"/>
      <c r="E124" s="467"/>
      <c r="F124" s="514"/>
      <c r="G124" s="467"/>
      <c r="H124" s="467"/>
      <c r="I124" s="467"/>
      <c r="J124" s="467"/>
      <c r="K124" s="467"/>
    </row>
    <row r="125" spans="1:11" ht="12.75" customHeight="1" x14ac:dyDescent="0.2">
      <c r="A125" s="463" t="s">
        <v>866</v>
      </c>
      <c r="B125" s="555">
        <v>3100</v>
      </c>
      <c r="C125" s="477">
        <v>1230674</v>
      </c>
      <c r="D125" s="549"/>
      <c r="E125" s="467"/>
      <c r="F125" s="1914">
        <v>0</v>
      </c>
      <c r="G125" s="467"/>
      <c r="H125" s="467"/>
      <c r="I125" s="467"/>
      <c r="J125" s="467"/>
      <c r="K125" s="467"/>
    </row>
    <row r="126" spans="1:11" ht="12.75" customHeight="1" x14ac:dyDescent="0.2">
      <c r="A126" s="463" t="s">
        <v>1432</v>
      </c>
      <c r="B126" s="550">
        <v>3105</v>
      </c>
      <c r="C126" s="1902">
        <v>0</v>
      </c>
      <c r="D126" s="549"/>
      <c r="E126" s="467"/>
      <c r="F126" s="1906">
        <v>0</v>
      </c>
      <c r="G126" s="467"/>
      <c r="H126" s="467"/>
      <c r="I126" s="467"/>
      <c r="J126" s="467"/>
      <c r="K126" s="467"/>
    </row>
    <row r="127" spans="1:11" ht="12.75" customHeight="1" x14ac:dyDescent="0.2">
      <c r="A127" s="463" t="s">
        <v>867</v>
      </c>
      <c r="B127" s="550">
        <v>3110</v>
      </c>
      <c r="C127" s="1905">
        <v>0</v>
      </c>
      <c r="D127" s="1906">
        <v>0</v>
      </c>
      <c r="E127" s="467"/>
      <c r="F127" s="1906">
        <v>0</v>
      </c>
      <c r="G127" s="467"/>
      <c r="H127" s="467"/>
      <c r="I127" s="467"/>
      <c r="J127" s="467"/>
      <c r="K127" s="467"/>
    </row>
    <row r="128" spans="1:11" ht="12.75" customHeight="1" x14ac:dyDescent="0.2">
      <c r="A128" s="463" t="s">
        <v>105</v>
      </c>
      <c r="B128" s="550">
        <v>3120</v>
      </c>
      <c r="C128" s="1902">
        <v>0</v>
      </c>
      <c r="D128" s="549"/>
      <c r="E128" s="467"/>
      <c r="F128" s="1906">
        <v>0</v>
      </c>
      <c r="G128" s="467"/>
      <c r="H128" s="467"/>
      <c r="I128" s="467"/>
      <c r="J128" s="467"/>
      <c r="K128" s="467"/>
    </row>
    <row r="129" spans="1:11" ht="12.75" customHeight="1" x14ac:dyDescent="0.2">
      <c r="A129" s="463" t="s">
        <v>1433</v>
      </c>
      <c r="B129" s="550">
        <v>3130</v>
      </c>
      <c r="C129" s="1902">
        <v>0</v>
      </c>
      <c r="D129" s="549"/>
      <c r="E129" s="467"/>
      <c r="F129" s="1906">
        <v>0</v>
      </c>
      <c r="G129" s="467"/>
      <c r="H129" s="467"/>
      <c r="I129" s="467"/>
      <c r="J129" s="467"/>
      <c r="K129" s="467"/>
    </row>
    <row r="130" spans="1:11" ht="12.75" customHeight="1" x14ac:dyDescent="0.2">
      <c r="A130" s="463" t="s">
        <v>137</v>
      </c>
      <c r="B130" s="550">
        <v>3145</v>
      </c>
      <c r="C130" s="1902">
        <v>0</v>
      </c>
      <c r="D130" s="549"/>
      <c r="E130" s="467"/>
      <c r="F130" s="1906">
        <v>0</v>
      </c>
      <c r="G130" s="467"/>
      <c r="H130" s="467"/>
      <c r="I130" s="467"/>
      <c r="J130" s="467"/>
      <c r="K130" s="467"/>
    </row>
    <row r="131" spans="1:11" ht="12.75" customHeight="1" x14ac:dyDescent="0.2">
      <c r="A131" s="463" t="s">
        <v>66</v>
      </c>
      <c r="B131" s="550">
        <v>3199</v>
      </c>
      <c r="C131" s="1905">
        <v>0</v>
      </c>
      <c r="D131" s="1907">
        <v>0</v>
      </c>
      <c r="E131" s="467"/>
      <c r="F131" s="1906">
        <v>0</v>
      </c>
      <c r="G131" s="467"/>
      <c r="H131" s="467"/>
      <c r="I131" s="467"/>
      <c r="J131" s="467"/>
      <c r="K131" s="467"/>
    </row>
    <row r="132" spans="1:11" ht="12.75" customHeight="1" thickBot="1" x14ac:dyDescent="0.25">
      <c r="A132" s="1681" t="s">
        <v>1032</v>
      </c>
      <c r="B132" s="1693"/>
      <c r="C132" s="1680">
        <f>SUM(C125:C131)</f>
        <v>1230674</v>
      </c>
      <c r="D132" s="1680">
        <f>SUM(D125:D131)</f>
        <v>0</v>
      </c>
      <c r="E132" s="468" t="s">
        <v>1169</v>
      </c>
      <c r="F132" s="1680">
        <f>SUM(F125:F131)</f>
        <v>0</v>
      </c>
      <c r="G132" s="467" t="s">
        <v>1169</v>
      </c>
      <c r="H132" s="467" t="s">
        <v>1169</v>
      </c>
      <c r="I132" s="467" t="s">
        <v>1169</v>
      </c>
      <c r="J132" s="467" t="s">
        <v>1169</v>
      </c>
      <c r="K132" s="467" t="s">
        <v>1169</v>
      </c>
    </row>
    <row r="133" spans="1:11" ht="15.75" customHeight="1" thickTop="1" x14ac:dyDescent="0.2">
      <c r="A133" s="1573" t="s">
        <v>250</v>
      </c>
      <c r="B133" s="1574"/>
      <c r="C133" s="541"/>
      <c r="D133" s="541"/>
      <c r="E133" s="502"/>
      <c r="F133" s="541"/>
      <c r="G133" s="467"/>
      <c r="H133" s="467"/>
      <c r="I133" s="467"/>
      <c r="J133" s="467"/>
      <c r="K133" s="467"/>
    </row>
    <row r="134" spans="1:11" x14ac:dyDescent="0.2">
      <c r="A134" s="463" t="s">
        <v>599</v>
      </c>
      <c r="B134" s="550">
        <v>3200</v>
      </c>
      <c r="C134" s="1915">
        <v>0</v>
      </c>
      <c r="D134" s="1906">
        <v>0</v>
      </c>
      <c r="E134" s="549"/>
      <c r="F134" s="467"/>
      <c r="G134" s="1906">
        <v>0</v>
      </c>
      <c r="H134" s="467"/>
      <c r="I134" s="467"/>
      <c r="J134" s="467"/>
      <c r="K134" s="467"/>
    </row>
    <row r="135" spans="1:11" ht="12.75" customHeight="1" x14ac:dyDescent="0.2">
      <c r="A135" s="463" t="s">
        <v>669</v>
      </c>
      <c r="B135" s="550">
        <v>3220</v>
      </c>
      <c r="C135" s="1915">
        <v>0</v>
      </c>
      <c r="D135" s="1906">
        <v>0</v>
      </c>
      <c r="E135" s="549"/>
      <c r="F135" s="467"/>
      <c r="G135" s="1907">
        <v>0</v>
      </c>
      <c r="H135" s="467"/>
      <c r="I135" s="467"/>
      <c r="J135" s="467"/>
      <c r="K135" s="467"/>
    </row>
    <row r="136" spans="1:11" ht="12.75" customHeight="1" x14ac:dyDescent="0.2">
      <c r="A136" s="463" t="s">
        <v>249</v>
      </c>
      <c r="B136" s="550">
        <v>3225</v>
      </c>
      <c r="C136" s="1915">
        <v>0</v>
      </c>
      <c r="D136" s="1906">
        <v>0</v>
      </c>
      <c r="E136" s="549"/>
      <c r="F136" s="467"/>
      <c r="G136" s="1907">
        <v>0</v>
      </c>
      <c r="H136" s="467"/>
      <c r="I136" s="467"/>
      <c r="J136" s="467"/>
      <c r="K136" s="467"/>
    </row>
    <row r="137" spans="1:11" ht="12.75" customHeight="1" x14ac:dyDescent="0.2">
      <c r="A137" s="463" t="s">
        <v>600</v>
      </c>
      <c r="B137" s="550">
        <v>3235</v>
      </c>
      <c r="C137" s="1910">
        <v>0</v>
      </c>
      <c r="D137" s="1907">
        <v>0</v>
      </c>
      <c r="E137" s="549"/>
      <c r="F137" s="467"/>
      <c r="G137" s="1907">
        <v>0</v>
      </c>
      <c r="H137" s="467"/>
      <c r="I137" s="467"/>
      <c r="J137" s="467"/>
      <c r="K137" s="467"/>
    </row>
    <row r="138" spans="1:11" ht="12.75" customHeight="1" x14ac:dyDescent="0.2">
      <c r="A138" s="463" t="s">
        <v>601</v>
      </c>
      <c r="B138" s="550">
        <v>3240</v>
      </c>
      <c r="C138" s="1910">
        <v>0</v>
      </c>
      <c r="D138" s="1907">
        <v>0</v>
      </c>
      <c r="E138" s="549"/>
      <c r="F138" s="467"/>
      <c r="G138" s="1907">
        <v>0</v>
      </c>
      <c r="H138" s="467"/>
      <c r="I138" s="467"/>
      <c r="J138" s="467"/>
      <c r="K138" s="467"/>
    </row>
    <row r="139" spans="1:11" ht="12.75" customHeight="1" x14ac:dyDescent="0.2">
      <c r="A139" s="463" t="s">
        <v>602</v>
      </c>
      <c r="B139" s="550">
        <v>3270</v>
      </c>
      <c r="C139" s="1910">
        <v>0</v>
      </c>
      <c r="D139" s="1907">
        <v>0</v>
      </c>
      <c r="E139" s="549"/>
      <c r="F139" s="467"/>
      <c r="G139" s="1907">
        <v>0</v>
      </c>
      <c r="H139" s="467"/>
      <c r="I139" s="467"/>
      <c r="J139" s="467"/>
      <c r="K139" s="467"/>
    </row>
    <row r="140" spans="1:11" ht="12.75" customHeight="1" x14ac:dyDescent="0.2">
      <c r="A140" s="463" t="s">
        <v>67</v>
      </c>
      <c r="B140" s="550">
        <v>3299</v>
      </c>
      <c r="C140" s="1915">
        <v>0</v>
      </c>
      <c r="D140" s="1906">
        <v>0</v>
      </c>
      <c r="E140" s="549"/>
      <c r="F140" s="473"/>
      <c r="G140" s="1907">
        <v>0</v>
      </c>
      <c r="H140" s="467"/>
      <c r="I140" s="467"/>
      <c r="J140" s="467"/>
      <c r="K140" s="467"/>
    </row>
    <row r="141" spans="1:11" ht="12.75" customHeight="1" thickBot="1" x14ac:dyDescent="0.25">
      <c r="A141" s="1681" t="s">
        <v>603</v>
      </c>
      <c r="B141" s="1693"/>
      <c r="C141" s="1680">
        <f>SUM(C134:C140)</f>
        <v>0</v>
      </c>
      <c r="D141" s="1680">
        <f>SUM(D134:D140)</f>
        <v>0</v>
      </c>
      <c r="E141" s="549" t="s">
        <v>1169</v>
      </c>
      <c r="F141" s="473"/>
      <c r="G141" s="1680">
        <f>SUM(G134:G140)</f>
        <v>0</v>
      </c>
      <c r="H141" s="467" t="s">
        <v>1169</v>
      </c>
      <c r="I141" s="467" t="s">
        <v>1169</v>
      </c>
      <c r="J141" s="467" t="s">
        <v>1169</v>
      </c>
      <c r="K141" s="467" t="s">
        <v>1169</v>
      </c>
    </row>
    <row r="142" spans="1:11" ht="15.75" customHeight="1" thickTop="1" x14ac:dyDescent="0.2">
      <c r="A142" s="1573" t="s">
        <v>670</v>
      </c>
      <c r="B142" s="1574"/>
      <c r="C142" s="541"/>
      <c r="D142" s="554"/>
      <c r="E142" s="549"/>
      <c r="F142" s="541"/>
      <c r="G142" s="541"/>
      <c r="H142" s="467"/>
      <c r="I142" s="467"/>
      <c r="J142" s="467"/>
      <c r="K142" s="467"/>
    </row>
    <row r="143" spans="1:11" ht="12.75" customHeight="1" x14ac:dyDescent="0.2">
      <c r="A143" s="463" t="s">
        <v>604</v>
      </c>
      <c r="B143" s="550">
        <v>3305</v>
      </c>
      <c r="C143" s="1906">
        <v>0</v>
      </c>
      <c r="D143" s="467"/>
      <c r="E143" s="549"/>
      <c r="F143" s="467"/>
      <c r="G143" s="1906">
        <v>0</v>
      </c>
      <c r="H143" s="467"/>
      <c r="I143" s="467"/>
      <c r="J143" s="467"/>
      <c r="K143" s="467"/>
    </row>
    <row r="144" spans="1:11" ht="12.75" customHeight="1" x14ac:dyDescent="0.2">
      <c r="A144" s="463" t="s">
        <v>347</v>
      </c>
      <c r="B144" s="550">
        <v>3310</v>
      </c>
      <c r="C144" s="1915">
        <v>0</v>
      </c>
      <c r="D144" s="467"/>
      <c r="E144" s="549"/>
      <c r="F144" s="467"/>
      <c r="G144" s="1906">
        <v>0</v>
      </c>
      <c r="H144" s="467"/>
      <c r="I144" s="467"/>
      <c r="J144" s="467"/>
      <c r="K144" s="467"/>
    </row>
    <row r="145" spans="1:11" s="202" customFormat="1" ht="13.5" thickBot="1" x14ac:dyDescent="0.25">
      <c r="A145" s="1681" t="s">
        <v>396</v>
      </c>
      <c r="B145" s="1693"/>
      <c r="C145" s="1661">
        <f>SUM(C143:C144)</f>
        <v>0</v>
      </c>
      <c r="D145" s="467"/>
      <c r="E145" s="502"/>
      <c r="F145" s="467"/>
      <c r="G145" s="1694">
        <f>SUM(G143:G144)</f>
        <v>0</v>
      </c>
      <c r="H145" s="467"/>
      <c r="I145" s="467"/>
      <c r="J145" s="467"/>
      <c r="K145" s="467"/>
    </row>
    <row r="146" spans="1:11" s="202" customFormat="1" ht="12.75" customHeight="1" thickTop="1" x14ac:dyDescent="0.2">
      <c r="A146" s="1471" t="s">
        <v>1056</v>
      </c>
      <c r="B146" s="556">
        <v>3360</v>
      </c>
      <c r="C146" s="1909">
        <v>145013</v>
      </c>
      <c r="D146" s="557"/>
      <c r="E146" s="502"/>
      <c r="F146" s="467"/>
      <c r="G146" s="558"/>
      <c r="H146" s="467"/>
      <c r="I146" s="467"/>
      <c r="J146" s="467"/>
      <c r="K146" s="467"/>
    </row>
    <row r="147" spans="1:11" ht="12.75" customHeight="1" thickBot="1" x14ac:dyDescent="0.25">
      <c r="A147" s="1472" t="s">
        <v>922</v>
      </c>
      <c r="B147" s="559">
        <v>3365</v>
      </c>
      <c r="C147" s="1916">
        <v>0</v>
      </c>
      <c r="D147" s="1913">
        <v>0</v>
      </c>
      <c r="E147" s="549"/>
      <c r="F147" s="467"/>
      <c r="G147" s="1913">
        <v>0</v>
      </c>
      <c r="H147" s="467"/>
      <c r="I147" s="467"/>
      <c r="J147" s="467"/>
      <c r="K147" s="467"/>
    </row>
    <row r="148" spans="1:11" ht="12.75" customHeight="1" thickTop="1" thickBot="1" x14ac:dyDescent="0.25">
      <c r="A148" s="1473" t="s">
        <v>138</v>
      </c>
      <c r="B148" s="560">
        <v>3370</v>
      </c>
      <c r="C148" s="1916">
        <v>0</v>
      </c>
      <c r="D148" s="1916">
        <v>0</v>
      </c>
      <c r="E148" s="502"/>
      <c r="F148" s="467"/>
      <c r="G148" s="467"/>
      <c r="H148" s="467"/>
      <c r="I148" s="467"/>
      <c r="J148" s="467"/>
      <c r="K148" s="467"/>
    </row>
    <row r="149" spans="1:11" ht="12.75" customHeight="1" thickTop="1" thickBot="1" x14ac:dyDescent="0.25">
      <c r="A149" s="1473" t="s">
        <v>767</v>
      </c>
      <c r="B149" s="560">
        <v>3410</v>
      </c>
      <c r="C149" s="1917">
        <v>0</v>
      </c>
      <c r="D149" s="1918">
        <v>0</v>
      </c>
      <c r="E149" s="1919">
        <v>0</v>
      </c>
      <c r="F149" s="1911">
        <v>0</v>
      </c>
      <c r="G149" s="1911">
        <v>0</v>
      </c>
      <c r="H149" s="1911">
        <v>0</v>
      </c>
      <c r="I149" s="1911">
        <v>0</v>
      </c>
      <c r="J149" s="1911">
        <v>0</v>
      </c>
      <c r="K149" s="1911">
        <v>0</v>
      </c>
    </row>
    <row r="150" spans="1:11" ht="12.75" customHeight="1" thickTop="1" thickBot="1" x14ac:dyDescent="0.25">
      <c r="A150" s="1473" t="s">
        <v>68</v>
      </c>
      <c r="B150" s="560">
        <v>3499</v>
      </c>
      <c r="C150" s="1917">
        <v>0</v>
      </c>
      <c r="D150" s="1918">
        <v>0</v>
      </c>
      <c r="E150" s="1913">
        <v>0</v>
      </c>
      <c r="F150" s="1913">
        <v>0</v>
      </c>
      <c r="G150" s="1913">
        <v>0</v>
      </c>
      <c r="H150" s="1913">
        <v>0</v>
      </c>
      <c r="I150" s="1913">
        <v>0</v>
      </c>
      <c r="J150" s="1913">
        <v>0</v>
      </c>
      <c r="K150" s="1913">
        <v>0</v>
      </c>
    </row>
    <row r="151" spans="1:11" ht="15.75" customHeight="1" thickTop="1" x14ac:dyDescent="0.2">
      <c r="A151" s="1573" t="s">
        <v>453</v>
      </c>
      <c r="B151" s="1575"/>
      <c r="C151" s="541"/>
      <c r="D151" s="467"/>
      <c r="E151" s="549"/>
      <c r="F151" s="467"/>
      <c r="G151" s="467"/>
      <c r="H151" s="467"/>
      <c r="I151" s="467"/>
      <c r="J151" s="467"/>
      <c r="K151" s="467"/>
    </row>
    <row r="152" spans="1:11" ht="12.75" customHeight="1" x14ac:dyDescent="0.2">
      <c r="A152" s="463" t="s">
        <v>1434</v>
      </c>
      <c r="B152" s="550">
        <v>3500</v>
      </c>
      <c r="C152" s="1915">
        <v>0</v>
      </c>
      <c r="D152" s="1906">
        <v>0</v>
      </c>
      <c r="E152" s="549"/>
      <c r="F152" s="1906">
        <v>557394</v>
      </c>
      <c r="G152" s="1907">
        <v>0</v>
      </c>
      <c r="H152" s="467"/>
      <c r="I152" s="467"/>
      <c r="J152" s="467"/>
      <c r="K152" s="467"/>
    </row>
    <row r="153" spans="1:11" ht="12.75" customHeight="1" x14ac:dyDescent="0.2">
      <c r="A153" s="463" t="s">
        <v>1057</v>
      </c>
      <c r="B153" s="550">
        <v>3510</v>
      </c>
      <c r="C153" s="1915">
        <v>0</v>
      </c>
      <c r="D153" s="1906">
        <v>0</v>
      </c>
      <c r="E153" s="549"/>
      <c r="F153" s="1906">
        <v>2259293</v>
      </c>
      <c r="G153" s="1907">
        <v>0</v>
      </c>
      <c r="H153" s="467"/>
      <c r="I153" s="467"/>
      <c r="J153" s="467"/>
      <c r="K153" s="467"/>
    </row>
    <row r="154" spans="1:11" ht="12.75" customHeight="1" x14ac:dyDescent="0.2">
      <c r="A154" s="463" t="s">
        <v>69</v>
      </c>
      <c r="B154" s="550">
        <v>3599</v>
      </c>
      <c r="C154" s="1915">
        <v>0</v>
      </c>
      <c r="D154" s="1906">
        <v>0</v>
      </c>
      <c r="E154" s="549"/>
      <c r="F154" s="1906">
        <v>0</v>
      </c>
      <c r="G154" s="1907">
        <v>0</v>
      </c>
      <c r="H154" s="467"/>
      <c r="I154" s="467"/>
      <c r="J154" s="467"/>
      <c r="K154" s="467"/>
    </row>
    <row r="155" spans="1:11" ht="12.75" customHeight="1" thickBot="1" x14ac:dyDescent="0.25">
      <c r="A155" s="1681" t="s">
        <v>94</v>
      </c>
      <c r="B155" s="1693"/>
      <c r="C155" s="1680">
        <f>SUM(C152:C154)</f>
        <v>0</v>
      </c>
      <c r="D155" s="1680">
        <f>SUM(D152:D154)</f>
        <v>0</v>
      </c>
      <c r="E155" s="549"/>
      <c r="F155" s="1680">
        <f>SUM(F152:F154)</f>
        <v>2816687</v>
      </c>
      <c r="G155" s="1680">
        <f>SUM(G152:G154)</f>
        <v>0</v>
      </c>
      <c r="H155" s="467"/>
      <c r="I155" s="467"/>
      <c r="J155" s="467"/>
      <c r="K155" s="467"/>
    </row>
    <row r="156" spans="1:11" ht="12.75" customHeight="1" thickTop="1" thickBot="1" x14ac:dyDescent="0.25">
      <c r="A156" s="1473" t="s">
        <v>380</v>
      </c>
      <c r="B156" s="560">
        <v>3610</v>
      </c>
      <c r="C156" s="1918">
        <v>0</v>
      </c>
      <c r="D156" s="467"/>
      <c r="E156" s="502"/>
      <c r="F156" s="467"/>
      <c r="G156" s="467"/>
      <c r="H156" s="467"/>
      <c r="I156" s="467"/>
      <c r="J156" s="467"/>
      <c r="K156" s="467"/>
    </row>
    <row r="157" spans="1:11" ht="12.75" customHeight="1" thickTop="1" thickBot="1" x14ac:dyDescent="0.25">
      <c r="A157" s="1473" t="s">
        <v>50</v>
      </c>
      <c r="B157" s="560">
        <v>3660</v>
      </c>
      <c r="C157" s="1916">
        <v>0</v>
      </c>
      <c r="D157" s="1920">
        <v>0</v>
      </c>
      <c r="E157" s="549"/>
      <c r="F157" s="1920">
        <v>0</v>
      </c>
      <c r="G157" s="1920">
        <v>0</v>
      </c>
      <c r="H157" s="467"/>
      <c r="I157" s="467"/>
      <c r="J157" s="467"/>
      <c r="K157" s="467"/>
    </row>
    <row r="158" spans="1:11" ht="12.75" customHeight="1" thickTop="1" thickBot="1" x14ac:dyDescent="0.25">
      <c r="A158" s="1473" t="s">
        <v>1000</v>
      </c>
      <c r="B158" s="560">
        <v>3695</v>
      </c>
      <c r="C158" s="1918">
        <v>0</v>
      </c>
      <c r="D158" s="467"/>
      <c r="E158" s="549"/>
      <c r="F158" s="1918">
        <v>0</v>
      </c>
      <c r="G158" s="1918">
        <v>0</v>
      </c>
      <c r="H158" s="467"/>
      <c r="I158" s="467"/>
      <c r="J158" s="467"/>
      <c r="K158" s="467"/>
    </row>
    <row r="159" spans="1:11" ht="12.75" customHeight="1" thickTop="1" thickBot="1" x14ac:dyDescent="0.25">
      <c r="A159" s="1473" t="s">
        <v>1051</v>
      </c>
      <c r="B159" s="560">
        <v>3705</v>
      </c>
      <c r="C159" s="1918">
        <v>2105772</v>
      </c>
      <c r="D159" s="1920">
        <v>0</v>
      </c>
      <c r="E159" s="549"/>
      <c r="F159" s="1918">
        <v>0</v>
      </c>
      <c r="G159" s="1918">
        <v>0</v>
      </c>
      <c r="H159" s="467"/>
      <c r="I159" s="467"/>
      <c r="J159" s="467"/>
      <c r="K159" s="467"/>
    </row>
    <row r="160" spans="1:11" ht="12.75" customHeight="1" thickTop="1" thickBot="1" x14ac:dyDescent="0.25">
      <c r="A160" s="1473" t="s">
        <v>39</v>
      </c>
      <c r="B160" s="560">
        <v>3766</v>
      </c>
      <c r="C160" s="1918">
        <v>0</v>
      </c>
      <c r="D160" s="1920">
        <v>0</v>
      </c>
      <c r="E160" s="549"/>
      <c r="F160" s="1918">
        <v>0</v>
      </c>
      <c r="G160" s="1912">
        <v>0</v>
      </c>
      <c r="H160" s="467"/>
      <c r="I160" s="467"/>
      <c r="J160" s="467"/>
      <c r="K160" s="467"/>
    </row>
    <row r="161" spans="1:11" ht="12.75" customHeight="1" thickTop="1" thickBot="1" x14ac:dyDescent="0.25">
      <c r="A161" s="1473" t="s">
        <v>985</v>
      </c>
      <c r="B161" s="560">
        <v>3767</v>
      </c>
      <c r="C161" s="1918">
        <v>0</v>
      </c>
      <c r="D161" s="1912">
        <v>0</v>
      </c>
      <c r="E161" s="549"/>
      <c r="F161" s="1912">
        <v>0</v>
      </c>
      <c r="G161" s="1912">
        <v>0</v>
      </c>
      <c r="H161" s="467"/>
      <c r="I161" s="467"/>
      <c r="J161" s="467"/>
      <c r="K161" s="467"/>
    </row>
    <row r="162" spans="1:11" ht="12.75" customHeight="1" thickTop="1" thickBot="1" x14ac:dyDescent="0.25">
      <c r="A162" s="1473" t="s">
        <v>986</v>
      </c>
      <c r="B162" s="560">
        <v>3775</v>
      </c>
      <c r="C162" s="1918">
        <v>0</v>
      </c>
      <c r="D162" s="1916">
        <v>0</v>
      </c>
      <c r="E162" s="1911">
        <v>0</v>
      </c>
      <c r="F162" s="1916">
        <v>0</v>
      </c>
      <c r="G162" s="1913">
        <v>0</v>
      </c>
      <c r="H162" s="1911">
        <v>0</v>
      </c>
      <c r="I162" s="467"/>
      <c r="J162" s="467"/>
      <c r="K162" s="1911">
        <v>0</v>
      </c>
    </row>
    <row r="163" spans="1:11" ht="12.75" customHeight="1" thickTop="1" thickBot="1" x14ac:dyDescent="0.25">
      <c r="A163" s="1473" t="s">
        <v>1435</v>
      </c>
      <c r="B163" s="560">
        <v>3780</v>
      </c>
      <c r="C163" s="1912">
        <v>0</v>
      </c>
      <c r="D163" s="1911">
        <v>0</v>
      </c>
      <c r="E163" s="1912">
        <v>0</v>
      </c>
      <c r="F163" s="1912">
        <v>0</v>
      </c>
      <c r="G163" s="1912">
        <v>0</v>
      </c>
      <c r="H163" s="1912">
        <v>0</v>
      </c>
      <c r="I163" s="467"/>
      <c r="J163" s="467"/>
      <c r="K163" s="1912">
        <v>0</v>
      </c>
    </row>
    <row r="164" spans="1:11" ht="12.75" customHeight="1" thickTop="1" thickBot="1" x14ac:dyDescent="0.25">
      <c r="A164" s="1473" t="s">
        <v>858</v>
      </c>
      <c r="B164" s="560">
        <v>3815</v>
      </c>
      <c r="C164" s="1918">
        <v>0</v>
      </c>
      <c r="D164" s="467"/>
      <c r="E164" s="549"/>
      <c r="F164" s="1918">
        <v>0</v>
      </c>
      <c r="G164" s="467"/>
      <c r="H164" s="467"/>
      <c r="I164" s="467"/>
      <c r="J164" s="467"/>
      <c r="K164" s="467"/>
    </row>
    <row r="165" spans="1:11" ht="12.75" customHeight="1" thickTop="1" thickBot="1" x14ac:dyDescent="0.25">
      <c r="A165" s="1473" t="s">
        <v>397</v>
      </c>
      <c r="B165" s="560">
        <v>3825</v>
      </c>
      <c r="C165" s="1918">
        <v>0</v>
      </c>
      <c r="D165" s="467"/>
      <c r="E165" s="549"/>
      <c r="F165" s="1918">
        <v>0</v>
      </c>
      <c r="G165" s="467"/>
      <c r="H165" s="467"/>
      <c r="I165" s="467"/>
      <c r="J165" s="467"/>
      <c r="K165" s="467"/>
    </row>
    <row r="166" spans="1:11" ht="12.75" customHeight="1" thickTop="1" thickBot="1" x14ac:dyDescent="0.25">
      <c r="A166" s="1473" t="s">
        <v>348</v>
      </c>
      <c r="B166" s="560">
        <v>3920</v>
      </c>
      <c r="C166" s="554"/>
      <c r="D166" s="1920">
        <v>0</v>
      </c>
      <c r="E166" s="467"/>
      <c r="F166" s="554"/>
      <c r="G166" s="467"/>
      <c r="H166" s="1911">
        <v>0</v>
      </c>
      <c r="I166" s="467"/>
      <c r="J166" s="467"/>
      <c r="K166" s="467"/>
    </row>
    <row r="167" spans="1:11" ht="12.75" customHeight="1" thickTop="1" thickBot="1" x14ac:dyDescent="0.25">
      <c r="A167" s="1473" t="s">
        <v>349</v>
      </c>
      <c r="B167" s="560">
        <v>3925</v>
      </c>
      <c r="C167" s="514"/>
      <c r="D167" s="1918">
        <v>0</v>
      </c>
      <c r="E167" s="514"/>
      <c r="F167" s="514"/>
      <c r="G167" s="467"/>
      <c r="H167" s="1912">
        <v>0</v>
      </c>
      <c r="I167" s="467"/>
      <c r="J167" s="467"/>
      <c r="K167" s="1911">
        <v>0</v>
      </c>
    </row>
    <row r="168" spans="1:11" ht="14.25" thickTop="1" thickBot="1" x14ac:dyDescent="0.25">
      <c r="A168" s="1473" t="s">
        <v>70</v>
      </c>
      <c r="B168" s="560">
        <v>3999</v>
      </c>
      <c r="C168" s="1921">
        <v>342564</v>
      </c>
      <c r="D168" s="1922">
        <v>0</v>
      </c>
      <c r="E168" s="1922">
        <v>0</v>
      </c>
      <c r="F168" s="1922">
        <v>0</v>
      </c>
      <c r="G168" s="1923">
        <v>0</v>
      </c>
      <c r="H168" s="1924">
        <v>0</v>
      </c>
      <c r="I168" s="1923">
        <v>0</v>
      </c>
      <c r="J168" s="1923">
        <v>0</v>
      </c>
      <c r="K168" s="1924">
        <v>0</v>
      </c>
    </row>
    <row r="169" spans="1:11" ht="12.75" customHeight="1" thickTop="1" thickBot="1" x14ac:dyDescent="0.25">
      <c r="A169" s="2197" t="s">
        <v>398</v>
      </c>
      <c r="B169" s="2198"/>
      <c r="C169" s="1695">
        <f t="shared" ref="C169:K169" si="6">SUM(C132,C141,C145,C146:C150,C155,C156:C167,C168)</f>
        <v>3824023</v>
      </c>
      <c r="D169" s="1695">
        <f t="shared" si="6"/>
        <v>0</v>
      </c>
      <c r="E169" s="1695">
        <f t="shared" si="6"/>
        <v>0</v>
      </c>
      <c r="F169" s="1695">
        <f t="shared" si="6"/>
        <v>2816687</v>
      </c>
      <c r="G169" s="1695">
        <f t="shared" si="6"/>
        <v>0</v>
      </c>
      <c r="H169" s="1695">
        <f t="shared" si="6"/>
        <v>0</v>
      </c>
      <c r="I169" s="1695">
        <f t="shared" si="6"/>
        <v>0</v>
      </c>
      <c r="J169" s="1695">
        <f t="shared" si="6"/>
        <v>0</v>
      </c>
      <c r="K169" s="1676">
        <f t="shared" si="6"/>
        <v>0</v>
      </c>
    </row>
    <row r="170" spans="1:11" ht="12.75" customHeight="1" thickTop="1" thickBot="1" x14ac:dyDescent="0.25">
      <c r="A170" s="1681" t="s">
        <v>399</v>
      </c>
      <c r="B170" s="1687" t="s">
        <v>575</v>
      </c>
      <c r="C170" s="1688">
        <f t="shared" ref="C170:K170" si="7">SUM(C122,C169)</f>
        <v>111554875</v>
      </c>
      <c r="D170" s="1688">
        <f t="shared" si="7"/>
        <v>8000000</v>
      </c>
      <c r="E170" s="1688">
        <f t="shared" si="7"/>
        <v>0</v>
      </c>
      <c r="F170" s="1688">
        <f t="shared" si="7"/>
        <v>2816687</v>
      </c>
      <c r="G170" s="1688">
        <f t="shared" si="7"/>
        <v>0</v>
      </c>
      <c r="H170" s="1688">
        <f t="shared" si="7"/>
        <v>0</v>
      </c>
      <c r="I170" s="1688">
        <f t="shared" si="7"/>
        <v>0</v>
      </c>
      <c r="J170" s="1688">
        <f t="shared" si="7"/>
        <v>0</v>
      </c>
      <c r="K170" s="1675">
        <f t="shared" si="7"/>
        <v>0</v>
      </c>
    </row>
    <row r="171" spans="1:11" ht="16.7" customHeight="1" thickTop="1" x14ac:dyDescent="0.2">
      <c r="A171" s="1562" t="s">
        <v>804</v>
      </c>
      <c r="B171" s="1540"/>
      <c r="C171" s="1543"/>
      <c r="D171" s="1544"/>
      <c r="E171" s="1544"/>
      <c r="F171" s="1544"/>
      <c r="G171" s="1544"/>
      <c r="H171" s="1544"/>
      <c r="I171" s="1544"/>
      <c r="J171" s="1544"/>
      <c r="K171" s="1545"/>
    </row>
    <row r="172" spans="1:11" ht="15.75" customHeight="1" x14ac:dyDescent="0.2">
      <c r="A172" s="2199" t="s">
        <v>1478</v>
      </c>
      <c r="B172" s="2200"/>
      <c r="C172" s="513"/>
      <c r="D172" s="513"/>
      <c r="E172" s="502"/>
      <c r="F172" s="467"/>
      <c r="G172" s="467"/>
      <c r="H172" s="467"/>
      <c r="I172" s="467"/>
      <c r="J172" s="467"/>
      <c r="K172" s="467"/>
    </row>
    <row r="173" spans="1:11" ht="12.6" customHeight="1" x14ac:dyDescent="0.2">
      <c r="A173" s="486" t="s">
        <v>1044</v>
      </c>
      <c r="B173" s="485">
        <v>4001</v>
      </c>
      <c r="C173" s="509">
        <v>0</v>
      </c>
      <c r="D173" s="477">
        <v>0</v>
      </c>
      <c r="E173" s="1907">
        <v>0</v>
      </c>
      <c r="F173" s="1906">
        <v>0</v>
      </c>
      <c r="G173" s="1906">
        <v>0</v>
      </c>
      <c r="H173" s="1907">
        <v>0</v>
      </c>
      <c r="I173" s="1907">
        <v>0</v>
      </c>
      <c r="J173" s="1907">
        <v>0</v>
      </c>
      <c r="K173" s="1907">
        <v>0</v>
      </c>
    </row>
    <row r="174" spans="1:11" ht="22.5" x14ac:dyDescent="0.2">
      <c r="A174" s="551" t="s">
        <v>805</v>
      </c>
      <c r="B174" s="563">
        <v>4009</v>
      </c>
      <c r="C174" s="1915">
        <v>0</v>
      </c>
      <c r="D174" s="1906">
        <v>0</v>
      </c>
      <c r="E174" s="1907">
        <v>0</v>
      </c>
      <c r="F174" s="1906">
        <v>0</v>
      </c>
      <c r="G174" s="1906">
        <v>0</v>
      </c>
      <c r="H174" s="1907">
        <v>0</v>
      </c>
      <c r="I174" s="1907">
        <v>0</v>
      </c>
      <c r="J174" s="1907">
        <v>0</v>
      </c>
      <c r="K174" s="1907">
        <v>0</v>
      </c>
    </row>
    <row r="175" spans="1:11" ht="13.5" thickBot="1" x14ac:dyDescent="0.25">
      <c r="A175" s="2203" t="s">
        <v>1634</v>
      </c>
      <c r="B175" s="2204"/>
      <c r="C175" s="1680">
        <f>SUM(C173:C174)</f>
        <v>0</v>
      </c>
      <c r="D175" s="1680">
        <f t="shared" ref="D175:K175" si="8">SUM(D173:D174)</f>
        <v>0</v>
      </c>
      <c r="E175" s="1680">
        <f t="shared" si="8"/>
        <v>0</v>
      </c>
      <c r="F175" s="1680">
        <f t="shared" si="8"/>
        <v>0</v>
      </c>
      <c r="G175" s="1680">
        <f t="shared" si="8"/>
        <v>0</v>
      </c>
      <c r="H175" s="1680">
        <f t="shared" si="8"/>
        <v>0</v>
      </c>
      <c r="I175" s="1680">
        <f t="shared" si="8"/>
        <v>0</v>
      </c>
      <c r="J175" s="1680">
        <f t="shared" si="8"/>
        <v>0</v>
      </c>
      <c r="K175" s="1661">
        <f t="shared" si="8"/>
        <v>0</v>
      </c>
    </row>
    <row r="176" spans="1:11" s="457" customFormat="1" ht="15.75" customHeight="1" thickTop="1" x14ac:dyDescent="0.2">
      <c r="A176" s="2207" t="s">
        <v>1633</v>
      </c>
      <c r="B176" s="2208"/>
      <c r="C176" s="575"/>
      <c r="D176" s="576"/>
      <c r="E176" s="577"/>
      <c r="F176" s="578"/>
      <c r="G176" s="578"/>
      <c r="H176" s="578"/>
      <c r="I176" s="578"/>
      <c r="J176" s="578"/>
      <c r="K176" s="578"/>
    </row>
    <row r="177" spans="1:11" ht="12.75" customHeight="1" x14ac:dyDescent="0.2">
      <c r="A177" s="463" t="s">
        <v>1045</v>
      </c>
      <c r="B177" s="469">
        <v>4045</v>
      </c>
      <c r="C177" s="1915">
        <v>0</v>
      </c>
      <c r="D177" s="467"/>
      <c r="E177" s="549"/>
      <c r="F177" s="467"/>
      <c r="G177" s="467"/>
      <c r="H177" s="467"/>
      <c r="I177" s="467"/>
      <c r="J177" s="467"/>
      <c r="K177" s="467"/>
    </row>
    <row r="178" spans="1:11" ht="12.75" customHeight="1" x14ac:dyDescent="0.2">
      <c r="A178" s="463" t="s">
        <v>1046</v>
      </c>
      <c r="B178" s="469">
        <v>4050</v>
      </c>
      <c r="C178" s="1915">
        <v>0</v>
      </c>
      <c r="D178" s="1907">
        <v>0</v>
      </c>
      <c r="E178" s="549"/>
      <c r="F178" s="467"/>
      <c r="G178" s="467"/>
      <c r="H178" s="1907">
        <v>0</v>
      </c>
      <c r="I178" s="467"/>
      <c r="J178" s="467"/>
      <c r="K178" s="467"/>
    </row>
    <row r="179" spans="1:11" ht="12.75" customHeight="1" x14ac:dyDescent="0.2">
      <c r="A179" s="463" t="s">
        <v>260</v>
      </c>
      <c r="B179" s="469">
        <v>4060</v>
      </c>
      <c r="C179" s="509">
        <v>0</v>
      </c>
      <c r="D179" s="1906">
        <v>0</v>
      </c>
      <c r="E179" s="467"/>
      <c r="F179" s="1906">
        <v>0</v>
      </c>
      <c r="G179" s="1906">
        <v>0</v>
      </c>
      <c r="H179" s="1906">
        <v>0</v>
      </c>
      <c r="I179" s="467"/>
      <c r="J179" s="467"/>
      <c r="K179" s="514"/>
    </row>
    <row r="180" spans="1:11" ht="22.5" x14ac:dyDescent="0.2">
      <c r="A180" s="551" t="s">
        <v>786</v>
      </c>
      <c r="B180" s="563">
        <v>4090</v>
      </c>
      <c r="C180" s="1915">
        <v>0</v>
      </c>
      <c r="D180" s="1906">
        <v>0</v>
      </c>
      <c r="E180" s="467"/>
      <c r="F180" s="1906">
        <v>0</v>
      </c>
      <c r="G180" s="1906">
        <v>0</v>
      </c>
      <c r="H180" s="1906">
        <v>0</v>
      </c>
      <c r="I180" s="467"/>
      <c r="J180" s="467"/>
      <c r="K180" s="1906">
        <v>0</v>
      </c>
    </row>
    <row r="181" spans="1:11" ht="13.5" thickBot="1" x14ac:dyDescent="0.25">
      <c r="A181" s="2205" t="s">
        <v>785</v>
      </c>
      <c r="B181" s="2206"/>
      <c r="C181" s="1680">
        <f>SUM(C177:C180)</f>
        <v>0</v>
      </c>
      <c r="D181" s="1680">
        <f>SUM(D177:D180)</f>
        <v>0</v>
      </c>
      <c r="E181" s="467"/>
      <c r="F181" s="1680">
        <f>SUM(F177:F180)</f>
        <v>0</v>
      </c>
      <c r="G181" s="1680">
        <f>SUM(G177:G180)</f>
        <v>0</v>
      </c>
      <c r="H181" s="1680">
        <f>SUM(H177:H180)</f>
        <v>0</v>
      </c>
      <c r="I181" s="467"/>
      <c r="J181" s="467"/>
      <c r="K181" s="1661">
        <f>SUM(K177:K180)</f>
        <v>0</v>
      </c>
    </row>
    <row r="182" spans="1:11" ht="22.5" customHeight="1" thickTop="1" x14ac:dyDescent="0.2">
      <c r="A182" s="2201" t="s">
        <v>1765</v>
      </c>
      <c r="B182" s="2202"/>
      <c r="C182" s="564"/>
      <c r="D182" s="554"/>
      <c r="E182" s="502"/>
      <c r="F182" s="554"/>
      <c r="G182" s="554"/>
      <c r="H182" s="467"/>
      <c r="I182" s="467"/>
      <c r="J182" s="467"/>
      <c r="K182" s="467"/>
    </row>
    <row r="183" spans="1:11" ht="15.75" customHeight="1" x14ac:dyDescent="0.2">
      <c r="A183" s="1576" t="s">
        <v>1571</v>
      </c>
      <c r="B183" s="1577"/>
      <c r="C183" s="515"/>
      <c r="D183" s="514"/>
      <c r="E183" s="502"/>
      <c r="F183" s="514"/>
      <c r="G183" s="514"/>
      <c r="H183" s="467"/>
      <c r="I183" s="467"/>
      <c r="J183" s="467"/>
      <c r="K183" s="467"/>
    </row>
    <row r="184" spans="1:11" ht="12.75" customHeight="1" x14ac:dyDescent="0.2">
      <c r="A184" s="463" t="s">
        <v>1572</v>
      </c>
      <c r="B184" s="469">
        <v>4100</v>
      </c>
      <c r="C184" s="509">
        <v>0</v>
      </c>
      <c r="D184" s="477">
        <v>0</v>
      </c>
      <c r="E184" s="549"/>
      <c r="F184" s="477">
        <v>0</v>
      </c>
      <c r="G184" s="477">
        <v>0</v>
      </c>
      <c r="H184" s="467"/>
      <c r="I184" s="467"/>
      <c r="J184" s="467"/>
      <c r="K184" s="467"/>
    </row>
    <row r="185" spans="1:11" ht="12.75" customHeight="1" x14ac:dyDescent="0.2">
      <c r="A185" s="463" t="s">
        <v>1573</v>
      </c>
      <c r="B185" s="469">
        <v>4105</v>
      </c>
      <c r="C185" s="1915">
        <v>0</v>
      </c>
      <c r="D185" s="1906">
        <v>0</v>
      </c>
      <c r="E185" s="549"/>
      <c r="F185" s="1906">
        <v>0</v>
      </c>
      <c r="G185" s="1906">
        <v>0</v>
      </c>
      <c r="H185" s="467"/>
      <c r="I185" s="467"/>
      <c r="J185" s="467"/>
      <c r="K185" s="467"/>
    </row>
    <row r="186" spans="1:11" ht="12.75" customHeight="1" x14ac:dyDescent="0.2">
      <c r="A186" s="463" t="s">
        <v>1575</v>
      </c>
      <c r="B186" s="469">
        <v>4107</v>
      </c>
      <c r="C186" s="1915">
        <v>0</v>
      </c>
      <c r="D186" s="1906">
        <v>0</v>
      </c>
      <c r="E186" s="549"/>
      <c r="F186" s="1906">
        <v>0</v>
      </c>
      <c r="G186" s="1906">
        <v>0</v>
      </c>
      <c r="H186" s="467"/>
      <c r="I186" s="467"/>
      <c r="J186" s="467"/>
      <c r="K186" s="467"/>
    </row>
    <row r="187" spans="1:11" ht="12.75" customHeight="1" x14ac:dyDescent="0.2">
      <c r="A187" s="463" t="s">
        <v>1574</v>
      </c>
      <c r="B187" s="469">
        <v>4199</v>
      </c>
      <c r="C187" s="1915">
        <v>0</v>
      </c>
      <c r="D187" s="1906">
        <v>0</v>
      </c>
      <c r="E187" s="549"/>
      <c r="F187" s="1906">
        <v>0</v>
      </c>
      <c r="G187" s="1906">
        <v>0</v>
      </c>
      <c r="H187" s="467"/>
      <c r="I187" s="467"/>
      <c r="J187" s="467"/>
      <c r="K187" s="467"/>
    </row>
    <row r="188" spans="1:11" ht="12.75" customHeight="1" thickBot="1" x14ac:dyDescent="0.25">
      <c r="A188" s="1681" t="s">
        <v>1576</v>
      </c>
      <c r="B188" s="1682"/>
      <c r="C188" s="1680">
        <f>SUM(C184:C187)</f>
        <v>0</v>
      </c>
      <c r="D188" s="1680">
        <f>SUM(D184:D187)</f>
        <v>0</v>
      </c>
      <c r="E188" s="549"/>
      <c r="F188" s="1680">
        <f>SUM(F184:F187)</f>
        <v>0</v>
      </c>
      <c r="G188" s="1680">
        <f>SUM(G184:G187)</f>
        <v>0</v>
      </c>
      <c r="H188" s="467"/>
      <c r="I188" s="467"/>
      <c r="J188" s="467"/>
      <c r="K188" s="467"/>
    </row>
    <row r="189" spans="1:11" ht="15.75" customHeight="1" thickTop="1" x14ac:dyDescent="0.2">
      <c r="A189" s="1573" t="s">
        <v>455</v>
      </c>
      <c r="B189" s="1578"/>
      <c r="C189" s="541"/>
      <c r="D189" s="554"/>
      <c r="E189" s="549"/>
      <c r="F189" s="541"/>
      <c r="G189" s="541"/>
      <c r="H189" s="467"/>
      <c r="I189" s="467"/>
      <c r="J189" s="467"/>
      <c r="K189" s="467"/>
    </row>
    <row r="190" spans="1:11" x14ac:dyDescent="0.2">
      <c r="A190" s="463" t="s">
        <v>1436</v>
      </c>
      <c r="B190" s="469">
        <v>4200</v>
      </c>
      <c r="C190" s="1907">
        <v>0</v>
      </c>
      <c r="D190" s="467"/>
      <c r="E190" s="549"/>
      <c r="F190" s="541"/>
      <c r="G190" s="1925">
        <v>0</v>
      </c>
      <c r="H190" s="467"/>
      <c r="I190" s="467"/>
      <c r="J190" s="467"/>
      <c r="K190" s="467"/>
    </row>
    <row r="191" spans="1:11" ht="12.75" customHeight="1" x14ac:dyDescent="0.2">
      <c r="A191" s="463" t="s">
        <v>1058</v>
      </c>
      <c r="B191" s="469">
        <v>4210</v>
      </c>
      <c r="C191" s="1906">
        <v>5071037</v>
      </c>
      <c r="D191" s="467"/>
      <c r="E191" s="549"/>
      <c r="F191" s="467"/>
      <c r="G191" s="1925">
        <v>0</v>
      </c>
      <c r="H191" s="467"/>
      <c r="I191" s="467"/>
      <c r="J191" s="467"/>
      <c r="K191" s="467"/>
    </row>
    <row r="192" spans="1:11" ht="12.75" customHeight="1" x14ac:dyDescent="0.2">
      <c r="A192" s="463" t="s">
        <v>1047</v>
      </c>
      <c r="B192" s="469">
        <v>4215</v>
      </c>
      <c r="C192" s="1915">
        <v>0</v>
      </c>
      <c r="D192" s="467"/>
      <c r="E192" s="549"/>
      <c r="F192" s="467"/>
      <c r="G192" s="1925">
        <v>0</v>
      </c>
      <c r="H192" s="467"/>
      <c r="I192" s="467"/>
      <c r="J192" s="467"/>
      <c r="K192" s="467"/>
    </row>
    <row r="193" spans="1:11" ht="12.75" customHeight="1" x14ac:dyDescent="0.2">
      <c r="A193" s="463" t="s">
        <v>1059</v>
      </c>
      <c r="B193" s="469">
        <v>4220</v>
      </c>
      <c r="C193" s="1915">
        <v>2006319</v>
      </c>
      <c r="D193" s="467"/>
      <c r="E193" s="549"/>
      <c r="F193" s="467"/>
      <c r="G193" s="1925">
        <v>0</v>
      </c>
      <c r="H193" s="467"/>
      <c r="I193" s="467"/>
      <c r="J193" s="467"/>
      <c r="K193" s="467"/>
    </row>
    <row r="194" spans="1:11" ht="12.75" customHeight="1" x14ac:dyDescent="0.2">
      <c r="A194" s="463" t="s">
        <v>1437</v>
      </c>
      <c r="B194" s="469">
        <v>4225</v>
      </c>
      <c r="C194" s="1915">
        <v>0</v>
      </c>
      <c r="D194" s="467"/>
      <c r="E194" s="549"/>
      <c r="F194" s="467"/>
      <c r="G194" s="1925">
        <v>0</v>
      </c>
      <c r="H194" s="467"/>
      <c r="I194" s="467"/>
      <c r="J194" s="467"/>
      <c r="K194" s="467"/>
    </row>
    <row r="195" spans="1:11" ht="12.75" customHeight="1" x14ac:dyDescent="0.2">
      <c r="A195" s="463" t="s">
        <v>1438</v>
      </c>
      <c r="B195" s="469">
        <v>4226</v>
      </c>
      <c r="C195" s="1915">
        <v>0</v>
      </c>
      <c r="D195" s="467"/>
      <c r="E195" s="549"/>
      <c r="F195" s="467"/>
      <c r="G195" s="1925">
        <v>0</v>
      </c>
      <c r="H195" s="467"/>
      <c r="I195" s="467"/>
      <c r="J195" s="467"/>
      <c r="K195" s="467"/>
    </row>
    <row r="196" spans="1:11" ht="12.75" customHeight="1" x14ac:dyDescent="0.2">
      <c r="A196" s="463" t="s">
        <v>792</v>
      </c>
      <c r="B196" s="469">
        <v>4240</v>
      </c>
      <c r="C196" s="1910">
        <v>0</v>
      </c>
      <c r="D196" s="467"/>
      <c r="E196" s="549"/>
      <c r="F196" s="467"/>
      <c r="G196" s="566"/>
      <c r="H196" s="467"/>
      <c r="I196" s="467"/>
      <c r="J196" s="467"/>
      <c r="K196" s="467"/>
    </row>
    <row r="197" spans="1:11" ht="12.75" customHeight="1" x14ac:dyDescent="0.2">
      <c r="A197" s="463" t="s">
        <v>71</v>
      </c>
      <c r="B197" s="469">
        <v>4299</v>
      </c>
      <c r="C197" s="1915">
        <v>0</v>
      </c>
      <c r="D197" s="467"/>
      <c r="E197" s="549"/>
      <c r="F197" s="467"/>
      <c r="G197" s="1925">
        <v>0</v>
      </c>
      <c r="H197" s="467"/>
      <c r="I197" s="467"/>
      <c r="J197" s="467"/>
      <c r="K197" s="467"/>
    </row>
    <row r="198" spans="1:11" ht="12.75" customHeight="1" thickBot="1" x14ac:dyDescent="0.25">
      <c r="A198" s="1681" t="s">
        <v>548</v>
      </c>
      <c r="B198" s="1682"/>
      <c r="C198" s="1661">
        <f>SUM(C190:C197)</f>
        <v>7077356</v>
      </c>
      <c r="D198" s="467"/>
      <c r="E198" s="467"/>
      <c r="F198" s="467"/>
      <c r="G198" s="1661">
        <f>SUM(G190:G197)</f>
        <v>0</v>
      </c>
      <c r="H198" s="467"/>
      <c r="I198" s="467"/>
      <c r="J198" s="467"/>
      <c r="K198" s="467"/>
    </row>
    <row r="199" spans="1:11" ht="15.75" customHeight="1" thickTop="1" x14ac:dyDescent="0.2">
      <c r="A199" s="1573" t="s">
        <v>1138</v>
      </c>
      <c r="B199" s="1578"/>
      <c r="C199" s="541"/>
      <c r="D199" s="467"/>
      <c r="E199" s="467"/>
      <c r="F199" s="467"/>
      <c r="G199" s="467"/>
      <c r="H199" s="467"/>
      <c r="I199" s="467"/>
      <c r="J199" s="467"/>
      <c r="K199" s="467"/>
    </row>
    <row r="200" spans="1:11" ht="12.75" customHeight="1" x14ac:dyDescent="0.2">
      <c r="A200" s="463" t="s">
        <v>918</v>
      </c>
      <c r="B200" s="469">
        <v>4300</v>
      </c>
      <c r="C200" s="1906">
        <v>4650733</v>
      </c>
      <c r="D200" s="1906">
        <v>0</v>
      </c>
      <c r="E200" s="467"/>
      <c r="F200" s="1906">
        <v>0</v>
      </c>
      <c r="G200" s="1906">
        <v>0</v>
      </c>
      <c r="H200" s="467"/>
      <c r="I200" s="467"/>
      <c r="J200" s="467"/>
      <c r="K200" s="467"/>
    </row>
    <row r="201" spans="1:11" ht="12.75" customHeight="1" x14ac:dyDescent="0.2">
      <c r="A201" s="463" t="s">
        <v>919</v>
      </c>
      <c r="B201" s="469">
        <v>4305</v>
      </c>
      <c r="C201" s="1915">
        <v>0</v>
      </c>
      <c r="D201" s="1906">
        <v>0</v>
      </c>
      <c r="E201" s="467"/>
      <c r="F201" s="1906">
        <v>0</v>
      </c>
      <c r="G201" s="1906">
        <v>0</v>
      </c>
      <c r="H201" s="467"/>
      <c r="I201" s="467"/>
      <c r="J201" s="467"/>
      <c r="K201" s="467"/>
    </row>
    <row r="202" spans="1:11" ht="12.75" customHeight="1" x14ac:dyDescent="0.2">
      <c r="A202" s="463" t="s">
        <v>1031</v>
      </c>
      <c r="B202" s="469">
        <v>4340</v>
      </c>
      <c r="C202" s="1915">
        <v>0</v>
      </c>
      <c r="D202" s="1906">
        <v>0</v>
      </c>
      <c r="E202" s="467"/>
      <c r="F202" s="1906">
        <v>0</v>
      </c>
      <c r="G202" s="1906">
        <v>0</v>
      </c>
      <c r="H202" s="467"/>
      <c r="I202" s="467"/>
      <c r="J202" s="467"/>
      <c r="K202" s="467"/>
    </row>
    <row r="203" spans="1:11" ht="12.75" customHeight="1" x14ac:dyDescent="0.2">
      <c r="A203" s="463" t="s">
        <v>72</v>
      </c>
      <c r="B203" s="469">
        <v>4399</v>
      </c>
      <c r="C203" s="1915">
        <v>0</v>
      </c>
      <c r="D203" s="1906">
        <v>0</v>
      </c>
      <c r="E203" s="467"/>
      <c r="F203" s="1906">
        <v>0</v>
      </c>
      <c r="G203" s="1906">
        <v>0</v>
      </c>
      <c r="H203" s="467"/>
      <c r="I203" s="467"/>
      <c r="J203" s="467"/>
      <c r="K203" s="467"/>
    </row>
    <row r="204" spans="1:11" ht="12.75" customHeight="1" thickBot="1" x14ac:dyDescent="0.25">
      <c r="A204" s="1681" t="s">
        <v>400</v>
      </c>
      <c r="B204" s="1682"/>
      <c r="C204" s="1680">
        <f>SUM(C200:C203)</f>
        <v>4650733</v>
      </c>
      <c r="D204" s="1680">
        <f>SUM(D200:D203)</f>
        <v>0</v>
      </c>
      <c r="E204" s="467"/>
      <c r="F204" s="1680">
        <f>SUM(F200:F203)</f>
        <v>0</v>
      </c>
      <c r="G204" s="1680">
        <f>SUM(G200:G203)</f>
        <v>0</v>
      </c>
      <c r="H204" s="467"/>
      <c r="I204" s="467"/>
      <c r="J204" s="467"/>
      <c r="K204" s="467"/>
    </row>
    <row r="205" spans="1:11" ht="15.75" customHeight="1" thickTop="1" x14ac:dyDescent="0.2">
      <c r="A205" s="1573" t="s">
        <v>1139</v>
      </c>
      <c r="B205" s="1578"/>
      <c r="C205" s="541"/>
      <c r="D205" s="541"/>
      <c r="E205" s="467"/>
      <c r="F205" s="541"/>
      <c r="G205" s="541"/>
      <c r="H205" s="467"/>
      <c r="I205" s="467"/>
      <c r="J205" s="467"/>
      <c r="K205" s="467"/>
    </row>
    <row r="206" spans="1:11" ht="12.75" customHeight="1" x14ac:dyDescent="0.2">
      <c r="A206" s="463" t="s">
        <v>759</v>
      </c>
      <c r="B206" s="469">
        <v>4400</v>
      </c>
      <c r="C206" s="1915">
        <v>73058</v>
      </c>
      <c r="D206" s="1906">
        <v>0</v>
      </c>
      <c r="E206" s="467"/>
      <c r="F206" s="1906">
        <v>0</v>
      </c>
      <c r="G206" s="1906">
        <v>0</v>
      </c>
      <c r="H206" s="467"/>
      <c r="I206" s="467"/>
      <c r="J206" s="467"/>
      <c r="K206" s="467"/>
    </row>
    <row r="207" spans="1:11" ht="12.75" customHeight="1" x14ac:dyDescent="0.2">
      <c r="A207" s="463" t="s">
        <v>1439</v>
      </c>
      <c r="B207" s="469">
        <v>4421</v>
      </c>
      <c r="C207" s="1915">
        <v>0</v>
      </c>
      <c r="D207" s="1906">
        <v>0</v>
      </c>
      <c r="E207" s="467"/>
      <c r="F207" s="1906">
        <v>0</v>
      </c>
      <c r="G207" s="1906">
        <v>0</v>
      </c>
      <c r="H207" s="467"/>
      <c r="I207" s="467"/>
      <c r="J207" s="467"/>
      <c r="K207" s="467"/>
    </row>
    <row r="208" spans="1:11" ht="12.75" customHeight="1" x14ac:dyDescent="0.2">
      <c r="A208" s="463" t="s">
        <v>73</v>
      </c>
      <c r="B208" s="469">
        <v>4499</v>
      </c>
      <c r="C208" s="1915">
        <v>0</v>
      </c>
      <c r="D208" s="1906">
        <v>0</v>
      </c>
      <c r="E208" s="467"/>
      <c r="F208" s="1906">
        <v>0</v>
      </c>
      <c r="G208" s="1906">
        <v>0</v>
      </c>
      <c r="H208" s="467"/>
      <c r="I208" s="467"/>
      <c r="J208" s="467"/>
      <c r="K208" s="467"/>
    </row>
    <row r="209" spans="1:11" ht="12.75" customHeight="1" thickBot="1" x14ac:dyDescent="0.25">
      <c r="A209" s="1681" t="s">
        <v>889</v>
      </c>
      <c r="B209" s="1682"/>
      <c r="C209" s="1680">
        <f>SUM(C206:C208)</f>
        <v>73058</v>
      </c>
      <c r="D209" s="1680">
        <f>SUM(D206:D208)</f>
        <v>0</v>
      </c>
      <c r="E209" s="467" t="s">
        <v>1169</v>
      </c>
      <c r="F209" s="1680">
        <f>SUM(F206:F208)</f>
        <v>0</v>
      </c>
      <c r="G209" s="1680">
        <f>SUM(G206:G208)</f>
        <v>0</v>
      </c>
      <c r="H209" s="467"/>
      <c r="I209" s="467"/>
      <c r="J209" s="467"/>
      <c r="K209" s="467"/>
    </row>
    <row r="210" spans="1:11" ht="15.75" customHeight="1" thickTop="1" x14ac:dyDescent="0.2">
      <c r="A210" s="1573" t="s">
        <v>1092</v>
      </c>
      <c r="B210" s="1578"/>
      <c r="C210" s="541"/>
      <c r="D210" s="541"/>
      <c r="E210" s="467"/>
      <c r="F210" s="541"/>
      <c r="G210" s="541"/>
      <c r="H210" s="467"/>
      <c r="I210" s="467"/>
      <c r="J210" s="467"/>
      <c r="K210" s="467"/>
    </row>
    <row r="211" spans="1:11" ht="12.75" customHeight="1" x14ac:dyDescent="0.2">
      <c r="A211" s="463" t="s">
        <v>1052</v>
      </c>
      <c r="B211" s="469">
        <v>4600</v>
      </c>
      <c r="C211" s="1915">
        <v>72829</v>
      </c>
      <c r="D211" s="1906">
        <v>0</v>
      </c>
      <c r="E211" s="467"/>
      <c r="F211" s="1906">
        <v>0</v>
      </c>
      <c r="G211" s="1906">
        <v>0</v>
      </c>
      <c r="H211" s="467"/>
      <c r="I211" s="467"/>
      <c r="J211" s="467"/>
      <c r="K211" s="467"/>
    </row>
    <row r="212" spans="1:11" ht="12.75" customHeight="1" x14ac:dyDescent="0.2">
      <c r="A212" s="463" t="s">
        <v>1053</v>
      </c>
      <c r="B212" s="469">
        <v>4605</v>
      </c>
      <c r="C212" s="1915">
        <v>0</v>
      </c>
      <c r="D212" s="1906">
        <v>0</v>
      </c>
      <c r="E212" s="467"/>
      <c r="F212" s="1906">
        <v>0</v>
      </c>
      <c r="G212" s="1906">
        <v>0</v>
      </c>
      <c r="H212" s="467"/>
      <c r="I212" s="467"/>
      <c r="J212" s="467"/>
      <c r="K212" s="467"/>
    </row>
    <row r="213" spans="1:11" ht="12.75" customHeight="1" x14ac:dyDescent="0.2">
      <c r="A213" s="463" t="s">
        <v>1440</v>
      </c>
      <c r="B213" s="545">
        <v>4620</v>
      </c>
      <c r="C213" s="1915">
        <v>2560572</v>
      </c>
      <c r="D213" s="1906">
        <v>0</v>
      </c>
      <c r="E213" s="467"/>
      <c r="F213" s="1906">
        <v>0</v>
      </c>
      <c r="G213" s="1906">
        <v>0</v>
      </c>
      <c r="H213" s="467"/>
      <c r="I213" s="467"/>
      <c r="J213" s="467"/>
      <c r="K213" s="467"/>
    </row>
    <row r="214" spans="1:11" ht="12.75" customHeight="1" x14ac:dyDescent="0.2">
      <c r="A214" s="463" t="s">
        <v>1054</v>
      </c>
      <c r="B214" s="469">
        <v>4625</v>
      </c>
      <c r="C214" s="1915">
        <v>0</v>
      </c>
      <c r="D214" s="1906">
        <v>0</v>
      </c>
      <c r="E214" s="467"/>
      <c r="F214" s="1906">
        <v>0</v>
      </c>
      <c r="G214" s="1906">
        <v>0</v>
      </c>
      <c r="H214" s="467"/>
      <c r="I214" s="467"/>
      <c r="J214" s="467"/>
      <c r="K214" s="467"/>
    </row>
    <row r="215" spans="1:11" ht="12.75" customHeight="1" x14ac:dyDescent="0.2">
      <c r="A215" s="463" t="s">
        <v>1055</v>
      </c>
      <c r="B215" s="469">
        <v>4630</v>
      </c>
      <c r="C215" s="1915">
        <v>0</v>
      </c>
      <c r="D215" s="1906">
        <v>0</v>
      </c>
      <c r="E215" s="467"/>
      <c r="F215" s="1906">
        <v>0</v>
      </c>
      <c r="G215" s="1906">
        <v>0</v>
      </c>
      <c r="H215" s="467"/>
      <c r="I215" s="467"/>
      <c r="J215" s="467"/>
      <c r="K215" s="467"/>
    </row>
    <row r="216" spans="1:11" ht="12.75" customHeight="1" x14ac:dyDescent="0.2">
      <c r="A216" s="1474" t="s">
        <v>74</v>
      </c>
      <c r="B216" s="545">
        <v>4699</v>
      </c>
      <c r="C216" s="1915">
        <v>0</v>
      </c>
      <c r="D216" s="1906">
        <v>0</v>
      </c>
      <c r="E216" s="467"/>
      <c r="F216" s="1906">
        <v>0</v>
      </c>
      <c r="G216" s="1906">
        <v>0</v>
      </c>
      <c r="H216" s="467"/>
      <c r="I216" s="467"/>
      <c r="J216" s="467"/>
      <c r="K216" s="467"/>
    </row>
    <row r="217" spans="1:11" ht="12.75" customHeight="1" thickBot="1" x14ac:dyDescent="0.25">
      <c r="A217" s="1681" t="s">
        <v>447</v>
      </c>
      <c r="B217" s="1682"/>
      <c r="C217" s="1680">
        <f>SUM(C211:C216)</f>
        <v>2633401</v>
      </c>
      <c r="D217" s="1680">
        <f>SUM(D211:D216)</f>
        <v>0</v>
      </c>
      <c r="E217" s="467"/>
      <c r="F217" s="1680">
        <f>SUM(F211:F216)</f>
        <v>0</v>
      </c>
      <c r="G217" s="1680">
        <f>SUM(G211:G216)</f>
        <v>0</v>
      </c>
      <c r="H217" s="467"/>
      <c r="I217" s="467"/>
      <c r="J217" s="467"/>
      <c r="K217" s="467"/>
    </row>
    <row r="218" spans="1:11" ht="15.75" customHeight="1" thickTop="1" x14ac:dyDescent="0.2">
      <c r="A218" s="1573" t="s">
        <v>1093</v>
      </c>
      <c r="B218" s="1578"/>
      <c r="C218" s="541"/>
      <c r="D218" s="541"/>
      <c r="E218" s="467"/>
      <c r="F218" s="541"/>
      <c r="G218" s="541"/>
      <c r="H218" s="467"/>
      <c r="I218" s="467"/>
      <c r="J218" s="467"/>
      <c r="K218" s="467"/>
    </row>
    <row r="219" spans="1:11" ht="12.75" customHeight="1" x14ac:dyDescent="0.2">
      <c r="A219" s="463" t="s">
        <v>787</v>
      </c>
      <c r="B219" s="469">
        <v>4770</v>
      </c>
      <c r="C219" s="1915">
        <v>0</v>
      </c>
      <c r="D219" s="1906">
        <v>0</v>
      </c>
      <c r="E219" s="467"/>
      <c r="F219" s="467"/>
      <c r="G219" s="1906">
        <v>0</v>
      </c>
      <c r="H219" s="467"/>
      <c r="I219" s="467"/>
      <c r="J219" s="467"/>
      <c r="K219" s="467"/>
    </row>
    <row r="220" spans="1:11" ht="12.75" customHeight="1" x14ac:dyDescent="0.2">
      <c r="A220" s="463" t="s">
        <v>67</v>
      </c>
      <c r="B220" s="469">
        <v>4799</v>
      </c>
      <c r="C220" s="1915">
        <v>0</v>
      </c>
      <c r="D220" s="1906">
        <v>0</v>
      </c>
      <c r="E220" s="467"/>
      <c r="F220" s="467"/>
      <c r="G220" s="1906">
        <v>0</v>
      </c>
      <c r="H220" s="467"/>
      <c r="I220" s="467"/>
      <c r="J220" s="467"/>
      <c r="K220" s="467"/>
    </row>
    <row r="221" spans="1:11" ht="12.75" customHeight="1" thickBot="1" x14ac:dyDescent="0.25">
      <c r="A221" s="1696" t="s">
        <v>1085</v>
      </c>
      <c r="B221" s="1697"/>
      <c r="C221" s="1680">
        <f>SUM(C219:C220)</f>
        <v>0</v>
      </c>
      <c r="D221" s="1680">
        <f>SUM(D219:D220)</f>
        <v>0</v>
      </c>
      <c r="E221" s="467"/>
      <c r="F221" s="467"/>
      <c r="G221" s="1680">
        <f>SUM(G219:G220)</f>
        <v>0</v>
      </c>
      <c r="H221" s="467"/>
      <c r="I221" s="467"/>
      <c r="J221" s="467"/>
      <c r="K221" s="467"/>
    </row>
    <row r="222" spans="1:11" ht="12.75" customHeight="1" thickTop="1" thickBot="1" x14ac:dyDescent="0.25">
      <c r="A222" s="486" t="s">
        <v>757</v>
      </c>
      <c r="B222" s="485">
        <v>4810</v>
      </c>
      <c r="C222" s="1917">
        <v>0</v>
      </c>
      <c r="D222" s="1918">
        <v>0</v>
      </c>
      <c r="E222" s="467"/>
      <c r="F222" s="467"/>
      <c r="G222" s="561">
        <v>0</v>
      </c>
      <c r="H222" s="467"/>
      <c r="I222" s="467"/>
      <c r="J222" s="467"/>
      <c r="K222" s="467"/>
    </row>
    <row r="223" spans="1:11" ht="12.75" customHeight="1" thickTop="1" x14ac:dyDescent="0.2">
      <c r="A223" s="486" t="s">
        <v>350</v>
      </c>
      <c r="B223" s="485">
        <v>4850</v>
      </c>
      <c r="C223" s="1910">
        <v>0</v>
      </c>
      <c r="D223" s="1907">
        <v>0</v>
      </c>
      <c r="E223" s="1907">
        <v>0</v>
      </c>
      <c r="F223" s="1907">
        <v>0</v>
      </c>
      <c r="G223" s="1907">
        <v>0</v>
      </c>
      <c r="H223" s="1907">
        <v>0</v>
      </c>
      <c r="I223" s="467"/>
      <c r="J223" s="1907">
        <v>0</v>
      </c>
      <c r="K223" s="1907">
        <v>0</v>
      </c>
    </row>
    <row r="224" spans="1:11" ht="12.75" customHeight="1" x14ac:dyDescent="0.2">
      <c r="A224" s="486" t="s">
        <v>351</v>
      </c>
      <c r="B224" s="485">
        <v>4851</v>
      </c>
      <c r="C224" s="1910">
        <v>0</v>
      </c>
      <c r="D224" s="1907">
        <v>0</v>
      </c>
      <c r="E224" s="467"/>
      <c r="F224" s="1908">
        <v>0</v>
      </c>
      <c r="G224" s="1907">
        <v>0</v>
      </c>
      <c r="H224" s="467"/>
      <c r="I224" s="467"/>
      <c r="J224" s="467"/>
      <c r="K224" s="467"/>
    </row>
    <row r="225" spans="1:11" ht="12.75" customHeight="1" x14ac:dyDescent="0.2">
      <c r="A225" s="486" t="s">
        <v>352</v>
      </c>
      <c r="B225" s="485">
        <v>4852</v>
      </c>
      <c r="C225" s="1910">
        <v>0</v>
      </c>
      <c r="D225" s="1907">
        <v>0</v>
      </c>
      <c r="E225" s="1907">
        <v>0</v>
      </c>
      <c r="F225" s="1907">
        <v>0</v>
      </c>
      <c r="G225" s="1907">
        <v>0</v>
      </c>
      <c r="H225" s="1907">
        <v>0</v>
      </c>
      <c r="I225" s="467"/>
      <c r="J225" s="1907">
        <v>0</v>
      </c>
      <c r="K225" s="1907">
        <v>0</v>
      </c>
    </row>
    <row r="226" spans="1:11" ht="12.75" customHeight="1" x14ac:dyDescent="0.2">
      <c r="A226" s="486" t="s">
        <v>353</v>
      </c>
      <c r="B226" s="485">
        <v>4853</v>
      </c>
      <c r="C226" s="1910">
        <v>0</v>
      </c>
      <c r="D226" s="1907">
        <v>0</v>
      </c>
      <c r="E226" s="1907">
        <v>0</v>
      </c>
      <c r="F226" s="1907">
        <v>0</v>
      </c>
      <c r="G226" s="1907">
        <v>0</v>
      </c>
      <c r="H226" s="1907">
        <v>0</v>
      </c>
      <c r="I226" s="467"/>
      <c r="J226" s="1907">
        <v>0</v>
      </c>
      <c r="K226" s="1907">
        <v>0</v>
      </c>
    </row>
    <row r="227" spans="1:11" ht="12.75" customHeight="1" x14ac:dyDescent="0.2">
      <c r="A227" s="486" t="s">
        <v>354</v>
      </c>
      <c r="B227" s="485">
        <v>4854</v>
      </c>
      <c r="C227" s="1910">
        <v>0</v>
      </c>
      <c r="D227" s="1907">
        <v>0</v>
      </c>
      <c r="E227" s="1907">
        <v>0</v>
      </c>
      <c r="F227" s="1907">
        <v>0</v>
      </c>
      <c r="G227" s="1907">
        <v>0</v>
      </c>
      <c r="H227" s="1907">
        <v>0</v>
      </c>
      <c r="I227" s="467"/>
      <c r="J227" s="1907">
        <v>0</v>
      </c>
      <c r="K227" s="1907">
        <v>0</v>
      </c>
    </row>
    <row r="228" spans="1:11" ht="12.75" customHeight="1" x14ac:dyDescent="0.2">
      <c r="A228" s="486" t="s">
        <v>464</v>
      </c>
      <c r="B228" s="485">
        <v>4855</v>
      </c>
      <c r="C228" s="1910">
        <v>0</v>
      </c>
      <c r="D228" s="1907">
        <v>0</v>
      </c>
      <c r="E228" s="1907">
        <v>0</v>
      </c>
      <c r="F228" s="1907">
        <v>0</v>
      </c>
      <c r="G228" s="1907">
        <v>0</v>
      </c>
      <c r="H228" s="1907">
        <v>0</v>
      </c>
      <c r="I228" s="467"/>
      <c r="J228" s="1907">
        <v>0</v>
      </c>
      <c r="K228" s="1907">
        <v>0</v>
      </c>
    </row>
    <row r="229" spans="1:11" ht="12.75" customHeight="1" x14ac:dyDescent="0.2">
      <c r="A229" s="486" t="s">
        <v>355</v>
      </c>
      <c r="B229" s="485">
        <v>4856</v>
      </c>
      <c r="C229" s="1910">
        <v>0</v>
      </c>
      <c r="D229" s="1907">
        <v>0</v>
      </c>
      <c r="E229" s="1907">
        <v>0</v>
      </c>
      <c r="F229" s="1907">
        <v>0</v>
      </c>
      <c r="G229" s="1907">
        <v>0</v>
      </c>
      <c r="H229" s="1907">
        <v>0</v>
      </c>
      <c r="I229" s="467"/>
      <c r="J229" s="1907">
        <v>0</v>
      </c>
      <c r="K229" s="1907">
        <v>0</v>
      </c>
    </row>
    <row r="230" spans="1:11" ht="12.75" customHeight="1" x14ac:dyDescent="0.2">
      <c r="A230" s="486" t="s">
        <v>356</v>
      </c>
      <c r="B230" s="485">
        <v>4857</v>
      </c>
      <c r="C230" s="1910">
        <v>0</v>
      </c>
      <c r="D230" s="1907">
        <v>0</v>
      </c>
      <c r="E230" s="1907">
        <v>0</v>
      </c>
      <c r="F230" s="1907">
        <v>0</v>
      </c>
      <c r="G230" s="1907">
        <v>0</v>
      </c>
      <c r="H230" s="1907">
        <v>0</v>
      </c>
      <c r="I230" s="467"/>
      <c r="J230" s="1907">
        <v>0</v>
      </c>
      <c r="K230" s="1907">
        <v>0</v>
      </c>
    </row>
    <row r="231" spans="1:11" ht="12.75" customHeight="1" x14ac:dyDescent="0.2">
      <c r="A231" s="486" t="s">
        <v>357</v>
      </c>
      <c r="B231" s="485">
        <v>4860</v>
      </c>
      <c r="C231" s="1910">
        <v>0</v>
      </c>
      <c r="D231" s="1907">
        <v>0</v>
      </c>
      <c r="E231" s="1907">
        <v>0</v>
      </c>
      <c r="F231" s="1907">
        <v>0</v>
      </c>
      <c r="G231" s="1907">
        <v>0</v>
      </c>
      <c r="H231" s="1907">
        <v>0</v>
      </c>
      <c r="I231" s="467"/>
      <c r="J231" s="1907">
        <v>0</v>
      </c>
      <c r="K231" s="1907">
        <v>0</v>
      </c>
    </row>
    <row r="232" spans="1:11" ht="12.75" customHeight="1" x14ac:dyDescent="0.2">
      <c r="A232" s="486" t="s">
        <v>358</v>
      </c>
      <c r="B232" s="485">
        <v>4861</v>
      </c>
      <c r="C232" s="1910">
        <v>0</v>
      </c>
      <c r="D232" s="1907">
        <v>0</v>
      </c>
      <c r="E232" s="1907">
        <v>0</v>
      </c>
      <c r="F232" s="1907">
        <v>0</v>
      </c>
      <c r="G232" s="1907">
        <v>0</v>
      </c>
      <c r="H232" s="1907">
        <v>0</v>
      </c>
      <c r="I232" s="467"/>
      <c r="J232" s="1907">
        <v>0</v>
      </c>
      <c r="K232" s="1907">
        <v>0</v>
      </c>
    </row>
    <row r="233" spans="1:11" ht="12.75" customHeight="1" x14ac:dyDescent="0.2">
      <c r="A233" s="486" t="s">
        <v>359</v>
      </c>
      <c r="B233" s="485">
        <v>4862</v>
      </c>
      <c r="C233" s="1910">
        <v>0</v>
      </c>
      <c r="D233" s="1907">
        <v>0</v>
      </c>
      <c r="E233" s="472"/>
      <c r="F233" s="1907">
        <v>0</v>
      </c>
      <c r="G233" s="1907">
        <v>0</v>
      </c>
      <c r="H233" s="472"/>
      <c r="I233" s="467"/>
      <c r="J233" s="472"/>
      <c r="K233" s="472"/>
    </row>
    <row r="234" spans="1:11" ht="12.75" customHeight="1" x14ac:dyDescent="0.2">
      <c r="A234" s="486" t="s">
        <v>360</v>
      </c>
      <c r="B234" s="485">
        <v>4863</v>
      </c>
      <c r="C234" s="1910">
        <v>0</v>
      </c>
      <c r="D234" s="1907">
        <v>0</v>
      </c>
      <c r="E234" s="467"/>
      <c r="F234" s="472"/>
      <c r="G234" s="519"/>
      <c r="H234" s="467"/>
      <c r="I234" s="467"/>
      <c r="J234" s="467"/>
      <c r="K234" s="467"/>
    </row>
    <row r="235" spans="1:11" ht="12.75" customHeight="1" x14ac:dyDescent="0.2">
      <c r="A235" s="486" t="s">
        <v>469</v>
      </c>
      <c r="B235" s="485">
        <v>4864</v>
      </c>
      <c r="C235" s="1910">
        <v>0</v>
      </c>
      <c r="D235" s="1907">
        <v>0</v>
      </c>
      <c r="E235" s="1907">
        <v>0</v>
      </c>
      <c r="F235" s="1907">
        <v>0</v>
      </c>
      <c r="G235" s="1907">
        <v>0</v>
      </c>
      <c r="H235" s="1907">
        <v>0</v>
      </c>
      <c r="I235" s="467"/>
      <c r="J235" s="1907">
        <v>0</v>
      </c>
      <c r="K235" s="1907">
        <v>0</v>
      </c>
    </row>
    <row r="236" spans="1:11" ht="12.75" customHeight="1" x14ac:dyDescent="0.2">
      <c r="A236" s="486" t="s">
        <v>470</v>
      </c>
      <c r="B236" s="485">
        <v>4865</v>
      </c>
      <c r="C236" s="1910">
        <v>0</v>
      </c>
      <c r="D236" s="1907">
        <v>0</v>
      </c>
      <c r="E236" s="1907">
        <v>0</v>
      </c>
      <c r="F236" s="1907">
        <v>0</v>
      </c>
      <c r="G236" s="1907">
        <v>0</v>
      </c>
      <c r="H236" s="1907">
        <v>0</v>
      </c>
      <c r="I236" s="467"/>
      <c r="J236" s="1907">
        <v>0</v>
      </c>
      <c r="K236" s="1907">
        <v>0</v>
      </c>
    </row>
    <row r="237" spans="1:11" ht="12.75" customHeight="1" x14ac:dyDescent="0.2">
      <c r="A237" s="486" t="s">
        <v>468</v>
      </c>
      <c r="B237" s="485">
        <v>4866</v>
      </c>
      <c r="C237" s="1910">
        <v>0</v>
      </c>
      <c r="D237" s="1907">
        <v>0</v>
      </c>
      <c r="E237" s="1907">
        <v>0</v>
      </c>
      <c r="F237" s="1907">
        <v>0</v>
      </c>
      <c r="G237" s="1907">
        <v>0</v>
      </c>
      <c r="H237" s="1907">
        <v>0</v>
      </c>
      <c r="I237" s="467"/>
      <c r="J237" s="1907">
        <v>0</v>
      </c>
      <c r="K237" s="1907">
        <v>0</v>
      </c>
    </row>
    <row r="238" spans="1:11" ht="12.75" customHeight="1" x14ac:dyDescent="0.2">
      <c r="A238" s="486" t="s">
        <v>467</v>
      </c>
      <c r="B238" s="485">
        <v>4867</v>
      </c>
      <c r="C238" s="1910">
        <v>0</v>
      </c>
      <c r="D238" s="1907">
        <v>0</v>
      </c>
      <c r="E238" s="1907">
        <v>1077063</v>
      </c>
      <c r="F238" s="1907">
        <v>0</v>
      </c>
      <c r="G238" s="1907">
        <v>0</v>
      </c>
      <c r="H238" s="1907">
        <v>0</v>
      </c>
      <c r="I238" s="467"/>
      <c r="J238" s="1907">
        <v>0</v>
      </c>
      <c r="K238" s="1907">
        <v>0</v>
      </c>
    </row>
    <row r="239" spans="1:11" ht="12.75" customHeight="1" x14ac:dyDescent="0.2">
      <c r="A239" s="486" t="s">
        <v>466</v>
      </c>
      <c r="B239" s="485">
        <v>4868</v>
      </c>
      <c r="C239" s="1910">
        <v>0</v>
      </c>
      <c r="D239" s="1907">
        <v>0</v>
      </c>
      <c r="E239" s="1907">
        <v>0</v>
      </c>
      <c r="F239" s="1907">
        <v>0</v>
      </c>
      <c r="G239" s="1907">
        <v>0</v>
      </c>
      <c r="H239" s="1907">
        <v>0</v>
      </c>
      <c r="I239" s="467"/>
      <c r="J239" s="1907">
        <v>0</v>
      </c>
      <c r="K239" s="1907">
        <v>0</v>
      </c>
    </row>
    <row r="240" spans="1:11" ht="12.75" customHeight="1" x14ac:dyDescent="0.2">
      <c r="A240" s="486" t="s">
        <v>465</v>
      </c>
      <c r="B240" s="485">
        <v>4869</v>
      </c>
      <c r="C240" s="1910">
        <v>0</v>
      </c>
      <c r="D240" s="1907">
        <v>0</v>
      </c>
      <c r="E240" s="1907">
        <v>390130</v>
      </c>
      <c r="F240" s="1907">
        <v>0</v>
      </c>
      <c r="G240" s="1907">
        <v>0</v>
      </c>
      <c r="H240" s="1907">
        <v>0</v>
      </c>
      <c r="I240" s="467"/>
      <c r="J240" s="1907">
        <v>0</v>
      </c>
      <c r="K240" s="1907">
        <v>0</v>
      </c>
    </row>
    <row r="241" spans="1:11" ht="12.75" customHeight="1" x14ac:dyDescent="0.2">
      <c r="A241" s="486" t="s">
        <v>1128</v>
      </c>
      <c r="B241" s="485">
        <v>4870</v>
      </c>
      <c r="C241" s="1910">
        <v>0</v>
      </c>
      <c r="D241" s="1907">
        <v>0</v>
      </c>
      <c r="E241" s="1907">
        <v>0</v>
      </c>
      <c r="F241" s="1907">
        <v>0</v>
      </c>
      <c r="G241" s="1907">
        <v>0</v>
      </c>
      <c r="H241" s="1907">
        <v>0</v>
      </c>
      <c r="I241" s="467"/>
      <c r="J241" s="1907">
        <v>0</v>
      </c>
      <c r="K241" s="1907">
        <v>0</v>
      </c>
    </row>
    <row r="242" spans="1:11" ht="12.75" customHeight="1" x14ac:dyDescent="0.2">
      <c r="A242" s="486" t="s">
        <v>788</v>
      </c>
      <c r="B242" s="485">
        <v>4871</v>
      </c>
      <c r="C242" s="1910">
        <v>0</v>
      </c>
      <c r="D242" s="1907">
        <v>0</v>
      </c>
      <c r="E242" s="1907">
        <v>0</v>
      </c>
      <c r="F242" s="1907">
        <v>0</v>
      </c>
      <c r="G242" s="1907">
        <v>0</v>
      </c>
      <c r="H242" s="1907">
        <v>0</v>
      </c>
      <c r="I242" s="467"/>
      <c r="J242" s="1907">
        <v>0</v>
      </c>
      <c r="K242" s="1907">
        <v>0</v>
      </c>
    </row>
    <row r="243" spans="1:11" ht="12.75" customHeight="1" x14ac:dyDescent="0.2">
      <c r="A243" s="486" t="s">
        <v>789</v>
      </c>
      <c r="B243" s="485">
        <v>4872</v>
      </c>
      <c r="C243" s="1910">
        <v>0</v>
      </c>
      <c r="D243" s="1907">
        <v>0</v>
      </c>
      <c r="E243" s="1907">
        <v>0</v>
      </c>
      <c r="F243" s="1907">
        <v>0</v>
      </c>
      <c r="G243" s="1907">
        <v>0</v>
      </c>
      <c r="H243" s="1907">
        <v>0</v>
      </c>
      <c r="I243" s="467"/>
      <c r="J243" s="1907">
        <v>0</v>
      </c>
      <c r="K243" s="1907">
        <v>0</v>
      </c>
    </row>
    <row r="244" spans="1:11" ht="12.75" customHeight="1" x14ac:dyDescent="0.2">
      <c r="A244" s="486" t="s">
        <v>790</v>
      </c>
      <c r="B244" s="485">
        <v>4873</v>
      </c>
      <c r="C244" s="1910">
        <v>0</v>
      </c>
      <c r="D244" s="1907">
        <v>0</v>
      </c>
      <c r="E244" s="1907">
        <v>0</v>
      </c>
      <c r="F244" s="1907">
        <v>0</v>
      </c>
      <c r="G244" s="1907">
        <v>0</v>
      </c>
      <c r="H244" s="1907">
        <v>0</v>
      </c>
      <c r="I244" s="467"/>
      <c r="J244" s="1907">
        <v>0</v>
      </c>
      <c r="K244" s="1907">
        <v>0</v>
      </c>
    </row>
    <row r="245" spans="1:11" ht="12.75" customHeight="1" x14ac:dyDescent="0.2">
      <c r="A245" s="486" t="s">
        <v>791</v>
      </c>
      <c r="B245" s="485">
        <v>4874</v>
      </c>
      <c r="C245" s="1910">
        <v>0</v>
      </c>
      <c r="D245" s="1907">
        <v>0</v>
      </c>
      <c r="E245" s="1907">
        <v>0</v>
      </c>
      <c r="F245" s="1907">
        <v>0</v>
      </c>
      <c r="G245" s="1907">
        <v>0</v>
      </c>
      <c r="H245" s="1907">
        <v>0</v>
      </c>
      <c r="I245" s="467"/>
      <c r="J245" s="1907">
        <v>0</v>
      </c>
      <c r="K245" s="1907">
        <v>0</v>
      </c>
    </row>
    <row r="246" spans="1:11" ht="12.75" customHeight="1" x14ac:dyDescent="0.2">
      <c r="A246" s="486" t="s">
        <v>471</v>
      </c>
      <c r="B246" s="485">
        <v>4875</v>
      </c>
      <c r="C246" s="1910">
        <v>0</v>
      </c>
      <c r="D246" s="1907">
        <v>0</v>
      </c>
      <c r="E246" s="1907">
        <v>0</v>
      </c>
      <c r="F246" s="1907">
        <v>0</v>
      </c>
      <c r="G246" s="1907">
        <v>0</v>
      </c>
      <c r="H246" s="1907">
        <v>0</v>
      </c>
      <c r="I246" s="467"/>
      <c r="J246" s="1907">
        <v>0</v>
      </c>
      <c r="K246" s="1907">
        <v>0</v>
      </c>
    </row>
    <row r="247" spans="1:11" ht="12.75" customHeight="1" x14ac:dyDescent="0.2">
      <c r="A247" s="486" t="s">
        <v>770</v>
      </c>
      <c r="B247" s="485">
        <v>4876</v>
      </c>
      <c r="C247" s="1910">
        <v>0</v>
      </c>
      <c r="D247" s="1907">
        <v>0</v>
      </c>
      <c r="E247" s="1907">
        <v>0</v>
      </c>
      <c r="F247" s="1907">
        <v>0</v>
      </c>
      <c r="G247" s="1907">
        <v>0</v>
      </c>
      <c r="H247" s="1907">
        <v>0</v>
      </c>
      <c r="I247" s="467"/>
      <c r="J247" s="1907">
        <v>0</v>
      </c>
      <c r="K247" s="1907">
        <v>0</v>
      </c>
    </row>
    <row r="248" spans="1:11" ht="12.75" customHeight="1" x14ac:dyDescent="0.2">
      <c r="A248" s="486" t="s">
        <v>771</v>
      </c>
      <c r="B248" s="485">
        <v>4877</v>
      </c>
      <c r="C248" s="1910">
        <v>0</v>
      </c>
      <c r="D248" s="1907">
        <v>0</v>
      </c>
      <c r="E248" s="1907">
        <v>0</v>
      </c>
      <c r="F248" s="1907">
        <v>0</v>
      </c>
      <c r="G248" s="1907">
        <v>0</v>
      </c>
      <c r="H248" s="1907">
        <v>0</v>
      </c>
      <c r="I248" s="467"/>
      <c r="J248" s="1907">
        <v>0</v>
      </c>
      <c r="K248" s="1907">
        <v>0</v>
      </c>
    </row>
    <row r="249" spans="1:11" ht="12.75" customHeight="1" x14ac:dyDescent="0.2">
      <c r="A249" s="486" t="s">
        <v>772</v>
      </c>
      <c r="B249" s="485">
        <v>4878</v>
      </c>
      <c r="C249" s="1910">
        <v>0</v>
      </c>
      <c r="D249" s="1907">
        <v>0</v>
      </c>
      <c r="E249" s="1907">
        <v>0</v>
      </c>
      <c r="F249" s="1907">
        <v>0</v>
      </c>
      <c r="G249" s="1907">
        <v>0</v>
      </c>
      <c r="H249" s="1907">
        <v>0</v>
      </c>
      <c r="I249" s="467"/>
      <c r="J249" s="1907">
        <v>0</v>
      </c>
      <c r="K249" s="1907">
        <v>0</v>
      </c>
    </row>
    <row r="250" spans="1:11" ht="12.75" customHeight="1" x14ac:dyDescent="0.2">
      <c r="A250" s="486" t="s">
        <v>773</v>
      </c>
      <c r="B250" s="485">
        <v>4879</v>
      </c>
      <c r="C250" s="1910">
        <v>0</v>
      </c>
      <c r="D250" s="1907">
        <v>0</v>
      </c>
      <c r="E250" s="1907">
        <v>0</v>
      </c>
      <c r="F250" s="1907">
        <v>0</v>
      </c>
      <c r="G250" s="1907">
        <v>0</v>
      </c>
      <c r="H250" s="1907">
        <v>0</v>
      </c>
      <c r="I250" s="467"/>
      <c r="J250" s="1907">
        <v>0</v>
      </c>
      <c r="K250" s="1907">
        <v>0</v>
      </c>
    </row>
    <row r="251" spans="1:11" ht="12.75" customHeight="1" x14ac:dyDescent="0.2">
      <c r="A251" s="225" t="s">
        <v>1441</v>
      </c>
      <c r="B251" s="567">
        <v>4880</v>
      </c>
      <c r="C251" s="1910">
        <v>0</v>
      </c>
      <c r="D251" s="1907">
        <v>0</v>
      </c>
      <c r="E251" s="1907">
        <v>0</v>
      </c>
      <c r="F251" s="1907">
        <v>0</v>
      </c>
      <c r="G251" s="1907">
        <v>0</v>
      </c>
      <c r="H251" s="1907">
        <v>0</v>
      </c>
      <c r="I251" s="467"/>
      <c r="J251" s="1907">
        <v>0</v>
      </c>
      <c r="K251" s="1907">
        <v>0</v>
      </c>
    </row>
    <row r="252" spans="1:11" ht="12.75" customHeight="1" thickBot="1" x14ac:dyDescent="0.25">
      <c r="A252" s="1698" t="s">
        <v>774</v>
      </c>
      <c r="B252" s="1699"/>
      <c r="C252" s="1691">
        <f t="shared" ref="C252:H252" si="9">SUM(C223:C251)</f>
        <v>0</v>
      </c>
      <c r="D252" s="1680">
        <f t="shared" si="9"/>
        <v>0</v>
      </c>
      <c r="E252" s="1680">
        <f t="shared" si="9"/>
        <v>1467193</v>
      </c>
      <c r="F252" s="1680">
        <f t="shared" si="9"/>
        <v>0</v>
      </c>
      <c r="G252" s="1680">
        <f t="shared" si="9"/>
        <v>0</v>
      </c>
      <c r="H252" s="1680">
        <f t="shared" si="9"/>
        <v>0</v>
      </c>
      <c r="I252" s="541"/>
      <c r="J252" s="1680">
        <f>SUM(J223:J251)</f>
        <v>0</v>
      </c>
      <c r="K252" s="1661">
        <f>SUM(K223:K251)</f>
        <v>0</v>
      </c>
    </row>
    <row r="253" spans="1:11" ht="12.75" customHeight="1" thickTop="1" thickBot="1" x14ac:dyDescent="0.25">
      <c r="A253" s="1475" t="s">
        <v>1407</v>
      </c>
      <c r="B253" s="568">
        <v>4901</v>
      </c>
      <c r="C253" s="1926">
        <v>0</v>
      </c>
      <c r="D253" s="468"/>
      <c r="E253" s="467"/>
      <c r="F253" s="467"/>
      <c r="G253" s="467"/>
      <c r="H253" s="467"/>
      <c r="I253" s="467"/>
      <c r="J253" s="467"/>
      <c r="K253" s="467"/>
    </row>
    <row r="254" spans="1:11" ht="12.75" customHeight="1" thickTop="1" thickBot="1" x14ac:dyDescent="0.25">
      <c r="A254" s="1476" t="s">
        <v>1449</v>
      </c>
      <c r="B254" s="569">
        <v>4902</v>
      </c>
      <c r="C254" s="1927">
        <v>0</v>
      </c>
      <c r="D254" s="1943">
        <v>0</v>
      </c>
      <c r="E254" s="468"/>
      <c r="F254" s="1943">
        <v>0</v>
      </c>
      <c r="G254" s="1943">
        <v>0</v>
      </c>
      <c r="H254" s="468"/>
      <c r="I254" s="467"/>
      <c r="J254" s="468"/>
      <c r="K254" s="468"/>
    </row>
    <row r="255" spans="1:11" ht="12.75" customHeight="1" thickTop="1" thickBot="1" x14ac:dyDescent="0.25">
      <c r="A255" s="463" t="s">
        <v>1442</v>
      </c>
      <c r="B255" s="469">
        <v>4905</v>
      </c>
      <c r="C255" s="1916">
        <v>11978</v>
      </c>
      <c r="D255" s="467"/>
      <c r="E255" s="467"/>
      <c r="F255" s="1942">
        <v>0</v>
      </c>
      <c r="G255" s="1939">
        <v>0</v>
      </c>
      <c r="H255" s="467"/>
      <c r="I255" s="467"/>
      <c r="J255" s="467"/>
      <c r="K255" s="467"/>
    </row>
    <row r="256" spans="1:11" ht="12.75" customHeight="1" thickTop="1" thickBot="1" x14ac:dyDescent="0.25">
      <c r="A256" s="463" t="s">
        <v>1443</v>
      </c>
      <c r="B256" s="469">
        <v>4909</v>
      </c>
      <c r="C256" s="1918">
        <v>810345</v>
      </c>
      <c r="D256" s="467"/>
      <c r="E256" s="467"/>
      <c r="F256" s="1941">
        <v>0</v>
      </c>
      <c r="G256" s="1941">
        <v>0</v>
      </c>
      <c r="H256" s="467"/>
      <c r="I256" s="467"/>
      <c r="J256" s="467"/>
      <c r="K256" s="467"/>
    </row>
    <row r="257" spans="1:11" ht="12.75" customHeight="1" thickTop="1" thickBot="1" x14ac:dyDescent="0.25">
      <c r="A257" s="463" t="s">
        <v>193</v>
      </c>
      <c r="B257" s="469">
        <v>4920</v>
      </c>
      <c r="C257" s="1918">
        <v>0</v>
      </c>
      <c r="D257" s="1942">
        <v>0</v>
      </c>
      <c r="E257" s="467"/>
      <c r="F257" s="1939">
        <v>0</v>
      </c>
      <c r="G257" s="1939">
        <v>0</v>
      </c>
      <c r="H257" s="467"/>
      <c r="I257" s="467"/>
      <c r="J257" s="467"/>
      <c r="K257" s="467"/>
    </row>
    <row r="258" spans="1:11" ht="12.75" customHeight="1" thickTop="1" thickBot="1" x14ac:dyDescent="0.25">
      <c r="A258" s="463" t="s">
        <v>421</v>
      </c>
      <c r="B258" s="469">
        <v>4930</v>
      </c>
      <c r="C258" s="1918">
        <v>0</v>
      </c>
      <c r="D258" s="1941">
        <v>0</v>
      </c>
      <c r="E258" s="467"/>
      <c r="F258" s="1941">
        <v>0</v>
      </c>
      <c r="G258" s="1941">
        <v>0</v>
      </c>
      <c r="H258" s="467"/>
      <c r="I258" s="467"/>
      <c r="J258" s="467"/>
      <c r="K258" s="467"/>
    </row>
    <row r="259" spans="1:11" ht="12.75" customHeight="1" thickTop="1" thickBot="1" x14ac:dyDescent="0.25">
      <c r="A259" s="463" t="s">
        <v>758</v>
      </c>
      <c r="B259" s="469">
        <v>4932</v>
      </c>
      <c r="C259" s="1918">
        <v>716349</v>
      </c>
      <c r="D259" s="1941">
        <v>0</v>
      </c>
      <c r="E259" s="467"/>
      <c r="F259" s="1941">
        <v>0</v>
      </c>
      <c r="G259" s="1941">
        <v>0</v>
      </c>
      <c r="H259" s="467"/>
      <c r="I259" s="467"/>
      <c r="J259" s="467"/>
      <c r="K259" s="467"/>
    </row>
    <row r="260" spans="1:11" ht="12.75" customHeight="1" thickTop="1" thickBot="1" x14ac:dyDescent="0.25">
      <c r="A260" s="463" t="s">
        <v>890</v>
      </c>
      <c r="B260" s="469">
        <v>4960</v>
      </c>
      <c r="C260" s="1917">
        <v>0</v>
      </c>
      <c r="D260" s="1941">
        <v>0</v>
      </c>
      <c r="E260" s="467"/>
      <c r="F260" s="1941">
        <v>0</v>
      </c>
      <c r="G260" s="1941">
        <v>0</v>
      </c>
      <c r="H260" s="467"/>
      <c r="I260" s="467"/>
      <c r="J260" s="467"/>
      <c r="K260" s="467"/>
    </row>
    <row r="261" spans="1:11" ht="12.75" customHeight="1" thickTop="1" thickBot="1" x14ac:dyDescent="0.25">
      <c r="A261" s="1864" t="s">
        <v>1897</v>
      </c>
      <c r="B261" s="469">
        <v>4981</v>
      </c>
      <c r="C261" s="1947">
        <v>0</v>
      </c>
      <c r="D261" s="1948">
        <v>0</v>
      </c>
      <c r="E261" s="467"/>
      <c r="F261" s="1948">
        <v>0</v>
      </c>
      <c r="G261" s="1948">
        <v>0</v>
      </c>
      <c r="H261" s="467"/>
      <c r="I261" s="467"/>
      <c r="J261" s="467"/>
      <c r="K261" s="467"/>
    </row>
    <row r="262" spans="1:11" ht="12.75" customHeight="1" thickTop="1" thickBot="1" x14ac:dyDescent="0.25">
      <c r="A262" s="1865" t="s">
        <v>1898</v>
      </c>
      <c r="B262" s="469">
        <v>4982</v>
      </c>
      <c r="C262" s="1947">
        <v>0</v>
      </c>
      <c r="D262" s="1948">
        <v>0</v>
      </c>
      <c r="E262" s="467"/>
      <c r="F262" s="1948">
        <v>0</v>
      </c>
      <c r="G262" s="1948">
        <v>0</v>
      </c>
      <c r="H262" s="467"/>
      <c r="I262" s="467"/>
      <c r="J262" s="467"/>
      <c r="K262" s="467"/>
    </row>
    <row r="263" spans="1:11" ht="12.75" customHeight="1" thickTop="1" thickBot="1" x14ac:dyDescent="0.25">
      <c r="A263" s="463" t="s">
        <v>568</v>
      </c>
      <c r="B263" s="469">
        <v>4991</v>
      </c>
      <c r="C263" s="1940">
        <v>699986</v>
      </c>
      <c r="D263" s="1941">
        <v>0</v>
      </c>
      <c r="E263" s="467"/>
      <c r="F263" s="1941">
        <v>0</v>
      </c>
      <c r="G263" s="1941">
        <v>0</v>
      </c>
      <c r="H263" s="467"/>
      <c r="I263" s="467"/>
      <c r="J263" s="467"/>
      <c r="K263" s="467"/>
    </row>
    <row r="264" spans="1:11" ht="12.75" customHeight="1" thickTop="1" thickBot="1" x14ac:dyDescent="0.25">
      <c r="A264" s="463" t="s">
        <v>377</v>
      </c>
      <c r="B264" s="469">
        <v>4992</v>
      </c>
      <c r="C264" s="1940">
        <v>764442</v>
      </c>
      <c r="D264" s="1941">
        <v>0</v>
      </c>
      <c r="E264" s="467"/>
      <c r="F264" s="1941">
        <v>0</v>
      </c>
      <c r="G264" s="1941">
        <v>0</v>
      </c>
      <c r="H264" s="467"/>
      <c r="I264" s="467"/>
      <c r="J264" s="467"/>
      <c r="K264" s="467"/>
    </row>
    <row r="265" spans="1:11" s="570" customFormat="1" ht="12.75" customHeight="1" thickTop="1" thickBot="1" x14ac:dyDescent="0.25">
      <c r="A265" s="551" t="s">
        <v>75</v>
      </c>
      <c r="B265" s="545">
        <v>4999</v>
      </c>
      <c r="C265" s="1940">
        <v>0</v>
      </c>
      <c r="D265" s="1941">
        <v>0</v>
      </c>
      <c r="E265" s="467"/>
      <c r="F265" s="1941">
        <v>0</v>
      </c>
      <c r="G265" s="1941">
        <v>0</v>
      </c>
      <c r="H265" s="1935">
        <v>0</v>
      </c>
      <c r="I265" s="467"/>
      <c r="J265" s="467"/>
      <c r="K265" s="1935">
        <v>0</v>
      </c>
    </row>
    <row r="266" spans="1:11" ht="14.25" thickTop="1" thickBot="1" x14ac:dyDescent="0.25">
      <c r="A266" s="1681" t="s">
        <v>1635</v>
      </c>
      <c r="B266" s="1700"/>
      <c r="C266" s="1688">
        <f t="shared" ref="C266:H266" si="10">SUM(C188,C198,C204,C209,C217,C221,C222,C252:C265)</f>
        <v>17437648</v>
      </c>
      <c r="D266" s="1688">
        <f t="shared" si="10"/>
        <v>0</v>
      </c>
      <c r="E266" s="1688">
        <f t="shared" si="10"/>
        <v>1467193</v>
      </c>
      <c r="F266" s="1688">
        <f t="shared" si="10"/>
        <v>0</v>
      </c>
      <c r="G266" s="1688">
        <f t="shared" si="10"/>
        <v>0</v>
      </c>
      <c r="H266" s="1688">
        <f t="shared" si="10"/>
        <v>0</v>
      </c>
      <c r="I266" s="467"/>
      <c r="J266" s="1688">
        <f>SUM(J188,J198,J204,J209,J217,J221,J222,J252:J265)</f>
        <v>0</v>
      </c>
      <c r="K266" s="1675">
        <f>SUM(K188,K198,K204,K209,K217,K221,K222,K252:K265)</f>
        <v>0</v>
      </c>
    </row>
    <row r="267" spans="1:11" ht="14.25" thickTop="1" thickBot="1" x14ac:dyDescent="0.25">
      <c r="A267" s="1701" t="s">
        <v>1086</v>
      </c>
      <c r="B267" s="1702" t="s">
        <v>860</v>
      </c>
      <c r="C267" s="1688">
        <f>SUM(C175,C181,C266)</f>
        <v>17437648</v>
      </c>
      <c r="D267" s="1688">
        <f>SUM(D175,D181,D266)</f>
        <v>0</v>
      </c>
      <c r="E267" s="1688">
        <f>SUM(E175,E266)</f>
        <v>1467193</v>
      </c>
      <c r="F267" s="1688">
        <f t="shared" ref="F267:K267" si="11">SUM(F175,F181,F266)</f>
        <v>0</v>
      </c>
      <c r="G267" s="1688">
        <f t="shared" si="11"/>
        <v>0</v>
      </c>
      <c r="H267" s="1688">
        <f t="shared" si="11"/>
        <v>0</v>
      </c>
      <c r="I267" s="1688">
        <f t="shared" si="11"/>
        <v>0</v>
      </c>
      <c r="J267" s="1688">
        <f t="shared" si="11"/>
        <v>0</v>
      </c>
      <c r="K267" s="1675">
        <f t="shared" si="11"/>
        <v>0</v>
      </c>
    </row>
    <row r="268" spans="1:11" ht="14.25" thickTop="1" thickBot="1" x14ac:dyDescent="0.25">
      <c r="A268" s="1703" t="s">
        <v>251</v>
      </c>
      <c r="B268" s="1704"/>
      <c r="C268" s="1688">
        <f t="shared" ref="C268:K268" si="12">SUM(C109,C114,C170,C267)</f>
        <v>145967320</v>
      </c>
      <c r="D268" s="1688">
        <f t="shared" si="12"/>
        <v>12635462</v>
      </c>
      <c r="E268" s="1688">
        <f t="shared" si="12"/>
        <v>7347720</v>
      </c>
      <c r="F268" s="1688">
        <f t="shared" si="12"/>
        <v>3826393</v>
      </c>
      <c r="G268" s="1688">
        <f t="shared" si="12"/>
        <v>4225110</v>
      </c>
      <c r="H268" s="1688">
        <f t="shared" si="12"/>
        <v>745352</v>
      </c>
      <c r="I268" s="1688">
        <f t="shared" si="12"/>
        <v>95956</v>
      </c>
      <c r="J268" s="1688">
        <f t="shared" si="12"/>
        <v>1577972</v>
      </c>
      <c r="K268" s="1675">
        <f t="shared" si="12"/>
        <v>70574</v>
      </c>
    </row>
    <row r="269" spans="1:11" ht="13.5" thickTop="1" x14ac:dyDescent="0.2">
      <c r="C269" s="573"/>
      <c r="D269" s="573"/>
      <c r="E269" s="573"/>
      <c r="F269" s="573"/>
      <c r="G269" s="573"/>
      <c r="H269" s="573"/>
      <c r="I269" s="573"/>
      <c r="J269" s="573"/>
      <c r="K269" s="573"/>
    </row>
    <row r="270" spans="1:11" x14ac:dyDescent="0.2">
      <c r="C270" s="573"/>
      <c r="D270" s="573"/>
      <c r="E270" s="573"/>
      <c r="F270" s="573"/>
      <c r="G270" s="573"/>
      <c r="H270" s="573"/>
      <c r="I270" s="573"/>
      <c r="J270" s="573"/>
      <c r="K270" s="573"/>
    </row>
    <row r="271" spans="1:11" x14ac:dyDescent="0.2">
      <c r="C271" s="573"/>
      <c r="D271" s="573"/>
      <c r="E271" s="573"/>
      <c r="F271" s="573"/>
      <c r="G271" s="573"/>
      <c r="H271" s="573"/>
      <c r="I271" s="573"/>
      <c r="J271" s="573"/>
      <c r="K271" s="573"/>
    </row>
    <row r="272" spans="1:11" x14ac:dyDescent="0.2">
      <c r="C272" s="573"/>
      <c r="D272" s="573"/>
      <c r="E272" s="573"/>
      <c r="F272" s="573"/>
      <c r="G272" s="573"/>
      <c r="H272" s="573"/>
      <c r="I272" s="573"/>
      <c r="J272" s="573"/>
      <c r="K272" s="573"/>
    </row>
    <row r="273" spans="1:11" x14ac:dyDescent="0.2">
      <c r="C273" s="573"/>
      <c r="D273" s="573"/>
      <c r="E273" s="573"/>
      <c r="F273" s="573"/>
      <c r="G273" s="573"/>
      <c r="H273" s="573"/>
      <c r="I273" s="573"/>
      <c r="J273" s="573"/>
      <c r="K273" s="573"/>
    </row>
    <row r="274" spans="1:11" x14ac:dyDescent="0.2">
      <c r="C274" s="573"/>
      <c r="D274" s="573"/>
      <c r="E274" s="573"/>
      <c r="F274" s="573"/>
      <c r="G274" s="573"/>
      <c r="H274" s="573"/>
      <c r="I274" s="573"/>
      <c r="J274" s="573"/>
      <c r="K274" s="573"/>
    </row>
    <row r="275" spans="1:11" s="329" customFormat="1" x14ac:dyDescent="0.2">
      <c r="A275" s="571"/>
      <c r="B275" s="572"/>
      <c r="C275" s="573"/>
      <c r="D275" s="573"/>
      <c r="E275" s="573"/>
      <c r="F275" s="573"/>
      <c r="G275" s="573"/>
      <c r="H275" s="573"/>
      <c r="I275" s="573"/>
      <c r="J275" s="573"/>
      <c r="K275" s="573"/>
    </row>
    <row r="276" spans="1:11" s="329" customFormat="1" x14ac:dyDescent="0.2">
      <c r="A276" s="571"/>
    </row>
    <row r="277" spans="1:11" s="329" customFormat="1" x14ac:dyDescent="0.2">
      <c r="A277" s="574"/>
    </row>
    <row r="278" spans="1:11" s="329" customFormat="1" x14ac:dyDescent="0.2">
      <c r="A278" s="574"/>
    </row>
    <row r="279" spans="1:11" s="329" customFormat="1" x14ac:dyDescent="0.2">
      <c r="A279" s="574"/>
    </row>
  </sheetData>
  <sheetProtection password="F60E" sheet="1" objects="1" scenarios="1"/>
  <mergeCells count="7">
    <mergeCell ref="A1:A2"/>
    <mergeCell ref="A169:B169"/>
    <mergeCell ref="A172:B172"/>
    <mergeCell ref="A182:B182"/>
    <mergeCell ref="A175:B175"/>
    <mergeCell ref="A181:B181"/>
    <mergeCell ref="A176:B176"/>
  </mergeCells>
  <phoneticPr fontId="20"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3" activePane="bottomLeft" state="frozen"/>
      <selection activeCell="AF22" sqref="AF22"/>
      <selection pane="bottomLeft" activeCell="L366" sqref="L366"/>
    </sheetView>
  </sheetViews>
  <sheetFormatPr defaultColWidth="9.140625" defaultRowHeight="12.75" x14ac:dyDescent="0.2"/>
  <cols>
    <col min="1" max="1" width="48.5703125" style="682" customWidth="1"/>
    <col min="2" max="2" width="5" style="683" customWidth="1"/>
    <col min="3" max="8" width="13.28515625" style="586"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77" t="s">
        <v>1764</v>
      </c>
      <c r="B1" s="579"/>
      <c r="C1" s="580" t="s">
        <v>775</v>
      </c>
      <c r="D1" s="580" t="s">
        <v>1078</v>
      </c>
      <c r="E1" s="580" t="s">
        <v>1079</v>
      </c>
      <c r="F1" s="580" t="s">
        <v>1080</v>
      </c>
      <c r="G1" s="580" t="s">
        <v>1081</v>
      </c>
      <c r="H1" s="580" t="s">
        <v>1082</v>
      </c>
      <c r="I1" s="580" t="s">
        <v>1083</v>
      </c>
      <c r="J1" s="580" t="s">
        <v>1084</v>
      </c>
      <c r="K1" s="580" t="s">
        <v>252</v>
      </c>
      <c r="L1" s="581"/>
    </row>
    <row r="2" spans="1:14" s="585" customFormat="1" ht="28.5" customHeight="1" x14ac:dyDescent="0.2">
      <c r="A2" s="2211"/>
      <c r="B2" s="582" t="s">
        <v>45</v>
      </c>
      <c r="C2" s="583" t="s">
        <v>194</v>
      </c>
      <c r="D2" s="584" t="s">
        <v>49</v>
      </c>
      <c r="E2" s="584" t="s">
        <v>1100</v>
      </c>
      <c r="F2" s="584" t="s">
        <v>1094</v>
      </c>
      <c r="G2" s="583" t="s">
        <v>1095</v>
      </c>
      <c r="H2" s="583" t="s">
        <v>1096</v>
      </c>
      <c r="I2" s="584" t="s">
        <v>291</v>
      </c>
      <c r="J2" s="584" t="s">
        <v>292</v>
      </c>
      <c r="K2" s="583" t="s">
        <v>156</v>
      </c>
      <c r="L2" s="583" t="s">
        <v>30</v>
      </c>
      <c r="M2" s="257"/>
      <c r="N2" s="257"/>
    </row>
    <row r="3" spans="1:14" s="343" customFormat="1" ht="16.7" customHeight="1" x14ac:dyDescent="0.2">
      <c r="A3" s="2217" t="s">
        <v>297</v>
      </c>
      <c r="B3" s="2218"/>
      <c r="C3" s="1521"/>
      <c r="D3" s="1521"/>
      <c r="E3" s="1521"/>
      <c r="F3" s="1521"/>
      <c r="G3" s="1521"/>
      <c r="H3" s="1521"/>
      <c r="I3" s="1521"/>
      <c r="J3" s="1521"/>
      <c r="K3" s="1522"/>
      <c r="L3" s="1523"/>
      <c r="M3" s="586"/>
      <c r="N3" s="586"/>
    </row>
    <row r="4" spans="1:14" s="259" customFormat="1" ht="15.75" customHeight="1" x14ac:dyDescent="0.2">
      <c r="A4" s="1579" t="s">
        <v>44</v>
      </c>
      <c r="B4" s="1580" t="s">
        <v>570</v>
      </c>
      <c r="C4" s="587"/>
      <c r="D4" s="587"/>
      <c r="E4" s="587"/>
      <c r="F4" s="587"/>
      <c r="G4" s="587"/>
      <c r="H4" s="587"/>
      <c r="I4" s="588"/>
      <c r="J4" s="587"/>
      <c r="K4" s="589"/>
      <c r="L4" s="587"/>
      <c r="M4" s="590"/>
      <c r="N4" s="590"/>
    </row>
    <row r="5" spans="1:14" x14ac:dyDescent="0.2">
      <c r="A5" s="1477" t="s">
        <v>961</v>
      </c>
      <c r="B5" s="591">
        <v>1100</v>
      </c>
      <c r="C5" s="1928">
        <v>35506398</v>
      </c>
      <c r="D5" s="1928">
        <v>6920446</v>
      </c>
      <c r="E5" s="1928">
        <v>27948</v>
      </c>
      <c r="F5" s="1928">
        <v>746000</v>
      </c>
      <c r="G5" s="1928">
        <v>0</v>
      </c>
      <c r="H5" s="1928">
        <v>0</v>
      </c>
      <c r="I5" s="1929">
        <v>39400</v>
      </c>
      <c r="J5" s="1929">
        <v>0</v>
      </c>
      <c r="K5" s="1644">
        <f>SUM(C5:J5)</f>
        <v>43240192</v>
      </c>
      <c r="L5" s="1950">
        <v>51861463</v>
      </c>
    </row>
    <row r="6" spans="1:14" x14ac:dyDescent="0.2">
      <c r="A6" s="1477" t="s">
        <v>1419</v>
      </c>
      <c r="B6" s="591" t="s">
        <v>1417</v>
      </c>
      <c r="C6" s="473"/>
      <c r="D6" s="473"/>
      <c r="E6" s="1928">
        <v>0</v>
      </c>
      <c r="F6" s="473"/>
      <c r="G6" s="473"/>
      <c r="H6" s="473"/>
      <c r="I6" s="473"/>
      <c r="J6" s="473"/>
      <c r="K6" s="1644">
        <f>SUM(C6,E6)</f>
        <v>0</v>
      </c>
      <c r="L6" s="1950">
        <v>4658</v>
      </c>
    </row>
    <row r="7" spans="1:14" x14ac:dyDescent="0.2">
      <c r="A7" s="1477" t="s">
        <v>163</v>
      </c>
      <c r="B7" s="591" t="s">
        <v>967</v>
      </c>
      <c r="C7" s="1929">
        <v>1479479</v>
      </c>
      <c r="D7" s="1929">
        <v>342853</v>
      </c>
      <c r="E7" s="1929">
        <v>18108</v>
      </c>
      <c r="F7" s="1929">
        <v>275146</v>
      </c>
      <c r="G7" s="1929">
        <v>0</v>
      </c>
      <c r="H7" s="1929">
        <v>0</v>
      </c>
      <c r="I7" s="1929">
        <v>104241</v>
      </c>
      <c r="J7" s="1929">
        <v>0</v>
      </c>
      <c r="K7" s="1644">
        <f t="shared" ref="K7:K32" si="0">SUM(C7:J7)</f>
        <v>2219827</v>
      </c>
      <c r="L7" s="1950">
        <v>2401238</v>
      </c>
    </row>
    <row r="8" spans="1:14" x14ac:dyDescent="0.2">
      <c r="A8" s="1477" t="s">
        <v>164</v>
      </c>
      <c r="B8" s="591">
        <v>1200</v>
      </c>
      <c r="C8" s="1928">
        <v>10727814</v>
      </c>
      <c r="D8" s="1928">
        <v>2244782</v>
      </c>
      <c r="E8" s="1928">
        <v>68625</v>
      </c>
      <c r="F8" s="1928">
        <v>128365</v>
      </c>
      <c r="G8" s="1928">
        <v>0</v>
      </c>
      <c r="H8" s="1928">
        <v>0</v>
      </c>
      <c r="I8" s="1929">
        <v>796</v>
      </c>
      <c r="J8" s="1929">
        <v>0</v>
      </c>
      <c r="K8" s="1644">
        <f t="shared" si="0"/>
        <v>13170382</v>
      </c>
      <c r="L8" s="1950">
        <v>15287709</v>
      </c>
    </row>
    <row r="9" spans="1:14" x14ac:dyDescent="0.2">
      <c r="A9" s="1477" t="s">
        <v>721</v>
      </c>
      <c r="B9" s="591" t="s">
        <v>968</v>
      </c>
      <c r="C9" s="1929">
        <v>626378</v>
      </c>
      <c r="D9" s="1929">
        <v>159124</v>
      </c>
      <c r="E9" s="1929">
        <v>0</v>
      </c>
      <c r="F9" s="1929">
        <v>9079</v>
      </c>
      <c r="G9" s="1951">
        <v>0</v>
      </c>
      <c r="H9" s="1929">
        <v>0</v>
      </c>
      <c r="I9" s="1929">
        <v>0</v>
      </c>
      <c r="J9" s="1929">
        <v>0</v>
      </c>
      <c r="K9" s="1644">
        <f t="shared" si="0"/>
        <v>794581</v>
      </c>
      <c r="L9" s="1950">
        <v>1011424</v>
      </c>
    </row>
    <row r="10" spans="1:14" x14ac:dyDescent="0.2">
      <c r="A10" s="1477" t="s">
        <v>722</v>
      </c>
      <c r="B10" s="591">
        <v>1250</v>
      </c>
      <c r="C10" s="1928">
        <v>902932</v>
      </c>
      <c r="D10" s="1928">
        <v>161893</v>
      </c>
      <c r="E10" s="1928">
        <v>708133</v>
      </c>
      <c r="F10" s="1928">
        <v>877157</v>
      </c>
      <c r="G10" s="1928">
        <v>0</v>
      </c>
      <c r="H10" s="1928">
        <v>0</v>
      </c>
      <c r="I10" s="1929">
        <v>753999</v>
      </c>
      <c r="J10" s="1929">
        <v>0</v>
      </c>
      <c r="K10" s="1644">
        <f t="shared" si="0"/>
        <v>3404114</v>
      </c>
      <c r="L10" s="1950">
        <v>5546515</v>
      </c>
    </row>
    <row r="11" spans="1:14" x14ac:dyDescent="0.2">
      <c r="A11" s="1477" t="s">
        <v>1130</v>
      </c>
      <c r="B11" s="591" t="s">
        <v>161</v>
      </c>
      <c r="C11" s="1929">
        <v>0</v>
      </c>
      <c r="D11" s="1929">
        <v>0</v>
      </c>
      <c r="E11" s="1929">
        <v>0</v>
      </c>
      <c r="F11" s="1929">
        <v>0</v>
      </c>
      <c r="G11" s="1929">
        <v>0</v>
      </c>
      <c r="H11" s="1929">
        <v>0</v>
      </c>
      <c r="I11" s="1929">
        <v>0</v>
      </c>
      <c r="J11" s="1929">
        <v>0</v>
      </c>
      <c r="K11" s="1644">
        <f t="shared" si="0"/>
        <v>0</v>
      </c>
      <c r="L11" s="1950">
        <v>0</v>
      </c>
    </row>
    <row r="12" spans="1:14" x14ac:dyDescent="0.2">
      <c r="A12" s="1477" t="s">
        <v>962</v>
      </c>
      <c r="B12" s="591">
        <v>1300</v>
      </c>
      <c r="C12" s="1928">
        <v>0</v>
      </c>
      <c r="D12" s="1928">
        <v>0</v>
      </c>
      <c r="E12" s="1928">
        <v>0</v>
      </c>
      <c r="F12" s="1928">
        <v>0</v>
      </c>
      <c r="G12" s="1928">
        <v>0</v>
      </c>
      <c r="H12" s="1928">
        <v>0</v>
      </c>
      <c r="I12" s="1929">
        <v>0</v>
      </c>
      <c r="J12" s="1929">
        <v>0</v>
      </c>
      <c r="K12" s="1644">
        <f t="shared" si="0"/>
        <v>0</v>
      </c>
      <c r="L12" s="1950">
        <v>0</v>
      </c>
    </row>
    <row r="13" spans="1:14" x14ac:dyDescent="0.2">
      <c r="A13" s="1477" t="s">
        <v>723</v>
      </c>
      <c r="B13" s="591">
        <v>1400</v>
      </c>
      <c r="C13" s="1928">
        <v>0</v>
      </c>
      <c r="D13" s="1928">
        <v>0</v>
      </c>
      <c r="E13" s="1928">
        <v>0</v>
      </c>
      <c r="F13" s="1928">
        <v>0</v>
      </c>
      <c r="G13" s="1928">
        <v>0</v>
      </c>
      <c r="H13" s="1928">
        <v>0</v>
      </c>
      <c r="I13" s="1929">
        <v>0</v>
      </c>
      <c r="J13" s="1929">
        <v>0</v>
      </c>
      <c r="K13" s="1644">
        <f t="shared" si="0"/>
        <v>0</v>
      </c>
      <c r="L13" s="1950">
        <v>0</v>
      </c>
    </row>
    <row r="14" spans="1:14" x14ac:dyDescent="0.2">
      <c r="A14" s="1477" t="s">
        <v>963</v>
      </c>
      <c r="B14" s="591">
        <v>1500</v>
      </c>
      <c r="C14" s="1928">
        <v>231813</v>
      </c>
      <c r="D14" s="1928">
        <v>3337</v>
      </c>
      <c r="E14" s="1928">
        <v>7718</v>
      </c>
      <c r="F14" s="1928">
        <v>34374</v>
      </c>
      <c r="G14" s="1928">
        <v>0</v>
      </c>
      <c r="H14" s="1928">
        <v>9568</v>
      </c>
      <c r="I14" s="1929">
        <v>0</v>
      </c>
      <c r="J14" s="1929">
        <v>0</v>
      </c>
      <c r="K14" s="1644">
        <f t="shared" si="0"/>
        <v>286810</v>
      </c>
      <c r="L14" s="1950">
        <v>310065</v>
      </c>
    </row>
    <row r="15" spans="1:14" x14ac:dyDescent="0.2">
      <c r="A15" s="1477" t="s">
        <v>964</v>
      </c>
      <c r="B15" s="591">
        <v>1600</v>
      </c>
      <c r="C15" s="1928">
        <v>211386</v>
      </c>
      <c r="D15" s="1928">
        <v>2264</v>
      </c>
      <c r="E15" s="1928">
        <v>119634</v>
      </c>
      <c r="F15" s="1928">
        <v>3790</v>
      </c>
      <c r="G15" s="1928">
        <v>0</v>
      </c>
      <c r="H15" s="1928">
        <v>0</v>
      </c>
      <c r="I15" s="1929">
        <v>0</v>
      </c>
      <c r="J15" s="1929">
        <v>0</v>
      </c>
      <c r="K15" s="1644">
        <f t="shared" si="0"/>
        <v>337074</v>
      </c>
      <c r="L15" s="1950">
        <v>614875</v>
      </c>
    </row>
    <row r="16" spans="1:14" x14ac:dyDescent="0.2">
      <c r="A16" s="1477" t="s">
        <v>987</v>
      </c>
      <c r="B16" s="591" t="s">
        <v>424</v>
      </c>
      <c r="C16" s="1928">
        <v>148264</v>
      </c>
      <c r="D16" s="1928">
        <v>33749</v>
      </c>
      <c r="E16" s="1928">
        <v>11443</v>
      </c>
      <c r="F16" s="1928">
        <v>0</v>
      </c>
      <c r="G16" s="1928">
        <v>0</v>
      </c>
      <c r="H16" s="1928">
        <v>0</v>
      </c>
      <c r="I16" s="1929">
        <v>0</v>
      </c>
      <c r="J16" s="1929">
        <v>0</v>
      </c>
      <c r="K16" s="1644">
        <f t="shared" si="0"/>
        <v>193456</v>
      </c>
      <c r="L16" s="1950">
        <v>224102</v>
      </c>
    </row>
    <row r="17" spans="1:12" x14ac:dyDescent="0.2">
      <c r="A17" s="1477" t="s">
        <v>724</v>
      </c>
      <c r="B17" s="591" t="s">
        <v>162</v>
      </c>
      <c r="C17" s="1929">
        <v>0</v>
      </c>
      <c r="D17" s="1929">
        <v>0</v>
      </c>
      <c r="E17" s="1929">
        <v>0</v>
      </c>
      <c r="F17" s="1929">
        <v>0</v>
      </c>
      <c r="G17" s="1929">
        <v>0</v>
      </c>
      <c r="H17" s="1929">
        <v>0</v>
      </c>
      <c r="I17" s="1929">
        <v>0</v>
      </c>
      <c r="J17" s="1929">
        <v>0</v>
      </c>
      <c r="K17" s="1644">
        <f t="shared" si="0"/>
        <v>0</v>
      </c>
      <c r="L17" s="1950">
        <v>0</v>
      </c>
    </row>
    <row r="18" spans="1:12" x14ac:dyDescent="0.2">
      <c r="A18" s="1477" t="s">
        <v>1087</v>
      </c>
      <c r="B18" s="591">
        <v>1800</v>
      </c>
      <c r="C18" s="1928">
        <v>11417620</v>
      </c>
      <c r="D18" s="1928">
        <v>2074182</v>
      </c>
      <c r="E18" s="1928">
        <v>5556</v>
      </c>
      <c r="F18" s="1928">
        <v>452288</v>
      </c>
      <c r="G18" s="1928">
        <v>0</v>
      </c>
      <c r="H18" s="1928">
        <v>0</v>
      </c>
      <c r="I18" s="1929">
        <v>0</v>
      </c>
      <c r="J18" s="1929">
        <v>0</v>
      </c>
      <c r="K18" s="1644">
        <f t="shared" si="0"/>
        <v>13949646</v>
      </c>
      <c r="L18" s="1950">
        <v>16434479</v>
      </c>
    </row>
    <row r="19" spans="1:12" x14ac:dyDescent="0.2">
      <c r="A19" s="1477" t="s">
        <v>134</v>
      </c>
      <c r="B19" s="591">
        <v>1900</v>
      </c>
      <c r="C19" s="1928">
        <v>144340</v>
      </c>
      <c r="D19" s="1928">
        <v>17946</v>
      </c>
      <c r="E19" s="1928">
        <v>0</v>
      </c>
      <c r="F19" s="1928">
        <v>0</v>
      </c>
      <c r="G19" s="1928">
        <v>0</v>
      </c>
      <c r="H19" s="1928">
        <v>0</v>
      </c>
      <c r="I19" s="1929">
        <v>0</v>
      </c>
      <c r="J19" s="1929">
        <v>0</v>
      </c>
      <c r="K19" s="1644">
        <f t="shared" si="0"/>
        <v>162286</v>
      </c>
      <c r="L19" s="1950">
        <v>194119</v>
      </c>
    </row>
    <row r="20" spans="1:12" x14ac:dyDescent="0.2">
      <c r="A20" s="1478" t="s">
        <v>738</v>
      </c>
      <c r="B20" s="579" t="s">
        <v>725</v>
      </c>
      <c r="C20" s="473"/>
      <c r="D20" s="473"/>
      <c r="E20" s="473"/>
      <c r="F20" s="473"/>
      <c r="G20" s="473"/>
      <c r="H20" s="1931">
        <v>0</v>
      </c>
      <c r="I20" s="593"/>
      <c r="J20" s="472"/>
      <c r="K20" s="1644">
        <f t="shared" si="0"/>
        <v>0</v>
      </c>
      <c r="L20" s="1952">
        <v>0</v>
      </c>
    </row>
    <row r="21" spans="1:12" x14ac:dyDescent="0.2">
      <c r="A21" s="1478" t="s">
        <v>739</v>
      </c>
      <c r="B21" s="579" t="s">
        <v>726</v>
      </c>
      <c r="C21" s="473"/>
      <c r="D21" s="473"/>
      <c r="E21" s="473"/>
      <c r="F21" s="473"/>
      <c r="G21" s="473"/>
      <c r="H21" s="1931">
        <v>118080</v>
      </c>
      <c r="I21" s="593"/>
      <c r="J21" s="473"/>
      <c r="K21" s="1644">
        <f t="shared" si="0"/>
        <v>118080</v>
      </c>
      <c r="L21" s="1952">
        <v>121373</v>
      </c>
    </row>
    <row r="22" spans="1:12" x14ac:dyDescent="0.2">
      <c r="A22" s="1478" t="s">
        <v>740</v>
      </c>
      <c r="B22" s="579" t="s">
        <v>727</v>
      </c>
      <c r="C22" s="473"/>
      <c r="D22" s="473"/>
      <c r="E22" s="473"/>
      <c r="F22" s="473"/>
      <c r="G22" s="473"/>
      <c r="H22" s="1931">
        <v>2044729</v>
      </c>
      <c r="I22" s="593"/>
      <c r="J22" s="473"/>
      <c r="K22" s="1644">
        <f t="shared" si="0"/>
        <v>2044729</v>
      </c>
      <c r="L22" s="1952">
        <v>2955000</v>
      </c>
    </row>
    <row r="23" spans="1:12" x14ac:dyDescent="0.2">
      <c r="A23" s="1478" t="s">
        <v>741</v>
      </c>
      <c r="B23" s="579" t="s">
        <v>728</v>
      </c>
      <c r="C23" s="473"/>
      <c r="D23" s="473"/>
      <c r="E23" s="473"/>
      <c r="F23" s="473"/>
      <c r="G23" s="473"/>
      <c r="H23" s="1931">
        <v>50556</v>
      </c>
      <c r="I23" s="593"/>
      <c r="J23" s="473"/>
      <c r="K23" s="1644">
        <f t="shared" si="0"/>
        <v>50556</v>
      </c>
      <c r="L23" s="1952">
        <v>100000</v>
      </c>
    </row>
    <row r="24" spans="1:12" ht="12.75" customHeight="1" x14ac:dyDescent="0.2">
      <c r="A24" s="1478" t="s">
        <v>742</v>
      </c>
      <c r="B24" s="579" t="s">
        <v>729</v>
      </c>
      <c r="C24" s="473"/>
      <c r="D24" s="473"/>
      <c r="E24" s="473"/>
      <c r="F24" s="473"/>
      <c r="G24" s="473"/>
      <c r="H24" s="1931">
        <v>0</v>
      </c>
      <c r="I24" s="593"/>
      <c r="J24" s="473"/>
      <c r="K24" s="1644">
        <f t="shared" si="0"/>
        <v>0</v>
      </c>
      <c r="L24" s="1952">
        <v>0</v>
      </c>
    </row>
    <row r="25" spans="1:12" ht="12.75" customHeight="1" x14ac:dyDescent="0.2">
      <c r="A25" s="1478" t="s">
        <v>802</v>
      </c>
      <c r="B25" s="579" t="s">
        <v>730</v>
      </c>
      <c r="C25" s="473"/>
      <c r="D25" s="473"/>
      <c r="E25" s="473"/>
      <c r="F25" s="473"/>
      <c r="G25" s="473"/>
      <c r="H25" s="1931">
        <v>0</v>
      </c>
      <c r="I25" s="593"/>
      <c r="J25" s="473"/>
      <c r="K25" s="1644">
        <f t="shared" si="0"/>
        <v>0</v>
      </c>
      <c r="L25" s="1952">
        <v>0</v>
      </c>
    </row>
    <row r="26" spans="1:12" x14ac:dyDescent="0.2">
      <c r="A26" s="1478" t="s">
        <v>622</v>
      </c>
      <c r="B26" s="579" t="s">
        <v>731</v>
      </c>
      <c r="C26" s="473"/>
      <c r="D26" s="473"/>
      <c r="E26" s="473"/>
      <c r="F26" s="473"/>
      <c r="G26" s="473"/>
      <c r="H26" s="1931">
        <v>0</v>
      </c>
      <c r="I26" s="593"/>
      <c r="J26" s="473"/>
      <c r="K26" s="1644">
        <f t="shared" si="0"/>
        <v>0</v>
      </c>
      <c r="L26" s="1952">
        <v>0</v>
      </c>
    </row>
    <row r="27" spans="1:12" x14ac:dyDescent="0.2">
      <c r="A27" s="1478" t="s">
        <v>623</v>
      </c>
      <c r="B27" s="579" t="s">
        <v>732</v>
      </c>
      <c r="C27" s="473"/>
      <c r="D27" s="473"/>
      <c r="E27" s="473"/>
      <c r="F27" s="473"/>
      <c r="G27" s="473"/>
      <c r="H27" s="1931">
        <v>0</v>
      </c>
      <c r="I27" s="593"/>
      <c r="J27" s="473"/>
      <c r="K27" s="1644">
        <f t="shared" si="0"/>
        <v>0</v>
      </c>
      <c r="L27" s="1952">
        <v>0</v>
      </c>
    </row>
    <row r="28" spans="1:12" x14ac:dyDescent="0.2">
      <c r="A28" s="1478" t="s">
        <v>150</v>
      </c>
      <c r="B28" s="579" t="s">
        <v>733</v>
      </c>
      <c r="C28" s="473"/>
      <c r="D28" s="473"/>
      <c r="E28" s="473"/>
      <c r="F28" s="473"/>
      <c r="G28" s="473"/>
      <c r="H28" s="1931">
        <v>0</v>
      </c>
      <c r="I28" s="593"/>
      <c r="J28" s="473"/>
      <c r="K28" s="1644">
        <f t="shared" si="0"/>
        <v>0</v>
      </c>
      <c r="L28" s="1952">
        <v>0</v>
      </c>
    </row>
    <row r="29" spans="1:12" x14ac:dyDescent="0.2">
      <c r="A29" s="1478" t="s">
        <v>151</v>
      </c>
      <c r="B29" s="579" t="s">
        <v>734</v>
      </c>
      <c r="C29" s="473"/>
      <c r="D29" s="473"/>
      <c r="E29" s="473"/>
      <c r="F29" s="473"/>
      <c r="G29" s="473"/>
      <c r="H29" s="1931">
        <v>0</v>
      </c>
      <c r="I29" s="593"/>
      <c r="J29" s="473"/>
      <c r="K29" s="1644">
        <f t="shared" si="0"/>
        <v>0</v>
      </c>
      <c r="L29" s="1952">
        <v>0</v>
      </c>
    </row>
    <row r="30" spans="1:12" x14ac:dyDescent="0.2">
      <c r="A30" s="1478" t="s">
        <v>152</v>
      </c>
      <c r="B30" s="579" t="s">
        <v>735</v>
      </c>
      <c r="C30" s="473"/>
      <c r="D30" s="473"/>
      <c r="E30" s="473"/>
      <c r="F30" s="473"/>
      <c r="G30" s="473"/>
      <c r="H30" s="1931">
        <v>0</v>
      </c>
      <c r="I30" s="593"/>
      <c r="J30" s="473"/>
      <c r="K30" s="1644">
        <f t="shared" si="0"/>
        <v>0</v>
      </c>
      <c r="L30" s="1952">
        <v>0</v>
      </c>
    </row>
    <row r="31" spans="1:12" x14ac:dyDescent="0.2">
      <c r="A31" s="1478" t="s">
        <v>153</v>
      </c>
      <c r="B31" s="579" t="s">
        <v>736</v>
      </c>
      <c r="C31" s="473"/>
      <c r="D31" s="473"/>
      <c r="E31" s="473"/>
      <c r="F31" s="473"/>
      <c r="G31" s="473"/>
      <c r="H31" s="1931">
        <v>0</v>
      </c>
      <c r="I31" s="593"/>
      <c r="J31" s="473"/>
      <c r="K31" s="1644">
        <f t="shared" si="0"/>
        <v>0</v>
      </c>
      <c r="L31" s="1952">
        <v>0</v>
      </c>
    </row>
    <row r="32" spans="1:12" x14ac:dyDescent="0.2">
      <c r="A32" s="1479" t="s">
        <v>1129</v>
      </c>
      <c r="B32" s="591" t="s">
        <v>737</v>
      </c>
      <c r="C32" s="473"/>
      <c r="D32" s="473"/>
      <c r="E32" s="473"/>
      <c r="F32" s="473"/>
      <c r="G32" s="473"/>
      <c r="H32" s="1931">
        <v>0</v>
      </c>
      <c r="I32" s="593"/>
      <c r="J32" s="476"/>
      <c r="K32" s="1644">
        <f t="shared" si="0"/>
        <v>0</v>
      </c>
      <c r="L32" s="1952">
        <v>0</v>
      </c>
    </row>
    <row r="33" spans="1:14" ht="12.75" customHeight="1" thickBot="1" x14ac:dyDescent="0.25">
      <c r="A33" s="1641" t="s">
        <v>1637</v>
      </c>
      <c r="B33" s="1642" t="s">
        <v>570</v>
      </c>
      <c r="C33" s="1643">
        <f>SUM(C5:C32)</f>
        <v>61396424</v>
      </c>
      <c r="D33" s="1643">
        <f t="shared" ref="D33:L33" si="1">SUM(D5:D32)</f>
        <v>11960576</v>
      </c>
      <c r="E33" s="1643">
        <f t="shared" si="1"/>
        <v>967165</v>
      </c>
      <c r="F33" s="1643">
        <f t="shared" si="1"/>
        <v>2526199</v>
      </c>
      <c r="G33" s="1643">
        <f t="shared" si="1"/>
        <v>0</v>
      </c>
      <c r="H33" s="1643">
        <f t="shared" si="1"/>
        <v>2222933</v>
      </c>
      <c r="I33" s="1643">
        <f t="shared" si="1"/>
        <v>898436</v>
      </c>
      <c r="J33" s="1643">
        <f t="shared" si="1"/>
        <v>0</v>
      </c>
      <c r="K33" s="1643">
        <f t="shared" si="1"/>
        <v>79971733</v>
      </c>
      <c r="L33" s="1643">
        <f t="shared" si="1"/>
        <v>97067020</v>
      </c>
    </row>
    <row r="34" spans="1:14" s="597" customFormat="1" ht="15.75" customHeight="1" thickTop="1" x14ac:dyDescent="0.2">
      <c r="A34" s="1581" t="s">
        <v>46</v>
      </c>
      <c r="B34" s="1582" t="s">
        <v>569</v>
      </c>
      <c r="C34" s="595"/>
      <c r="D34" s="595"/>
      <c r="E34" s="595"/>
      <c r="F34" s="595"/>
      <c r="G34" s="595"/>
      <c r="H34" s="595"/>
      <c r="I34" s="593"/>
      <c r="J34" s="593"/>
      <c r="K34" s="593"/>
      <c r="L34" s="593"/>
      <c r="M34" s="596"/>
      <c r="N34" s="596"/>
    </row>
    <row r="35" spans="1:14" s="597" customFormat="1" ht="15.75" customHeight="1" x14ac:dyDescent="0.2">
      <c r="A35" s="598" t="s">
        <v>591</v>
      </c>
      <c r="B35" s="599"/>
      <c r="C35" s="600"/>
      <c r="D35" s="600"/>
      <c r="E35" s="600"/>
      <c r="F35" s="600"/>
      <c r="G35" s="600"/>
      <c r="H35" s="600"/>
      <c r="I35" s="593"/>
      <c r="J35" s="593"/>
      <c r="K35" s="593"/>
      <c r="L35" s="593"/>
      <c r="M35" s="596"/>
      <c r="N35" s="596"/>
    </row>
    <row r="36" spans="1:14" x14ac:dyDescent="0.2">
      <c r="A36" s="1477" t="s">
        <v>1089</v>
      </c>
      <c r="B36" s="591">
        <v>2110</v>
      </c>
      <c r="C36" s="477">
        <v>1898316</v>
      </c>
      <c r="D36" s="477">
        <v>305421</v>
      </c>
      <c r="E36" s="477">
        <v>926</v>
      </c>
      <c r="F36" s="477">
        <v>29337</v>
      </c>
      <c r="G36" s="477">
        <v>0</v>
      </c>
      <c r="H36" s="477">
        <v>0</v>
      </c>
      <c r="I36" s="1929">
        <v>0</v>
      </c>
      <c r="J36" s="1929">
        <v>0</v>
      </c>
      <c r="K36" s="1644">
        <f t="shared" ref="K36:K41" si="2">SUM(C36:J36)</f>
        <v>2234000</v>
      </c>
      <c r="L36" s="1950">
        <v>2603832</v>
      </c>
    </row>
    <row r="37" spans="1:14" x14ac:dyDescent="0.2">
      <c r="A37" s="1477" t="s">
        <v>1090</v>
      </c>
      <c r="B37" s="591">
        <v>2120</v>
      </c>
      <c r="C37" s="1928">
        <v>817603</v>
      </c>
      <c r="D37" s="1928">
        <v>194915</v>
      </c>
      <c r="E37" s="1928">
        <v>0</v>
      </c>
      <c r="F37" s="1928">
        <v>0</v>
      </c>
      <c r="G37" s="1928">
        <v>0</v>
      </c>
      <c r="H37" s="1928">
        <v>0</v>
      </c>
      <c r="I37" s="1929">
        <v>0</v>
      </c>
      <c r="J37" s="1929">
        <v>0</v>
      </c>
      <c r="K37" s="1644">
        <f t="shared" si="2"/>
        <v>1012518</v>
      </c>
      <c r="L37" s="1950">
        <v>1085929</v>
      </c>
    </row>
    <row r="38" spans="1:14" x14ac:dyDescent="0.2">
      <c r="A38" s="1477" t="s">
        <v>198</v>
      </c>
      <c r="B38" s="591">
        <v>2130</v>
      </c>
      <c r="C38" s="1928">
        <v>975612</v>
      </c>
      <c r="D38" s="1928">
        <v>168902</v>
      </c>
      <c r="E38" s="1928">
        <v>263875</v>
      </c>
      <c r="F38" s="1928">
        <v>16011</v>
      </c>
      <c r="G38" s="1928">
        <v>12594</v>
      </c>
      <c r="H38" s="1928">
        <v>0</v>
      </c>
      <c r="I38" s="1929">
        <v>450</v>
      </c>
      <c r="J38" s="1929">
        <v>0</v>
      </c>
      <c r="K38" s="1644">
        <f t="shared" si="2"/>
        <v>1437444</v>
      </c>
      <c r="L38" s="1950">
        <v>1760267</v>
      </c>
    </row>
    <row r="39" spans="1:14" x14ac:dyDescent="0.2">
      <c r="A39" s="1477" t="s">
        <v>199</v>
      </c>
      <c r="B39" s="591">
        <v>2140</v>
      </c>
      <c r="C39" s="1928">
        <v>678748</v>
      </c>
      <c r="D39" s="1928">
        <v>157514</v>
      </c>
      <c r="E39" s="1928">
        <v>233968</v>
      </c>
      <c r="F39" s="1928">
        <v>0</v>
      </c>
      <c r="G39" s="1928">
        <v>0</v>
      </c>
      <c r="H39" s="1928">
        <v>0</v>
      </c>
      <c r="I39" s="1929">
        <v>0</v>
      </c>
      <c r="J39" s="1929">
        <v>0</v>
      </c>
      <c r="K39" s="1644">
        <f t="shared" si="2"/>
        <v>1070230</v>
      </c>
      <c r="L39" s="1950">
        <v>1302200</v>
      </c>
    </row>
    <row r="40" spans="1:14" x14ac:dyDescent="0.2">
      <c r="A40" s="1477" t="s">
        <v>200</v>
      </c>
      <c r="B40" s="591">
        <v>2150</v>
      </c>
      <c r="C40" s="1928">
        <v>396481</v>
      </c>
      <c r="D40" s="1928">
        <v>65480</v>
      </c>
      <c r="E40" s="1928">
        <v>2684902</v>
      </c>
      <c r="F40" s="1928">
        <v>92</v>
      </c>
      <c r="G40" s="1928">
        <v>0</v>
      </c>
      <c r="H40" s="1928">
        <v>0</v>
      </c>
      <c r="I40" s="1929">
        <v>0</v>
      </c>
      <c r="J40" s="1929">
        <v>0</v>
      </c>
      <c r="K40" s="1644">
        <f t="shared" si="2"/>
        <v>3146955</v>
      </c>
      <c r="L40" s="1950">
        <v>4043537</v>
      </c>
    </row>
    <row r="41" spans="1:14" x14ac:dyDescent="0.2">
      <c r="A41" s="1477" t="s">
        <v>1638</v>
      </c>
      <c r="B41" s="591">
        <v>2190</v>
      </c>
      <c r="C41" s="1928">
        <v>830583</v>
      </c>
      <c r="D41" s="1928">
        <v>93641</v>
      </c>
      <c r="E41" s="1928">
        <v>1912030</v>
      </c>
      <c r="F41" s="1928">
        <v>13143</v>
      </c>
      <c r="G41" s="1928">
        <v>0</v>
      </c>
      <c r="H41" s="1928">
        <v>0</v>
      </c>
      <c r="I41" s="1929">
        <v>0</v>
      </c>
      <c r="J41" s="1929">
        <v>0</v>
      </c>
      <c r="K41" s="1644">
        <f t="shared" si="2"/>
        <v>2849397</v>
      </c>
      <c r="L41" s="1950">
        <v>3406174</v>
      </c>
    </row>
    <row r="42" spans="1:14" ht="12.75" customHeight="1" thickBot="1" x14ac:dyDescent="0.25">
      <c r="A42" s="1641" t="s">
        <v>560</v>
      </c>
      <c r="B42" s="1642" t="s">
        <v>716</v>
      </c>
      <c r="C42" s="1643">
        <f>SUM(C36:C41)</f>
        <v>5597343</v>
      </c>
      <c r="D42" s="1643">
        <f t="shared" ref="D42:L42" si="3">SUM(D36:D41)</f>
        <v>985873</v>
      </c>
      <c r="E42" s="1643">
        <f t="shared" si="3"/>
        <v>5095701</v>
      </c>
      <c r="F42" s="1643">
        <f t="shared" si="3"/>
        <v>58583</v>
      </c>
      <c r="G42" s="1643">
        <f t="shared" si="3"/>
        <v>12594</v>
      </c>
      <c r="H42" s="1643">
        <f t="shared" si="3"/>
        <v>0</v>
      </c>
      <c r="I42" s="1643">
        <f t="shared" si="3"/>
        <v>450</v>
      </c>
      <c r="J42" s="1643">
        <f t="shared" si="3"/>
        <v>0</v>
      </c>
      <c r="K42" s="1643">
        <f t="shared" si="3"/>
        <v>11750544</v>
      </c>
      <c r="L42" s="1643">
        <f t="shared" si="3"/>
        <v>14201939</v>
      </c>
    </row>
    <row r="43" spans="1:14" ht="15.75" customHeight="1" thickTop="1" x14ac:dyDescent="0.2">
      <c r="A43" s="601" t="s">
        <v>592</v>
      </c>
      <c r="B43" s="602"/>
      <c r="C43" s="603"/>
      <c r="D43" s="603"/>
      <c r="E43" s="603"/>
      <c r="F43" s="603"/>
      <c r="G43" s="603"/>
      <c r="H43" s="603"/>
      <c r="I43" s="593"/>
      <c r="J43" s="593"/>
      <c r="K43" s="603"/>
      <c r="L43" s="603"/>
    </row>
    <row r="44" spans="1:14" x14ac:dyDescent="0.2">
      <c r="A44" s="1477" t="s">
        <v>814</v>
      </c>
      <c r="B44" s="591">
        <v>2210</v>
      </c>
      <c r="C44" s="477">
        <v>2668958</v>
      </c>
      <c r="D44" s="477">
        <v>565490</v>
      </c>
      <c r="E44" s="477">
        <v>633380</v>
      </c>
      <c r="F44" s="477">
        <v>84214</v>
      </c>
      <c r="G44" s="477">
        <v>0</v>
      </c>
      <c r="H44" s="477">
        <v>19232</v>
      </c>
      <c r="I44" s="1929">
        <v>110998</v>
      </c>
      <c r="J44" s="1929">
        <v>0</v>
      </c>
      <c r="K44" s="1645">
        <f>SUM(C44:J44)</f>
        <v>4082272</v>
      </c>
      <c r="L44" s="477">
        <v>5016286</v>
      </c>
    </row>
    <row r="45" spans="1:14" x14ac:dyDescent="0.2">
      <c r="A45" s="1477" t="s">
        <v>815</v>
      </c>
      <c r="B45" s="591">
        <v>2220</v>
      </c>
      <c r="C45" s="1928">
        <v>1342714</v>
      </c>
      <c r="D45" s="1928">
        <v>265785</v>
      </c>
      <c r="E45" s="1928">
        <v>2530877</v>
      </c>
      <c r="F45" s="1928">
        <v>601640</v>
      </c>
      <c r="G45" s="1928">
        <v>256013</v>
      </c>
      <c r="H45" s="1928">
        <v>0</v>
      </c>
      <c r="I45" s="1929">
        <v>441315</v>
      </c>
      <c r="J45" s="1929">
        <v>0</v>
      </c>
      <c r="K45" s="1645">
        <f>SUM(C45:J45)</f>
        <v>5438344</v>
      </c>
      <c r="L45" s="1950">
        <v>7795669</v>
      </c>
    </row>
    <row r="46" spans="1:14" x14ac:dyDescent="0.2">
      <c r="A46" s="1477" t="s">
        <v>816</v>
      </c>
      <c r="B46" s="591">
        <v>2230</v>
      </c>
      <c r="C46" s="1928">
        <v>295003</v>
      </c>
      <c r="D46" s="1928">
        <v>54837</v>
      </c>
      <c r="E46" s="1928">
        <v>728086</v>
      </c>
      <c r="F46" s="1928">
        <v>39120</v>
      </c>
      <c r="G46" s="1928">
        <v>0</v>
      </c>
      <c r="H46" s="1928">
        <v>0</v>
      </c>
      <c r="I46" s="1929">
        <v>0</v>
      </c>
      <c r="J46" s="1929">
        <v>0</v>
      </c>
      <c r="K46" s="1645">
        <f>SUM(C46:J46)</f>
        <v>1117046</v>
      </c>
      <c r="L46" s="1950">
        <v>1305900</v>
      </c>
    </row>
    <row r="47" spans="1:14" ht="12.75" customHeight="1" thickBot="1" x14ac:dyDescent="0.25">
      <c r="A47" s="1641" t="s">
        <v>561</v>
      </c>
      <c r="B47" s="1642" t="s">
        <v>32</v>
      </c>
      <c r="C47" s="1643">
        <f>SUM(C44:C46)</f>
        <v>4306675</v>
      </c>
      <c r="D47" s="1643">
        <f t="shared" ref="D47:K47" si="4">SUM(D44:D46)</f>
        <v>886112</v>
      </c>
      <c r="E47" s="1643">
        <f t="shared" si="4"/>
        <v>3892343</v>
      </c>
      <c r="F47" s="1643">
        <f t="shared" si="4"/>
        <v>724974</v>
      </c>
      <c r="G47" s="1643">
        <f t="shared" si="4"/>
        <v>256013</v>
      </c>
      <c r="H47" s="1643">
        <f t="shared" si="4"/>
        <v>19232</v>
      </c>
      <c r="I47" s="1643">
        <f t="shared" si="4"/>
        <v>552313</v>
      </c>
      <c r="J47" s="1643">
        <f t="shared" si="4"/>
        <v>0</v>
      </c>
      <c r="K47" s="1643">
        <f t="shared" si="4"/>
        <v>10637662</v>
      </c>
      <c r="L47" s="1643">
        <f>SUM(L44:L46)</f>
        <v>14117855</v>
      </c>
    </row>
    <row r="48" spans="1:14" ht="15.75" customHeight="1" thickTop="1" x14ac:dyDescent="0.2">
      <c r="A48" s="601" t="s">
        <v>610</v>
      </c>
      <c r="B48" s="602"/>
      <c r="C48" s="603"/>
      <c r="D48" s="603"/>
      <c r="E48" s="603"/>
      <c r="F48" s="603"/>
      <c r="G48" s="603"/>
      <c r="H48" s="603"/>
      <c r="I48" s="593"/>
      <c r="J48" s="593"/>
      <c r="K48" s="603"/>
      <c r="L48" s="603"/>
    </row>
    <row r="49" spans="1:14" x14ac:dyDescent="0.2">
      <c r="A49" s="1477" t="s">
        <v>817</v>
      </c>
      <c r="B49" s="591">
        <v>2310</v>
      </c>
      <c r="C49" s="477">
        <v>211641</v>
      </c>
      <c r="D49" s="477">
        <v>322348</v>
      </c>
      <c r="E49" s="477">
        <v>616742</v>
      </c>
      <c r="F49" s="477">
        <v>15297</v>
      </c>
      <c r="G49" s="477">
        <v>0</v>
      </c>
      <c r="H49" s="477">
        <v>62500</v>
      </c>
      <c r="I49" s="1929">
        <v>0</v>
      </c>
      <c r="J49" s="1929">
        <v>49811</v>
      </c>
      <c r="K49" s="1645">
        <f>SUM(C49:J49)</f>
        <v>1278339</v>
      </c>
      <c r="L49" s="477">
        <v>1655129</v>
      </c>
    </row>
    <row r="50" spans="1:14" x14ac:dyDescent="0.2">
      <c r="A50" s="1477" t="s">
        <v>818</v>
      </c>
      <c r="B50" s="591">
        <v>2320</v>
      </c>
      <c r="C50" s="1928">
        <v>901005</v>
      </c>
      <c r="D50" s="1928">
        <v>201816</v>
      </c>
      <c r="E50" s="1928">
        <v>24151</v>
      </c>
      <c r="F50" s="1928">
        <v>1795</v>
      </c>
      <c r="G50" s="1928">
        <v>0</v>
      </c>
      <c r="H50" s="1928">
        <v>0</v>
      </c>
      <c r="I50" s="1929">
        <v>0</v>
      </c>
      <c r="J50" s="1929">
        <v>0</v>
      </c>
      <c r="K50" s="1645">
        <f>SUM(C50:J50)</f>
        <v>1128767</v>
      </c>
      <c r="L50" s="1950">
        <v>1140454</v>
      </c>
    </row>
    <row r="51" spans="1:14" x14ac:dyDescent="0.2">
      <c r="A51" s="1477" t="s">
        <v>42</v>
      </c>
      <c r="B51" s="591">
        <v>2330</v>
      </c>
      <c r="C51" s="1928">
        <v>1096309</v>
      </c>
      <c r="D51" s="1928">
        <v>275986</v>
      </c>
      <c r="E51" s="1928">
        <v>1090</v>
      </c>
      <c r="F51" s="1928">
        <v>26263</v>
      </c>
      <c r="G51" s="1928">
        <v>0</v>
      </c>
      <c r="H51" s="1928">
        <v>0</v>
      </c>
      <c r="I51" s="1929">
        <v>0</v>
      </c>
      <c r="J51" s="1929">
        <v>0</v>
      </c>
      <c r="K51" s="1645">
        <f>SUM(C51:J51)</f>
        <v>1399648</v>
      </c>
      <c r="L51" s="1950">
        <v>1555813</v>
      </c>
    </row>
    <row r="52" spans="1:14" ht="22.5" x14ac:dyDescent="0.2">
      <c r="A52" s="1478" t="s">
        <v>298</v>
      </c>
      <c r="B52" s="604" t="s">
        <v>366</v>
      </c>
      <c r="C52" s="1931">
        <v>0</v>
      </c>
      <c r="D52" s="1931">
        <v>0</v>
      </c>
      <c r="E52" s="1931">
        <v>0</v>
      </c>
      <c r="F52" s="1931">
        <v>0</v>
      </c>
      <c r="G52" s="1931">
        <v>0</v>
      </c>
      <c r="H52" s="1931">
        <v>0</v>
      </c>
      <c r="I52" s="1931">
        <v>0</v>
      </c>
      <c r="J52" s="1931">
        <v>0</v>
      </c>
      <c r="K52" s="1645">
        <f>SUM(C52:J52)</f>
        <v>0</v>
      </c>
      <c r="L52" s="1953">
        <v>0</v>
      </c>
    </row>
    <row r="53" spans="1:14" ht="12.75" customHeight="1" thickBot="1" x14ac:dyDescent="0.25">
      <c r="A53" s="1641" t="s">
        <v>717</v>
      </c>
      <c r="B53" s="1642" t="s">
        <v>33</v>
      </c>
      <c r="C53" s="1643">
        <f>SUM(C49:C52)</f>
        <v>2208955</v>
      </c>
      <c r="D53" s="1643">
        <f t="shared" ref="D53:L53" si="5">SUM(D49:D52)</f>
        <v>800150</v>
      </c>
      <c r="E53" s="1643">
        <f t="shared" si="5"/>
        <v>641983</v>
      </c>
      <c r="F53" s="1643">
        <f t="shared" si="5"/>
        <v>43355</v>
      </c>
      <c r="G53" s="1643">
        <f t="shared" si="5"/>
        <v>0</v>
      </c>
      <c r="H53" s="1643">
        <f t="shared" si="5"/>
        <v>62500</v>
      </c>
      <c r="I53" s="1643">
        <f t="shared" si="5"/>
        <v>0</v>
      </c>
      <c r="J53" s="1643">
        <f t="shared" si="5"/>
        <v>49811</v>
      </c>
      <c r="K53" s="1643">
        <f t="shared" si="5"/>
        <v>3806754</v>
      </c>
      <c r="L53" s="1643">
        <f t="shared" si="5"/>
        <v>4351396</v>
      </c>
    </row>
    <row r="54" spans="1:14" ht="15.75" customHeight="1" thickTop="1" x14ac:dyDescent="0.2">
      <c r="A54" s="601" t="s">
        <v>611</v>
      </c>
      <c r="B54" s="602"/>
      <c r="C54" s="603"/>
      <c r="D54" s="603"/>
      <c r="E54" s="603"/>
      <c r="F54" s="603"/>
      <c r="G54" s="603"/>
      <c r="H54" s="603"/>
      <c r="I54" s="593"/>
      <c r="J54" s="593"/>
      <c r="K54" s="603"/>
      <c r="L54" s="603"/>
    </row>
    <row r="55" spans="1:14" x14ac:dyDescent="0.2">
      <c r="A55" s="1477" t="s">
        <v>1067</v>
      </c>
      <c r="B55" s="591">
        <v>2410</v>
      </c>
      <c r="C55" s="477">
        <v>5548610</v>
      </c>
      <c r="D55" s="477">
        <v>1367803</v>
      </c>
      <c r="E55" s="477">
        <v>103337</v>
      </c>
      <c r="F55" s="477">
        <v>196536</v>
      </c>
      <c r="G55" s="477">
        <v>0</v>
      </c>
      <c r="H55" s="477">
        <v>3050</v>
      </c>
      <c r="I55" s="1929">
        <v>0</v>
      </c>
      <c r="J55" s="1929">
        <v>0</v>
      </c>
      <c r="K55" s="1645">
        <f>SUM(C55:J55)</f>
        <v>7219336</v>
      </c>
      <c r="L55" s="477">
        <v>7726442</v>
      </c>
    </row>
    <row r="56" spans="1:14" ht="12.75" customHeight="1" x14ac:dyDescent="0.2">
      <c r="A56" s="1481" t="s">
        <v>376</v>
      </c>
      <c r="B56" s="605">
        <v>2490</v>
      </c>
      <c r="C56" s="1928">
        <v>0</v>
      </c>
      <c r="D56" s="1928">
        <v>0</v>
      </c>
      <c r="E56" s="1928">
        <v>0</v>
      </c>
      <c r="F56" s="1928">
        <v>0</v>
      </c>
      <c r="G56" s="1928">
        <v>0</v>
      </c>
      <c r="H56" s="1928">
        <v>0</v>
      </c>
      <c r="I56" s="1929">
        <v>0</v>
      </c>
      <c r="J56" s="1929">
        <v>0</v>
      </c>
      <c r="K56" s="1645">
        <f>SUM(C56:J56)</f>
        <v>0</v>
      </c>
      <c r="L56" s="1950">
        <v>0</v>
      </c>
    </row>
    <row r="57" spans="1:14" s="343" customFormat="1" ht="12.75" customHeight="1" thickBot="1" x14ac:dyDescent="0.25">
      <c r="A57" s="1641" t="s">
        <v>263</v>
      </c>
      <c r="B57" s="1646" t="s">
        <v>34</v>
      </c>
      <c r="C57" s="1647">
        <f>SUM(C55:C56)</f>
        <v>5548610</v>
      </c>
      <c r="D57" s="1647">
        <f t="shared" ref="D57:K57" si="6">SUM(D55:D56)</f>
        <v>1367803</v>
      </c>
      <c r="E57" s="1647">
        <f t="shared" si="6"/>
        <v>103337</v>
      </c>
      <c r="F57" s="1647">
        <f t="shared" si="6"/>
        <v>196536</v>
      </c>
      <c r="G57" s="1647">
        <f t="shared" si="6"/>
        <v>0</v>
      </c>
      <c r="H57" s="1647">
        <f t="shared" si="6"/>
        <v>3050</v>
      </c>
      <c r="I57" s="1647">
        <f t="shared" si="6"/>
        <v>0</v>
      </c>
      <c r="J57" s="1647">
        <f t="shared" si="6"/>
        <v>0</v>
      </c>
      <c r="K57" s="1647">
        <f t="shared" si="6"/>
        <v>7219336</v>
      </c>
      <c r="L57" s="1643">
        <f>SUM(L55:L56)</f>
        <v>7726442</v>
      </c>
      <c r="M57" s="586"/>
      <c r="N57" s="586"/>
    </row>
    <row r="58" spans="1:14" s="343" customFormat="1" ht="15.75" customHeight="1" thickTop="1" x14ac:dyDescent="0.2">
      <c r="A58" s="601" t="s">
        <v>612</v>
      </c>
      <c r="B58" s="602"/>
      <c r="C58" s="606"/>
      <c r="D58" s="603"/>
      <c r="E58" s="603"/>
      <c r="F58" s="603"/>
      <c r="G58" s="603"/>
      <c r="H58" s="603"/>
      <c r="I58" s="593"/>
      <c r="J58" s="593"/>
      <c r="K58" s="603"/>
      <c r="L58" s="603"/>
      <c r="M58" s="586"/>
      <c r="N58" s="586"/>
    </row>
    <row r="59" spans="1:14" s="343" customFormat="1" x14ac:dyDescent="0.2">
      <c r="A59" s="1477" t="s">
        <v>1068</v>
      </c>
      <c r="B59" s="591">
        <v>2510</v>
      </c>
      <c r="C59" s="477">
        <v>294533</v>
      </c>
      <c r="D59" s="477">
        <v>71464</v>
      </c>
      <c r="E59" s="477">
        <v>21110</v>
      </c>
      <c r="F59" s="477">
        <v>1490</v>
      </c>
      <c r="G59" s="477">
        <v>0</v>
      </c>
      <c r="H59" s="477">
        <v>1285</v>
      </c>
      <c r="I59" s="1929">
        <v>0</v>
      </c>
      <c r="J59" s="1929">
        <v>0</v>
      </c>
      <c r="K59" s="1645">
        <f t="shared" ref="K59:K64" si="7">SUM(C59:J59)</f>
        <v>389882</v>
      </c>
      <c r="L59" s="477">
        <v>320573</v>
      </c>
      <c r="M59" s="586"/>
      <c r="N59" s="586"/>
    </row>
    <row r="60" spans="1:14" s="343" customFormat="1" x14ac:dyDescent="0.2">
      <c r="A60" s="1477" t="s">
        <v>463</v>
      </c>
      <c r="B60" s="591">
        <v>2520</v>
      </c>
      <c r="C60" s="1928">
        <v>354928</v>
      </c>
      <c r="D60" s="1928">
        <v>68727</v>
      </c>
      <c r="E60" s="1928">
        <v>410087</v>
      </c>
      <c r="F60" s="1928">
        <v>1866</v>
      </c>
      <c r="G60" s="1928">
        <v>0</v>
      </c>
      <c r="H60" s="1928">
        <v>0</v>
      </c>
      <c r="I60" s="1929">
        <v>0</v>
      </c>
      <c r="J60" s="1929">
        <v>0</v>
      </c>
      <c r="K60" s="1645">
        <f t="shared" si="7"/>
        <v>835608</v>
      </c>
      <c r="L60" s="1950">
        <v>984796</v>
      </c>
      <c r="M60" s="586"/>
      <c r="N60" s="586"/>
    </row>
    <row r="61" spans="1:14" s="343" customFormat="1" x14ac:dyDescent="0.2">
      <c r="A61" s="1477" t="s">
        <v>197</v>
      </c>
      <c r="B61" s="591">
        <v>2540</v>
      </c>
      <c r="C61" s="1928">
        <v>234400</v>
      </c>
      <c r="D61" s="1928">
        <v>6751</v>
      </c>
      <c r="E61" s="1928">
        <v>342142</v>
      </c>
      <c r="F61" s="1928">
        <v>107546</v>
      </c>
      <c r="G61" s="1928">
        <v>0</v>
      </c>
      <c r="H61" s="1928">
        <v>0</v>
      </c>
      <c r="I61" s="1929">
        <v>0</v>
      </c>
      <c r="J61" s="1929">
        <v>0</v>
      </c>
      <c r="K61" s="1645">
        <f t="shared" si="7"/>
        <v>690839</v>
      </c>
      <c r="L61" s="1950">
        <v>1007172</v>
      </c>
      <c r="M61" s="586"/>
      <c r="N61" s="586"/>
    </row>
    <row r="62" spans="1:14" s="343" customFormat="1" x14ac:dyDescent="0.2">
      <c r="A62" s="1477" t="s">
        <v>953</v>
      </c>
      <c r="B62" s="591">
        <v>2550</v>
      </c>
      <c r="C62" s="1928">
        <v>0</v>
      </c>
      <c r="D62" s="1928">
        <v>0</v>
      </c>
      <c r="E62" s="1928">
        <v>37495</v>
      </c>
      <c r="F62" s="1928">
        <v>0</v>
      </c>
      <c r="G62" s="1928">
        <v>0</v>
      </c>
      <c r="H62" s="1928">
        <v>0</v>
      </c>
      <c r="I62" s="1929">
        <v>0</v>
      </c>
      <c r="J62" s="1929">
        <v>0</v>
      </c>
      <c r="K62" s="1645">
        <f t="shared" si="7"/>
        <v>37495</v>
      </c>
      <c r="L62" s="1950">
        <v>143059</v>
      </c>
      <c r="M62" s="586"/>
      <c r="N62" s="586"/>
    </row>
    <row r="63" spans="1:14" s="586" customFormat="1" x14ac:dyDescent="0.2">
      <c r="A63" s="1477" t="s">
        <v>100</v>
      </c>
      <c r="B63" s="591">
        <v>2560</v>
      </c>
      <c r="C63" s="1928">
        <v>1496496</v>
      </c>
      <c r="D63" s="1928">
        <v>34259</v>
      </c>
      <c r="E63" s="1928">
        <v>92676</v>
      </c>
      <c r="F63" s="1928">
        <v>3612204</v>
      </c>
      <c r="G63" s="1928">
        <v>0</v>
      </c>
      <c r="H63" s="1928">
        <v>0</v>
      </c>
      <c r="I63" s="1929">
        <v>36926</v>
      </c>
      <c r="J63" s="1929">
        <v>0</v>
      </c>
      <c r="K63" s="1645">
        <f t="shared" si="7"/>
        <v>5272561</v>
      </c>
      <c r="L63" s="1950">
        <v>6821190</v>
      </c>
    </row>
    <row r="64" spans="1:14" s="586" customFormat="1" x14ac:dyDescent="0.2">
      <c r="A64" s="1482" t="s">
        <v>101</v>
      </c>
      <c r="B64" s="607">
        <v>2570</v>
      </c>
      <c r="C64" s="477">
        <v>0</v>
      </c>
      <c r="D64" s="477">
        <v>0</v>
      </c>
      <c r="E64" s="477">
        <v>0</v>
      </c>
      <c r="F64" s="477">
        <v>0</v>
      </c>
      <c r="G64" s="477">
        <v>0</v>
      </c>
      <c r="H64" s="477">
        <v>0</v>
      </c>
      <c r="I64" s="1929">
        <v>0</v>
      </c>
      <c r="J64" s="1929">
        <v>0</v>
      </c>
      <c r="K64" s="1645">
        <f t="shared" si="7"/>
        <v>0</v>
      </c>
      <c r="L64" s="477">
        <v>0</v>
      </c>
    </row>
    <row r="65" spans="1:14" s="343" customFormat="1" ht="12.75" customHeight="1" thickBot="1" x14ac:dyDescent="0.25">
      <c r="A65" s="1641" t="s">
        <v>719</v>
      </c>
      <c r="B65" s="1642" t="s">
        <v>35</v>
      </c>
      <c r="C65" s="1643">
        <f>SUM(C59:C64)</f>
        <v>2380357</v>
      </c>
      <c r="D65" s="1643">
        <f t="shared" ref="D65:L65" si="8">SUM(D59:D64)</f>
        <v>181201</v>
      </c>
      <c r="E65" s="1643">
        <f t="shared" si="8"/>
        <v>903510</v>
      </c>
      <c r="F65" s="1643">
        <f t="shared" si="8"/>
        <v>3723106</v>
      </c>
      <c r="G65" s="1643">
        <f t="shared" si="8"/>
        <v>0</v>
      </c>
      <c r="H65" s="1643">
        <f t="shared" si="8"/>
        <v>1285</v>
      </c>
      <c r="I65" s="1643">
        <f t="shared" si="8"/>
        <v>36926</v>
      </c>
      <c r="J65" s="1643">
        <f t="shared" si="8"/>
        <v>0</v>
      </c>
      <c r="K65" s="1643">
        <f t="shared" si="8"/>
        <v>7226385</v>
      </c>
      <c r="L65" s="1643">
        <f t="shared" si="8"/>
        <v>9276790</v>
      </c>
      <c r="M65" s="586"/>
      <c r="N65" s="586"/>
    </row>
    <row r="66" spans="1:14" s="343" customFormat="1" ht="15.75" customHeight="1" thickTop="1" x14ac:dyDescent="0.2">
      <c r="A66" s="601" t="s">
        <v>613</v>
      </c>
      <c r="B66" s="608"/>
      <c r="C66" s="593"/>
      <c r="D66" s="593"/>
      <c r="E66" s="593"/>
      <c r="F66" s="593"/>
      <c r="G66" s="593"/>
      <c r="H66" s="593"/>
      <c r="I66" s="593"/>
      <c r="J66" s="593"/>
      <c r="K66" s="603"/>
      <c r="L66" s="603"/>
      <c r="M66" s="586"/>
      <c r="N66" s="586"/>
    </row>
    <row r="67" spans="1:14" s="343" customFormat="1" x14ac:dyDescent="0.2">
      <c r="A67" s="1477" t="s">
        <v>1060</v>
      </c>
      <c r="B67" s="591">
        <v>2610</v>
      </c>
      <c r="C67" s="1928">
        <v>0</v>
      </c>
      <c r="D67" s="1928">
        <v>0</v>
      </c>
      <c r="E67" s="1928">
        <v>0</v>
      </c>
      <c r="F67" s="1928">
        <v>0</v>
      </c>
      <c r="G67" s="1928">
        <v>0</v>
      </c>
      <c r="H67" s="1928">
        <v>0</v>
      </c>
      <c r="I67" s="1929">
        <v>0</v>
      </c>
      <c r="J67" s="1929">
        <v>0</v>
      </c>
      <c r="K67" s="1645">
        <f>SUM(C67:J67)</f>
        <v>0</v>
      </c>
      <c r="L67" s="477">
        <v>0</v>
      </c>
      <c r="M67" s="586"/>
      <c r="N67" s="586"/>
    </row>
    <row r="68" spans="1:14" s="343" customFormat="1" x14ac:dyDescent="0.2">
      <c r="A68" s="1477" t="s">
        <v>607</v>
      </c>
      <c r="B68" s="591">
        <v>2620</v>
      </c>
      <c r="C68" s="1928">
        <v>0</v>
      </c>
      <c r="D68" s="1928">
        <v>0</v>
      </c>
      <c r="E68" s="1928">
        <v>85600</v>
      </c>
      <c r="F68" s="1928">
        <v>0</v>
      </c>
      <c r="G68" s="1928">
        <v>0</v>
      </c>
      <c r="H68" s="1928">
        <v>0</v>
      </c>
      <c r="I68" s="1929">
        <v>0</v>
      </c>
      <c r="J68" s="1929">
        <v>0</v>
      </c>
      <c r="K68" s="1645">
        <f>SUM(C68:J68)</f>
        <v>85600</v>
      </c>
      <c r="L68" s="1950">
        <v>85598</v>
      </c>
      <c r="M68" s="586"/>
      <c r="N68" s="586"/>
    </row>
    <row r="69" spans="1:14" s="343" customFormat="1" x14ac:dyDescent="0.2">
      <c r="A69" s="1477" t="s">
        <v>1061</v>
      </c>
      <c r="B69" s="591">
        <v>2630</v>
      </c>
      <c r="C69" s="1928">
        <v>0</v>
      </c>
      <c r="D69" s="1928">
        <v>0</v>
      </c>
      <c r="E69" s="1928">
        <v>0</v>
      </c>
      <c r="F69" s="1928">
        <v>5588</v>
      </c>
      <c r="G69" s="1928">
        <v>0</v>
      </c>
      <c r="H69" s="1928">
        <v>0</v>
      </c>
      <c r="I69" s="1929">
        <v>0</v>
      </c>
      <c r="J69" s="1929">
        <v>0</v>
      </c>
      <c r="K69" s="1645">
        <f>SUM(C69:J69)</f>
        <v>5588</v>
      </c>
      <c r="L69" s="1950">
        <v>10000</v>
      </c>
      <c r="M69" s="586"/>
      <c r="N69" s="586"/>
    </row>
    <row r="70" spans="1:14" s="343" customFormat="1" x14ac:dyDescent="0.2">
      <c r="A70" s="1477" t="s">
        <v>403</v>
      </c>
      <c r="B70" s="591">
        <v>2640</v>
      </c>
      <c r="C70" s="1928">
        <v>728806</v>
      </c>
      <c r="D70" s="1928">
        <v>102719</v>
      </c>
      <c r="E70" s="1928">
        <v>251589</v>
      </c>
      <c r="F70" s="1928">
        <v>8069</v>
      </c>
      <c r="G70" s="1928">
        <v>0</v>
      </c>
      <c r="H70" s="1928">
        <v>9913</v>
      </c>
      <c r="I70" s="1929">
        <v>0</v>
      </c>
      <c r="J70" s="1929">
        <v>0</v>
      </c>
      <c r="K70" s="1645">
        <f>SUM(C70:J70)</f>
        <v>1101096</v>
      </c>
      <c r="L70" s="1950">
        <v>1237103</v>
      </c>
      <c r="M70" s="586"/>
      <c r="N70" s="586"/>
    </row>
    <row r="71" spans="1:14" s="343" customFormat="1" x14ac:dyDescent="0.2">
      <c r="A71" s="1477" t="s">
        <v>404</v>
      </c>
      <c r="B71" s="591">
        <v>2660</v>
      </c>
      <c r="C71" s="1928">
        <v>25385</v>
      </c>
      <c r="D71" s="1928">
        <v>36000</v>
      </c>
      <c r="E71" s="1928">
        <v>0</v>
      </c>
      <c r="F71" s="1928">
        <v>0</v>
      </c>
      <c r="G71" s="1928">
        <v>0</v>
      </c>
      <c r="H71" s="1928">
        <v>0</v>
      </c>
      <c r="I71" s="1929">
        <v>0</v>
      </c>
      <c r="J71" s="1929">
        <v>0</v>
      </c>
      <c r="K71" s="1645">
        <f>SUM(C71:J71)</f>
        <v>61385</v>
      </c>
      <c r="L71" s="1950">
        <v>66000</v>
      </c>
      <c r="M71" s="586"/>
      <c r="N71" s="586"/>
    </row>
    <row r="72" spans="1:14" s="343" customFormat="1" ht="12.75" customHeight="1" thickBot="1" x14ac:dyDescent="0.25">
      <c r="A72" s="1641" t="s">
        <v>37</v>
      </c>
      <c r="B72" s="1648" t="s">
        <v>36</v>
      </c>
      <c r="C72" s="1643">
        <f>SUM(C67:C71)</f>
        <v>754191</v>
      </c>
      <c r="D72" s="1643">
        <f t="shared" ref="D72:K72" si="9">SUM(D67:D71)</f>
        <v>138719</v>
      </c>
      <c r="E72" s="1643">
        <f t="shared" si="9"/>
        <v>337189</v>
      </c>
      <c r="F72" s="1643">
        <f t="shared" si="9"/>
        <v>13657</v>
      </c>
      <c r="G72" s="1643">
        <f t="shared" si="9"/>
        <v>0</v>
      </c>
      <c r="H72" s="1643">
        <f t="shared" si="9"/>
        <v>9913</v>
      </c>
      <c r="I72" s="1643">
        <f t="shared" si="9"/>
        <v>0</v>
      </c>
      <c r="J72" s="1643">
        <f t="shared" si="9"/>
        <v>0</v>
      </c>
      <c r="K72" s="1643">
        <f t="shared" si="9"/>
        <v>1253669</v>
      </c>
      <c r="L72" s="1643">
        <f>SUM(L67:L71)</f>
        <v>1398701</v>
      </c>
      <c r="M72" s="586"/>
      <c r="N72" s="586"/>
    </row>
    <row r="73" spans="1:14" s="343" customFormat="1" ht="14.25" thickTop="1" thickBot="1" x14ac:dyDescent="0.25">
      <c r="A73" s="1483" t="s">
        <v>980</v>
      </c>
      <c r="B73" s="609" t="s">
        <v>574</v>
      </c>
      <c r="C73" s="1939">
        <v>47</v>
      </c>
      <c r="D73" s="1939">
        <v>0</v>
      </c>
      <c r="E73" s="1939">
        <v>0</v>
      </c>
      <c r="F73" s="1939">
        <v>3222</v>
      </c>
      <c r="G73" s="1939">
        <v>91483</v>
      </c>
      <c r="H73" s="1939">
        <v>0</v>
      </c>
      <c r="I73" s="1936">
        <v>215986</v>
      </c>
      <c r="J73" s="1936">
        <v>0</v>
      </c>
      <c r="K73" s="1643">
        <f>SUM(C73:J73)</f>
        <v>310738</v>
      </c>
      <c r="L73" s="1962">
        <v>311408</v>
      </c>
      <c r="M73" s="586"/>
      <c r="N73" s="586"/>
    </row>
    <row r="74" spans="1:14" ht="12.75" customHeight="1" thickTop="1" thickBot="1" x14ac:dyDescent="0.25">
      <c r="A74" s="1641" t="s">
        <v>811</v>
      </c>
      <c r="B74" s="1649">
        <v>2000</v>
      </c>
      <c r="C74" s="1650">
        <f>SUM(C42,C47,C53,C57,C65,C72,C73)</f>
        <v>20796178</v>
      </c>
      <c r="D74" s="1650">
        <f t="shared" ref="D74:K74" si="10">SUM(D42,D47,D53,D57,D65,D72,D73)</f>
        <v>4359858</v>
      </c>
      <c r="E74" s="1650">
        <f t="shared" si="10"/>
        <v>10974063</v>
      </c>
      <c r="F74" s="1650">
        <f t="shared" si="10"/>
        <v>4763433</v>
      </c>
      <c r="G74" s="1650">
        <f t="shared" si="10"/>
        <v>360090</v>
      </c>
      <c r="H74" s="1650">
        <f t="shared" si="10"/>
        <v>95980</v>
      </c>
      <c r="I74" s="1650">
        <f t="shared" si="10"/>
        <v>805675</v>
      </c>
      <c r="J74" s="1650">
        <f t="shared" si="10"/>
        <v>49811</v>
      </c>
      <c r="K74" s="1650">
        <f t="shared" si="10"/>
        <v>42205088</v>
      </c>
      <c r="L74" s="1650">
        <f>SUM(L42,L47,L53,L57,L65,L72,L73)</f>
        <v>51384531</v>
      </c>
    </row>
    <row r="75" spans="1:14" s="259" customFormat="1" ht="15.75" customHeight="1" thickTop="1" thickBot="1" x14ac:dyDescent="0.25">
      <c r="A75" s="1583" t="s">
        <v>47</v>
      </c>
      <c r="B75" s="1584" t="s">
        <v>575</v>
      </c>
      <c r="C75" s="1939">
        <v>353177</v>
      </c>
      <c r="D75" s="1939">
        <v>60329</v>
      </c>
      <c r="E75" s="1939">
        <v>144482</v>
      </c>
      <c r="F75" s="1939">
        <v>360739</v>
      </c>
      <c r="G75" s="1939">
        <v>0</v>
      </c>
      <c r="H75" s="1939">
        <v>0</v>
      </c>
      <c r="I75" s="1936">
        <v>9655</v>
      </c>
      <c r="J75" s="1936">
        <v>0</v>
      </c>
      <c r="K75" s="1643">
        <f>SUM(C75:J75)</f>
        <v>928382</v>
      </c>
      <c r="L75" s="1962">
        <v>1547568</v>
      </c>
      <c r="M75" s="590"/>
      <c r="N75" s="590"/>
    </row>
    <row r="76" spans="1:14" s="610" customFormat="1" ht="15.75" customHeight="1" thickTop="1" x14ac:dyDescent="0.2">
      <c r="A76" s="1585" t="s">
        <v>365</v>
      </c>
      <c r="B76" s="1582" t="s">
        <v>860</v>
      </c>
      <c r="C76" s="595"/>
      <c r="D76" s="595"/>
      <c r="E76" s="593"/>
      <c r="F76" s="595"/>
      <c r="G76" s="595"/>
      <c r="H76" s="593"/>
      <c r="I76" s="593"/>
      <c r="J76" s="593"/>
      <c r="K76" s="593"/>
      <c r="L76" s="593"/>
      <c r="M76" s="184"/>
      <c r="N76" s="184"/>
    </row>
    <row r="77" spans="1:14" s="259" customFormat="1" ht="15.75" customHeight="1" x14ac:dyDescent="0.2">
      <c r="A77" s="598" t="s">
        <v>614</v>
      </c>
      <c r="B77" s="599"/>
      <c r="C77" s="593"/>
      <c r="D77" s="593"/>
      <c r="E77" s="600"/>
      <c r="F77" s="593"/>
      <c r="G77" s="593"/>
      <c r="H77" s="600"/>
      <c r="I77" s="593"/>
      <c r="J77" s="593"/>
      <c r="K77" s="600"/>
      <c r="L77" s="600"/>
      <c r="M77" s="590"/>
      <c r="N77" s="590"/>
    </row>
    <row r="78" spans="1:14" x14ac:dyDescent="0.2">
      <c r="A78" s="1477" t="s">
        <v>496</v>
      </c>
      <c r="B78" s="591">
        <v>4110</v>
      </c>
      <c r="C78" s="593"/>
      <c r="D78" s="593"/>
      <c r="E78" s="477">
        <v>0</v>
      </c>
      <c r="F78" s="593"/>
      <c r="G78" s="593"/>
      <c r="H78" s="611">
        <v>0</v>
      </c>
      <c r="I78" s="473"/>
      <c r="J78" s="473"/>
      <c r="K78" s="1644">
        <f t="shared" ref="K78:K83" si="11">SUM(C78:J78)</f>
        <v>0</v>
      </c>
      <c r="L78" s="477">
        <v>0</v>
      </c>
    </row>
    <row r="79" spans="1:14" x14ac:dyDescent="0.2">
      <c r="A79" s="1477" t="s">
        <v>304</v>
      </c>
      <c r="B79" s="591">
        <v>4120</v>
      </c>
      <c r="C79" s="593"/>
      <c r="D79" s="593"/>
      <c r="E79" s="1928">
        <v>381382</v>
      </c>
      <c r="F79" s="593"/>
      <c r="G79" s="593"/>
      <c r="H79" s="1928">
        <v>0</v>
      </c>
      <c r="I79" s="473"/>
      <c r="J79" s="473"/>
      <c r="K79" s="1644">
        <f t="shared" si="11"/>
        <v>381382</v>
      </c>
      <c r="L79" s="1950">
        <v>700000</v>
      </c>
    </row>
    <row r="80" spans="1:14" x14ac:dyDescent="0.2">
      <c r="A80" s="1477" t="s">
        <v>305</v>
      </c>
      <c r="B80" s="591">
        <v>4130</v>
      </c>
      <c r="C80" s="593"/>
      <c r="D80" s="593"/>
      <c r="E80" s="1928">
        <v>0</v>
      </c>
      <c r="F80" s="593"/>
      <c r="G80" s="593"/>
      <c r="H80" s="1928">
        <v>0</v>
      </c>
      <c r="I80" s="473"/>
      <c r="J80" s="473"/>
      <c r="K80" s="1644">
        <f t="shared" si="11"/>
        <v>0</v>
      </c>
      <c r="L80" s="1950">
        <v>0</v>
      </c>
    </row>
    <row r="81" spans="1:12" x14ac:dyDescent="0.2">
      <c r="A81" s="1477" t="s">
        <v>697</v>
      </c>
      <c r="B81" s="591">
        <v>4140</v>
      </c>
      <c r="C81" s="593"/>
      <c r="D81" s="593"/>
      <c r="E81" s="1928">
        <v>0</v>
      </c>
      <c r="F81" s="593"/>
      <c r="G81" s="593"/>
      <c r="H81" s="1928">
        <v>0</v>
      </c>
      <c r="I81" s="473"/>
      <c r="J81" s="473"/>
      <c r="K81" s="1644">
        <f t="shared" si="11"/>
        <v>0</v>
      </c>
      <c r="L81" s="1950">
        <v>0</v>
      </c>
    </row>
    <row r="82" spans="1:12" x14ac:dyDescent="0.2">
      <c r="A82" s="1477" t="s">
        <v>86</v>
      </c>
      <c r="B82" s="591">
        <v>4170</v>
      </c>
      <c r="C82" s="593"/>
      <c r="D82" s="593"/>
      <c r="E82" s="1928">
        <v>0</v>
      </c>
      <c r="F82" s="593"/>
      <c r="G82" s="593"/>
      <c r="H82" s="1928">
        <v>0</v>
      </c>
      <c r="I82" s="473"/>
      <c r="J82" s="473"/>
      <c r="K82" s="1644">
        <f t="shared" si="11"/>
        <v>0</v>
      </c>
      <c r="L82" s="1950">
        <v>0</v>
      </c>
    </row>
    <row r="83" spans="1:12" x14ac:dyDescent="0.2">
      <c r="A83" s="1481" t="s">
        <v>698</v>
      </c>
      <c r="B83" s="605">
        <v>4190</v>
      </c>
      <c r="C83" s="593"/>
      <c r="D83" s="593"/>
      <c r="E83" s="1928">
        <v>0</v>
      </c>
      <c r="F83" s="593"/>
      <c r="G83" s="593"/>
      <c r="H83" s="1928">
        <v>2095</v>
      </c>
      <c r="I83" s="473"/>
      <c r="J83" s="473"/>
      <c r="K83" s="1644">
        <f t="shared" si="11"/>
        <v>2095</v>
      </c>
      <c r="L83" s="1950">
        <v>3000</v>
      </c>
    </row>
    <row r="84" spans="1:12" ht="13.5" thickBot="1" x14ac:dyDescent="0.25">
      <c r="A84" s="1641" t="s">
        <v>1471</v>
      </c>
      <c r="B84" s="1651">
        <v>4100</v>
      </c>
      <c r="C84" s="593"/>
      <c r="D84" s="593"/>
      <c r="E84" s="1643">
        <f>SUM(E78:E83)</f>
        <v>381382</v>
      </c>
      <c r="F84" s="593"/>
      <c r="G84" s="593"/>
      <c r="H84" s="1643">
        <f>SUM(H78:H83)</f>
        <v>2095</v>
      </c>
      <c r="I84" s="473"/>
      <c r="J84" s="473"/>
      <c r="K84" s="1643">
        <f>SUM(K78:K83)</f>
        <v>383477</v>
      </c>
      <c r="L84" s="1643">
        <f>SUM(L78:L83)</f>
        <v>703000</v>
      </c>
    </row>
    <row r="85" spans="1:12" ht="12.75" customHeight="1" thickTop="1" thickBot="1" x14ac:dyDescent="0.25">
      <c r="A85" s="1484" t="s">
        <v>255</v>
      </c>
      <c r="B85" s="612">
        <v>4210</v>
      </c>
      <c r="C85" s="593"/>
      <c r="D85" s="593"/>
      <c r="E85" s="613"/>
      <c r="F85" s="593"/>
      <c r="G85" s="593"/>
      <c r="H85" s="1938">
        <v>0</v>
      </c>
      <c r="I85" s="473"/>
      <c r="J85" s="473"/>
      <c r="K85" s="1650">
        <f>H85</f>
        <v>0</v>
      </c>
      <c r="L85" s="1958">
        <v>0</v>
      </c>
    </row>
    <row r="86" spans="1:12" ht="12.75" customHeight="1" thickTop="1" thickBot="1" x14ac:dyDescent="0.25">
      <c r="A86" s="1485" t="s">
        <v>699</v>
      </c>
      <c r="B86" s="614">
        <v>4220</v>
      </c>
      <c r="C86" s="593"/>
      <c r="D86" s="593"/>
      <c r="E86" s="615"/>
      <c r="F86" s="593"/>
      <c r="G86" s="593"/>
      <c r="H86" s="1929">
        <v>155601</v>
      </c>
      <c r="I86" s="473"/>
      <c r="J86" s="473"/>
      <c r="K86" s="1650">
        <f t="shared" ref="K86:K98" si="12">H86</f>
        <v>155601</v>
      </c>
      <c r="L86" s="1958">
        <v>260000</v>
      </c>
    </row>
    <row r="87" spans="1:12" ht="14.25" thickTop="1" thickBot="1" x14ac:dyDescent="0.25">
      <c r="A87" s="1486" t="s">
        <v>700</v>
      </c>
      <c r="B87" s="616">
        <v>4230</v>
      </c>
      <c r="C87" s="593"/>
      <c r="D87" s="593"/>
      <c r="E87" s="615"/>
      <c r="F87" s="593"/>
      <c r="G87" s="593"/>
      <c r="H87" s="1929">
        <v>0</v>
      </c>
      <c r="I87" s="473"/>
      <c r="J87" s="473"/>
      <c r="K87" s="1650">
        <f t="shared" si="12"/>
        <v>0</v>
      </c>
      <c r="L87" s="1958">
        <v>0</v>
      </c>
    </row>
    <row r="88" spans="1:12" ht="12.75" customHeight="1" thickTop="1" thickBot="1" x14ac:dyDescent="0.25">
      <c r="A88" s="1486" t="s">
        <v>765</v>
      </c>
      <c r="B88" s="616">
        <v>4240</v>
      </c>
      <c r="C88" s="593"/>
      <c r="D88" s="593"/>
      <c r="E88" s="615"/>
      <c r="F88" s="593"/>
      <c r="G88" s="593"/>
      <c r="H88" s="1929">
        <v>0</v>
      </c>
      <c r="I88" s="473"/>
      <c r="J88" s="473"/>
      <c r="K88" s="1650">
        <f t="shared" si="12"/>
        <v>0</v>
      </c>
      <c r="L88" s="1958">
        <v>0</v>
      </c>
    </row>
    <row r="89" spans="1:12" ht="12.75" customHeight="1" thickTop="1" thickBot="1" x14ac:dyDescent="0.25">
      <c r="A89" s="1486" t="s">
        <v>701</v>
      </c>
      <c r="B89" s="616">
        <v>4270</v>
      </c>
      <c r="C89" s="593"/>
      <c r="D89" s="593"/>
      <c r="E89" s="615"/>
      <c r="F89" s="593"/>
      <c r="G89" s="593"/>
      <c r="H89" s="1929">
        <v>0</v>
      </c>
      <c r="I89" s="473"/>
      <c r="J89" s="473"/>
      <c r="K89" s="1650">
        <f t="shared" si="12"/>
        <v>0</v>
      </c>
      <c r="L89" s="1958">
        <v>0</v>
      </c>
    </row>
    <row r="90" spans="1:12" ht="12.75" customHeight="1" thickTop="1" thickBot="1" x14ac:dyDescent="0.25">
      <c r="A90" s="1486" t="s">
        <v>686</v>
      </c>
      <c r="B90" s="616">
        <v>4280</v>
      </c>
      <c r="C90" s="593"/>
      <c r="D90" s="593"/>
      <c r="E90" s="615"/>
      <c r="F90" s="593"/>
      <c r="G90" s="593"/>
      <c r="H90" s="1929">
        <v>0</v>
      </c>
      <c r="I90" s="473"/>
      <c r="J90" s="473"/>
      <c r="K90" s="1650">
        <f t="shared" si="12"/>
        <v>0</v>
      </c>
      <c r="L90" s="1958">
        <v>0</v>
      </c>
    </row>
    <row r="91" spans="1:12" ht="12.75" customHeight="1" thickTop="1" thickBot="1" x14ac:dyDescent="0.25">
      <c r="A91" s="1486" t="s">
        <v>687</v>
      </c>
      <c r="B91" s="616">
        <v>4290</v>
      </c>
      <c r="C91" s="593"/>
      <c r="D91" s="593"/>
      <c r="E91" s="615"/>
      <c r="F91" s="593"/>
      <c r="G91" s="593"/>
      <c r="H91" s="1929">
        <v>0</v>
      </c>
      <c r="I91" s="473"/>
      <c r="J91" s="473"/>
      <c r="K91" s="1650">
        <f t="shared" si="12"/>
        <v>0</v>
      </c>
      <c r="L91" s="1958">
        <v>0</v>
      </c>
    </row>
    <row r="92" spans="1:12" ht="14.25" thickTop="1" thickBot="1" x14ac:dyDescent="0.25">
      <c r="A92" s="1653" t="s">
        <v>1529</v>
      </c>
      <c r="B92" s="1651">
        <v>4200</v>
      </c>
      <c r="C92" s="593"/>
      <c r="D92" s="593"/>
      <c r="E92" s="615"/>
      <c r="F92" s="593"/>
      <c r="G92" s="593"/>
      <c r="H92" s="1643">
        <f>SUM(H85:H91)</f>
        <v>155601</v>
      </c>
      <c r="I92" s="473"/>
      <c r="J92" s="473"/>
      <c r="K92" s="1650">
        <f t="shared" si="12"/>
        <v>155601</v>
      </c>
      <c r="L92" s="1643">
        <f>SUM(L85:L91)</f>
        <v>260000</v>
      </c>
    </row>
    <row r="93" spans="1:12" ht="14.25" thickTop="1" thickBot="1" x14ac:dyDescent="0.25">
      <c r="A93" s="1485" t="s">
        <v>688</v>
      </c>
      <c r="B93" s="617">
        <v>4310</v>
      </c>
      <c r="C93" s="593"/>
      <c r="D93" s="593"/>
      <c r="E93" s="615"/>
      <c r="F93" s="593"/>
      <c r="G93" s="593"/>
      <c r="H93" s="1932">
        <v>0</v>
      </c>
      <c r="I93" s="473"/>
      <c r="J93" s="473"/>
      <c r="K93" s="1650">
        <f t="shared" si="12"/>
        <v>0</v>
      </c>
      <c r="L93" s="1960">
        <v>0</v>
      </c>
    </row>
    <row r="94" spans="1:12" ht="12.75" customHeight="1" thickTop="1" thickBot="1" x14ac:dyDescent="0.25">
      <c r="A94" s="1486" t="s">
        <v>689</v>
      </c>
      <c r="B94" s="616">
        <v>4320</v>
      </c>
      <c r="C94" s="593"/>
      <c r="D94" s="593"/>
      <c r="E94" s="615"/>
      <c r="F94" s="593"/>
      <c r="G94" s="593"/>
      <c r="H94" s="1929">
        <v>0</v>
      </c>
      <c r="I94" s="473"/>
      <c r="J94" s="473"/>
      <c r="K94" s="1650">
        <f t="shared" si="12"/>
        <v>0</v>
      </c>
      <c r="L94" s="1958">
        <v>0</v>
      </c>
    </row>
    <row r="95" spans="1:12" ht="15" customHeight="1" thickTop="1" thickBot="1" x14ac:dyDescent="0.25">
      <c r="A95" s="1486" t="s">
        <v>1474</v>
      </c>
      <c r="B95" s="616">
        <v>4330</v>
      </c>
      <c r="C95" s="593"/>
      <c r="D95" s="593"/>
      <c r="E95" s="615"/>
      <c r="F95" s="593"/>
      <c r="G95" s="593"/>
      <c r="H95" s="1929">
        <v>0</v>
      </c>
      <c r="I95" s="473"/>
      <c r="J95" s="473"/>
      <c r="K95" s="1650">
        <f t="shared" si="12"/>
        <v>0</v>
      </c>
      <c r="L95" s="1958">
        <v>0</v>
      </c>
    </row>
    <row r="96" spans="1:12" ht="14.25" thickTop="1" thickBot="1" x14ac:dyDescent="0.25">
      <c r="A96" s="1486" t="s">
        <v>690</v>
      </c>
      <c r="B96" s="616">
        <v>4340</v>
      </c>
      <c r="C96" s="593"/>
      <c r="D96" s="593"/>
      <c r="E96" s="615"/>
      <c r="F96" s="593"/>
      <c r="G96" s="593"/>
      <c r="H96" s="1929">
        <v>0</v>
      </c>
      <c r="I96" s="473"/>
      <c r="J96" s="473"/>
      <c r="K96" s="1650">
        <f t="shared" si="12"/>
        <v>0</v>
      </c>
      <c r="L96" s="1958">
        <v>0</v>
      </c>
    </row>
    <row r="97" spans="1:14" ht="12.75" customHeight="1" thickTop="1" thickBot="1" x14ac:dyDescent="0.25">
      <c r="A97" s="1486" t="s">
        <v>763</v>
      </c>
      <c r="B97" s="616">
        <v>4370</v>
      </c>
      <c r="C97" s="593"/>
      <c r="D97" s="593"/>
      <c r="E97" s="615"/>
      <c r="F97" s="593"/>
      <c r="G97" s="593"/>
      <c r="H97" s="1929">
        <v>0</v>
      </c>
      <c r="I97" s="473"/>
      <c r="J97" s="473"/>
      <c r="K97" s="1650">
        <f t="shared" si="12"/>
        <v>0</v>
      </c>
      <c r="L97" s="1958">
        <v>0</v>
      </c>
    </row>
    <row r="98" spans="1:14" ht="14.25" thickTop="1" thickBot="1" x14ac:dyDescent="0.25">
      <c r="A98" s="1486" t="s">
        <v>764</v>
      </c>
      <c r="B98" s="616">
        <v>4380</v>
      </c>
      <c r="C98" s="593"/>
      <c r="D98" s="593"/>
      <c r="E98" s="618"/>
      <c r="F98" s="593"/>
      <c r="G98" s="593"/>
      <c r="H98" s="1929">
        <v>0</v>
      </c>
      <c r="I98" s="473"/>
      <c r="J98" s="473"/>
      <c r="K98" s="1650">
        <f t="shared" si="12"/>
        <v>0</v>
      </c>
      <c r="L98" s="1958">
        <v>0</v>
      </c>
    </row>
    <row r="99" spans="1:14" ht="14.25" thickTop="1" thickBot="1" x14ac:dyDescent="0.25">
      <c r="A99" s="1486" t="s">
        <v>367</v>
      </c>
      <c r="B99" s="616">
        <v>4390</v>
      </c>
      <c r="C99" s="593"/>
      <c r="D99" s="593"/>
      <c r="E99" s="1937">
        <v>0</v>
      </c>
      <c r="F99" s="593"/>
      <c r="G99" s="593"/>
      <c r="H99" s="1929">
        <v>0</v>
      </c>
      <c r="I99" s="473"/>
      <c r="J99" s="473"/>
      <c r="K99" s="1650">
        <f>SUM(E99,H99)</f>
        <v>0</v>
      </c>
      <c r="L99" s="1958">
        <v>0</v>
      </c>
    </row>
    <row r="100" spans="1:14" ht="14.25" thickTop="1" thickBot="1" x14ac:dyDescent="0.25">
      <c r="A100" s="1653" t="s">
        <v>1472</v>
      </c>
      <c r="B100" s="1654">
        <v>4300</v>
      </c>
      <c r="C100" s="593"/>
      <c r="D100" s="593"/>
      <c r="E100" s="1650">
        <f>SUM(E93:E99)</f>
        <v>0</v>
      </c>
      <c r="F100" s="593"/>
      <c r="G100" s="593"/>
      <c r="H100" s="1650">
        <f>SUM(H93:H99)</f>
        <v>0</v>
      </c>
      <c r="I100" s="473"/>
      <c r="J100" s="473"/>
      <c r="K100" s="1650">
        <f>SUM(K93:K99)</f>
        <v>0</v>
      </c>
      <c r="L100" s="1650">
        <f>SUM(L93:L99)</f>
        <v>0</v>
      </c>
    </row>
    <row r="101" spans="1:14" ht="12.75" customHeight="1" thickTop="1" thickBot="1" x14ac:dyDescent="0.25">
      <c r="A101" s="1483" t="s">
        <v>1475</v>
      </c>
      <c r="B101" s="619" t="s">
        <v>931</v>
      </c>
      <c r="C101" s="593"/>
      <c r="D101" s="593"/>
      <c r="E101" s="1936">
        <v>0</v>
      </c>
      <c r="F101" s="593"/>
      <c r="G101" s="593"/>
      <c r="H101" s="1936">
        <v>0</v>
      </c>
      <c r="I101" s="473"/>
      <c r="J101" s="473"/>
      <c r="K101" s="1652">
        <f>SUM(C101:J101)</f>
        <v>0</v>
      </c>
      <c r="L101" s="1958">
        <v>0</v>
      </c>
    </row>
    <row r="102" spans="1:14" ht="12.75" customHeight="1" thickTop="1" thickBot="1" x14ac:dyDescent="0.25">
      <c r="A102" s="1641" t="s">
        <v>1473</v>
      </c>
      <c r="B102" s="1651">
        <v>4000</v>
      </c>
      <c r="C102" s="593"/>
      <c r="D102" s="593"/>
      <c r="E102" s="1650">
        <f>SUM(E84,E92,E100,E101)</f>
        <v>381382</v>
      </c>
      <c r="F102" s="593"/>
      <c r="G102" s="593"/>
      <c r="H102" s="1650">
        <f>SUM(H84,H92,H100,H101)</f>
        <v>157696</v>
      </c>
      <c r="I102" s="473"/>
      <c r="J102" s="473"/>
      <c r="K102" s="1650">
        <f>SUM(K84,K92,K100,K101)</f>
        <v>539078</v>
      </c>
      <c r="L102" s="1650">
        <f>SUM(L84,L92,L100,L101)</f>
        <v>963000</v>
      </c>
    </row>
    <row r="103" spans="1:14" s="610" customFormat="1" ht="15.75" customHeight="1" thickTop="1" x14ac:dyDescent="0.2">
      <c r="A103" s="1585" t="s">
        <v>513</v>
      </c>
      <c r="B103" s="1582" t="s">
        <v>492</v>
      </c>
      <c r="C103" s="593"/>
      <c r="D103" s="593"/>
      <c r="E103" s="593"/>
      <c r="F103" s="593"/>
      <c r="G103" s="593"/>
      <c r="H103" s="595"/>
      <c r="I103" s="467"/>
      <c r="J103" s="467"/>
      <c r="K103" s="595"/>
      <c r="L103" s="595"/>
      <c r="M103" s="184"/>
      <c r="N103" s="184"/>
    </row>
    <row r="104" spans="1:14" s="622" customFormat="1" ht="15.75" customHeight="1" x14ac:dyDescent="0.2">
      <c r="A104" s="620" t="s">
        <v>615</v>
      </c>
      <c r="B104" s="621"/>
      <c r="C104" s="593"/>
      <c r="D104" s="593"/>
      <c r="E104" s="593"/>
      <c r="F104" s="593"/>
      <c r="G104" s="593"/>
      <c r="H104" s="600"/>
      <c r="I104" s="467"/>
      <c r="J104" s="467"/>
      <c r="K104" s="600"/>
      <c r="L104" s="600"/>
      <c r="M104" s="590"/>
      <c r="N104" s="590"/>
    </row>
    <row r="105" spans="1:14" s="574" customFormat="1" x14ac:dyDescent="0.2">
      <c r="A105" s="1477" t="s">
        <v>87</v>
      </c>
      <c r="B105" s="591">
        <v>5110</v>
      </c>
      <c r="C105" s="593"/>
      <c r="D105" s="593"/>
      <c r="E105" s="593"/>
      <c r="F105" s="593"/>
      <c r="G105" s="593"/>
      <c r="H105" s="477">
        <v>0</v>
      </c>
      <c r="I105" s="467"/>
      <c r="J105" s="467"/>
      <c r="K105" s="1644">
        <f>H105</f>
        <v>0</v>
      </c>
      <c r="L105" s="477">
        <v>0</v>
      </c>
      <c r="M105" s="210"/>
      <c r="N105" s="210"/>
    </row>
    <row r="106" spans="1:14" s="574" customFormat="1" x14ac:dyDescent="0.2">
      <c r="A106" s="1477" t="s">
        <v>88</v>
      </c>
      <c r="B106" s="591">
        <v>5120</v>
      </c>
      <c r="C106" s="593"/>
      <c r="D106" s="593"/>
      <c r="E106" s="593"/>
      <c r="F106" s="593"/>
      <c r="G106" s="593"/>
      <c r="H106" s="1928">
        <v>0</v>
      </c>
      <c r="I106" s="467"/>
      <c r="J106" s="467"/>
      <c r="K106" s="1644">
        <f>H106</f>
        <v>0</v>
      </c>
      <c r="L106" s="1950">
        <v>0</v>
      </c>
      <c r="M106" s="210"/>
      <c r="N106" s="210"/>
    </row>
    <row r="107" spans="1:14" s="574" customFormat="1" ht="12.75" customHeight="1" x14ac:dyDescent="0.2">
      <c r="A107" s="1477" t="s">
        <v>1170</v>
      </c>
      <c r="B107" s="591">
        <v>5130</v>
      </c>
      <c r="C107" s="593"/>
      <c r="D107" s="593"/>
      <c r="E107" s="593"/>
      <c r="F107" s="593"/>
      <c r="G107" s="593"/>
      <c r="H107" s="1928">
        <v>0</v>
      </c>
      <c r="I107" s="467"/>
      <c r="J107" s="467"/>
      <c r="K107" s="1644">
        <f>H107</f>
        <v>0</v>
      </c>
      <c r="L107" s="1950">
        <v>0</v>
      </c>
      <c r="M107" s="210"/>
      <c r="N107" s="210"/>
    </row>
    <row r="108" spans="1:14" s="574" customFormat="1" x14ac:dyDescent="0.2">
      <c r="A108" s="1477" t="s">
        <v>89</v>
      </c>
      <c r="B108" s="591" t="s">
        <v>589</v>
      </c>
      <c r="C108" s="593"/>
      <c r="D108" s="593"/>
      <c r="E108" s="593"/>
      <c r="F108" s="593"/>
      <c r="G108" s="593"/>
      <c r="H108" s="1928">
        <v>0</v>
      </c>
      <c r="I108" s="467"/>
      <c r="J108" s="467"/>
      <c r="K108" s="1644">
        <f>H108</f>
        <v>0</v>
      </c>
      <c r="L108" s="1950">
        <v>0</v>
      </c>
      <c r="M108" s="210"/>
      <c r="N108" s="210"/>
    </row>
    <row r="109" spans="1:14" s="574" customFormat="1" x14ac:dyDescent="0.2">
      <c r="A109" s="1477" t="s">
        <v>254</v>
      </c>
      <c r="B109" s="605">
        <v>5150</v>
      </c>
      <c r="C109" s="593"/>
      <c r="D109" s="593"/>
      <c r="E109" s="593"/>
      <c r="F109" s="593"/>
      <c r="G109" s="593"/>
      <c r="H109" s="1928">
        <v>0</v>
      </c>
      <c r="I109" s="467"/>
      <c r="J109" s="467"/>
      <c r="K109" s="1644">
        <f>H109</f>
        <v>0</v>
      </c>
      <c r="L109" s="1950">
        <v>0</v>
      </c>
      <c r="M109" s="210"/>
      <c r="N109" s="210"/>
    </row>
    <row r="110" spans="1:14" s="574" customFormat="1" ht="12.75" customHeight="1" thickBot="1" x14ac:dyDescent="0.25">
      <c r="A110" s="1641" t="s">
        <v>1102</v>
      </c>
      <c r="B110" s="1648" t="s">
        <v>718</v>
      </c>
      <c r="C110" s="593"/>
      <c r="D110" s="593"/>
      <c r="E110" s="593"/>
      <c r="F110" s="593"/>
      <c r="G110" s="593"/>
      <c r="H110" s="1643">
        <f>SUM(H105:H109)</f>
        <v>0</v>
      </c>
      <c r="I110" s="467"/>
      <c r="J110" s="467"/>
      <c r="K110" s="1643">
        <f>SUM(K105:K109)</f>
        <v>0</v>
      </c>
      <c r="L110" s="1643">
        <f>SUM(L105:L109)</f>
        <v>0</v>
      </c>
      <c r="M110" s="210"/>
      <c r="N110" s="210"/>
    </row>
    <row r="111" spans="1:14" s="574" customFormat="1" ht="12.75" customHeight="1" thickTop="1" thickBot="1" x14ac:dyDescent="0.25">
      <c r="A111" s="1487" t="s">
        <v>368</v>
      </c>
      <c r="B111" s="623" t="s">
        <v>38</v>
      </c>
      <c r="C111" s="593"/>
      <c r="D111" s="593"/>
      <c r="E111" s="593"/>
      <c r="F111" s="593"/>
      <c r="G111" s="593"/>
      <c r="H111" s="1938">
        <v>0</v>
      </c>
      <c r="I111" s="467"/>
      <c r="J111" s="467"/>
      <c r="K111" s="1656">
        <f>H111</f>
        <v>0</v>
      </c>
      <c r="L111" s="1960">
        <v>0</v>
      </c>
      <c r="M111" s="210"/>
      <c r="N111" s="210"/>
    </row>
    <row r="112" spans="1:14" s="574" customFormat="1" ht="12.75" customHeight="1" thickTop="1" thickBot="1" x14ac:dyDescent="0.25">
      <c r="A112" s="1641" t="s">
        <v>638</v>
      </c>
      <c r="B112" s="1642" t="s">
        <v>492</v>
      </c>
      <c r="C112" s="593"/>
      <c r="D112" s="593"/>
      <c r="E112" s="593"/>
      <c r="F112" s="593"/>
      <c r="G112" s="593"/>
      <c r="H112" s="1643">
        <f>SUM(H110:H111)</f>
        <v>0</v>
      </c>
      <c r="I112" s="467"/>
      <c r="J112" s="467"/>
      <c r="K112" s="1643">
        <f>SUM(K110:K111)</f>
        <v>0</v>
      </c>
      <c r="L112" s="1650">
        <f>SUM(L110,L111)</f>
        <v>0</v>
      </c>
      <c r="M112" s="210"/>
      <c r="N112" s="210"/>
    </row>
    <row r="113" spans="1:14" s="259" customFormat="1" ht="15.75" customHeight="1" thickTop="1" thickBot="1" x14ac:dyDescent="0.25">
      <c r="A113" s="1579" t="s">
        <v>514</v>
      </c>
      <c r="B113" s="1586" t="s">
        <v>861</v>
      </c>
      <c r="C113" s="600"/>
      <c r="D113" s="600"/>
      <c r="E113" s="593"/>
      <c r="F113" s="593"/>
      <c r="G113" s="593"/>
      <c r="H113" s="600"/>
      <c r="I113" s="467"/>
      <c r="J113" s="467"/>
      <c r="K113" s="600"/>
      <c r="L113" s="1959">
        <v>50000</v>
      </c>
      <c r="M113" s="590"/>
      <c r="N113" s="590"/>
    </row>
    <row r="114" spans="1:14" ht="12.75" customHeight="1" thickTop="1" thickBot="1" x14ac:dyDescent="0.25">
      <c r="A114" s="1641" t="s">
        <v>48</v>
      </c>
      <c r="B114" s="1655"/>
      <c r="C114" s="1643">
        <f>SUM(C33,C74,C75,C102,C112,C113)</f>
        <v>82545779</v>
      </c>
      <c r="D114" s="1643">
        <f t="shared" ref="D114:K114" si="13">SUM(D33,D74,D75,D102,D112,D113)</f>
        <v>16380763</v>
      </c>
      <c r="E114" s="1643">
        <f t="shared" si="13"/>
        <v>12467092</v>
      </c>
      <c r="F114" s="1643">
        <f t="shared" si="13"/>
        <v>7650371</v>
      </c>
      <c r="G114" s="1643">
        <f t="shared" si="13"/>
        <v>360090</v>
      </c>
      <c r="H114" s="1643">
        <f>SUM(H33,H74,H75,H102,H112,H113)</f>
        <v>2476609</v>
      </c>
      <c r="I114" s="1643">
        <f t="shared" si="13"/>
        <v>1713766</v>
      </c>
      <c r="J114" s="1643">
        <f t="shared" si="13"/>
        <v>49811</v>
      </c>
      <c r="K114" s="1643">
        <f t="shared" si="13"/>
        <v>123644281</v>
      </c>
      <c r="L114" s="1643">
        <f>SUM(L33,L74,L75,L102,L112,L113)</f>
        <v>151012119</v>
      </c>
    </row>
    <row r="115" spans="1:14" ht="13.5" thickTop="1" x14ac:dyDescent="0.2">
      <c r="A115" s="2209" t="s">
        <v>996</v>
      </c>
      <c r="B115" s="2210"/>
      <c r="C115" s="595"/>
      <c r="D115" s="595"/>
      <c r="E115" s="595"/>
      <c r="F115" s="595"/>
      <c r="G115" s="595"/>
      <c r="H115" s="595"/>
      <c r="I115" s="595"/>
      <c r="J115" s="595"/>
      <c r="K115" s="1657">
        <f>'Revenues 9-14'!C268-'Expenditures 15-22'!K114</f>
        <v>22323039</v>
      </c>
      <c r="L115" s="595"/>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214" t="s">
        <v>296</v>
      </c>
      <c r="B117" s="2215"/>
      <c r="C117" s="1599"/>
      <c r="D117" s="1600"/>
      <c r="E117" s="1600"/>
      <c r="F117" s="1600"/>
      <c r="G117" s="1600"/>
      <c r="H117" s="1600"/>
      <c r="I117" s="1600"/>
      <c r="J117" s="1600"/>
      <c r="K117" s="1600"/>
      <c r="L117" s="1601"/>
      <c r="M117" s="175"/>
      <c r="N117" s="175"/>
    </row>
    <row r="118" spans="1:14" ht="15.75" customHeight="1" x14ac:dyDescent="0.2">
      <c r="A118" s="1587" t="s">
        <v>1035</v>
      </c>
      <c r="B118" s="1588" t="s">
        <v>569</v>
      </c>
      <c r="C118" s="593"/>
      <c r="D118" s="593"/>
      <c r="E118" s="593"/>
      <c r="F118" s="593"/>
      <c r="G118" s="593"/>
      <c r="H118" s="593"/>
      <c r="I118" s="593"/>
      <c r="J118" s="593"/>
      <c r="K118" s="593"/>
      <c r="L118" s="593"/>
    </row>
    <row r="119" spans="1:14" ht="15.75" customHeight="1" x14ac:dyDescent="0.2">
      <c r="A119" s="628" t="s">
        <v>591</v>
      </c>
      <c r="B119" s="599"/>
      <c r="C119" s="600"/>
      <c r="D119" s="600"/>
      <c r="E119" s="600"/>
      <c r="F119" s="593"/>
      <c r="G119" s="593"/>
      <c r="H119" s="600"/>
      <c r="I119" s="593"/>
      <c r="J119" s="593"/>
      <c r="K119" s="600"/>
      <c r="L119" s="600"/>
    </row>
    <row r="120" spans="1:14" ht="12.75" customHeight="1" x14ac:dyDescent="0.2">
      <c r="A120" s="1481" t="s">
        <v>2019</v>
      </c>
      <c r="B120" s="605" t="s">
        <v>716</v>
      </c>
      <c r="C120" s="465">
        <v>0</v>
      </c>
      <c r="D120" s="465">
        <v>0</v>
      </c>
      <c r="E120" s="1950">
        <v>0</v>
      </c>
      <c r="F120" s="1950">
        <v>0</v>
      </c>
      <c r="G120" s="1950">
        <v>0</v>
      </c>
      <c r="H120" s="1950">
        <v>0</v>
      </c>
      <c r="I120" s="1950">
        <v>0</v>
      </c>
      <c r="J120" s="1950">
        <v>0</v>
      </c>
      <c r="K120" s="1644">
        <f>SUM(C120:J120)</f>
        <v>0</v>
      </c>
      <c r="L120" s="1950">
        <v>0</v>
      </c>
    </row>
    <row r="121" spans="1:14" ht="15.75" customHeight="1" x14ac:dyDescent="0.2">
      <c r="A121" s="629" t="s">
        <v>612</v>
      </c>
      <c r="B121" s="599"/>
      <c r="C121" s="514"/>
      <c r="D121" s="514"/>
      <c r="E121" s="514"/>
      <c r="F121" s="514"/>
      <c r="G121" s="514"/>
      <c r="H121" s="514"/>
      <c r="I121" s="593"/>
      <c r="J121" s="593"/>
      <c r="K121" s="600"/>
      <c r="L121" s="514"/>
    </row>
    <row r="122" spans="1:14" ht="13.5" thickBot="1" x14ac:dyDescent="0.25">
      <c r="A122" s="1477" t="s">
        <v>1068</v>
      </c>
      <c r="B122" s="591">
        <v>2510</v>
      </c>
      <c r="C122" s="1928">
        <v>0</v>
      </c>
      <c r="D122" s="1928">
        <v>0</v>
      </c>
      <c r="E122" s="1928">
        <v>0</v>
      </c>
      <c r="F122" s="1928">
        <v>0</v>
      </c>
      <c r="G122" s="1928">
        <v>0</v>
      </c>
      <c r="H122" s="1928">
        <v>0</v>
      </c>
      <c r="I122" s="1929">
        <v>0</v>
      </c>
      <c r="J122" s="1929">
        <v>0</v>
      </c>
      <c r="K122" s="1643">
        <f>SUM(C122:J122)</f>
        <v>0</v>
      </c>
      <c r="L122" s="1950">
        <v>0</v>
      </c>
    </row>
    <row r="123" spans="1:14" ht="14.25" thickTop="1" thickBot="1" x14ac:dyDescent="0.25">
      <c r="A123" s="1477" t="s">
        <v>4</v>
      </c>
      <c r="B123" s="591">
        <v>2530</v>
      </c>
      <c r="C123" s="1928">
        <v>0</v>
      </c>
      <c r="D123" s="1928">
        <v>0</v>
      </c>
      <c r="E123" s="1928">
        <v>0</v>
      </c>
      <c r="F123" s="1928">
        <v>0</v>
      </c>
      <c r="G123" s="1928">
        <v>0</v>
      </c>
      <c r="H123" s="1928">
        <v>0</v>
      </c>
      <c r="I123" s="1929">
        <v>0</v>
      </c>
      <c r="J123" s="1929">
        <v>0</v>
      </c>
      <c r="K123" s="1643">
        <f>SUM(C123:J123)</f>
        <v>0</v>
      </c>
      <c r="L123" s="1950">
        <v>0</v>
      </c>
    </row>
    <row r="124" spans="1:14" ht="14.25" thickTop="1" thickBot="1" x14ac:dyDescent="0.25">
      <c r="A124" s="1477" t="s">
        <v>197</v>
      </c>
      <c r="B124" s="591">
        <v>2540</v>
      </c>
      <c r="C124" s="1928">
        <v>5481340</v>
      </c>
      <c r="D124" s="1928">
        <v>1095067</v>
      </c>
      <c r="E124" s="1928">
        <v>1189628</v>
      </c>
      <c r="F124" s="1928">
        <v>2190185</v>
      </c>
      <c r="G124" s="1928">
        <v>223730</v>
      </c>
      <c r="H124" s="1928">
        <v>0</v>
      </c>
      <c r="I124" s="1929">
        <v>73481</v>
      </c>
      <c r="J124" s="1967">
        <v>0</v>
      </c>
      <c r="K124" s="1643">
        <f>SUM(C124:J124)</f>
        <v>10253431</v>
      </c>
      <c r="L124" s="1950">
        <v>11351622</v>
      </c>
    </row>
    <row r="125" spans="1:14" ht="14.25" thickTop="1" thickBot="1" x14ac:dyDescent="0.25">
      <c r="A125" s="1477" t="s">
        <v>953</v>
      </c>
      <c r="B125" s="591">
        <v>2550</v>
      </c>
      <c r="C125" s="1928">
        <v>0</v>
      </c>
      <c r="D125" s="1928">
        <v>0</v>
      </c>
      <c r="E125" s="1928">
        <v>0</v>
      </c>
      <c r="F125" s="1928">
        <v>0</v>
      </c>
      <c r="G125" s="1928">
        <v>0</v>
      </c>
      <c r="H125" s="1928">
        <v>0</v>
      </c>
      <c r="I125" s="1929">
        <v>0</v>
      </c>
      <c r="J125" s="1967">
        <v>0</v>
      </c>
      <c r="K125" s="1643">
        <f>SUM(C125:J125)</f>
        <v>0</v>
      </c>
      <c r="L125" s="1950">
        <v>0</v>
      </c>
    </row>
    <row r="126" spans="1:14" ht="14.25" thickTop="1" thickBot="1" x14ac:dyDescent="0.25">
      <c r="A126" s="1477" t="s">
        <v>100</v>
      </c>
      <c r="B126" s="591">
        <v>2560</v>
      </c>
      <c r="C126" s="630"/>
      <c r="D126" s="630"/>
      <c r="E126" s="630"/>
      <c r="F126" s="630"/>
      <c r="G126" s="1928">
        <v>0</v>
      </c>
      <c r="H126" s="630"/>
      <c r="I126" s="1931">
        <v>0</v>
      </c>
      <c r="J126" s="593"/>
      <c r="K126" s="1643">
        <f>SUM(C126:J126)</f>
        <v>0</v>
      </c>
      <c r="L126" s="1950">
        <v>0</v>
      </c>
    </row>
    <row r="127" spans="1:14" ht="12.75" customHeight="1" thickTop="1" thickBot="1" x14ac:dyDescent="0.25">
      <c r="A127" s="1641" t="s">
        <v>719</v>
      </c>
      <c r="B127" s="1642" t="s">
        <v>35</v>
      </c>
      <c r="C127" s="1643">
        <f>SUM(C122:C126)</f>
        <v>5481340</v>
      </c>
      <c r="D127" s="1643">
        <f t="shared" ref="D127:L127" si="14">SUM(D122:D126)</f>
        <v>1095067</v>
      </c>
      <c r="E127" s="1643">
        <f t="shared" si="14"/>
        <v>1189628</v>
      </c>
      <c r="F127" s="1643">
        <f t="shared" si="14"/>
        <v>2190185</v>
      </c>
      <c r="G127" s="1643">
        <f t="shared" si="14"/>
        <v>223730</v>
      </c>
      <c r="H127" s="1643">
        <f t="shared" si="14"/>
        <v>0</v>
      </c>
      <c r="I127" s="1643">
        <f t="shared" si="14"/>
        <v>73481</v>
      </c>
      <c r="J127" s="1643">
        <f t="shared" si="14"/>
        <v>0</v>
      </c>
      <c r="K127" s="1643">
        <f t="shared" si="14"/>
        <v>10253431</v>
      </c>
      <c r="L127" s="1643">
        <f t="shared" si="14"/>
        <v>11351622</v>
      </c>
    </row>
    <row r="128" spans="1:14" ht="12.75" customHeight="1" thickTop="1" x14ac:dyDescent="0.2">
      <c r="A128" s="1484" t="s">
        <v>980</v>
      </c>
      <c r="B128" s="631" t="s">
        <v>574</v>
      </c>
      <c r="C128" s="1944">
        <v>0</v>
      </c>
      <c r="D128" s="1944">
        <v>0</v>
      </c>
      <c r="E128" s="1944">
        <v>0</v>
      </c>
      <c r="F128" s="1944">
        <v>0</v>
      </c>
      <c r="G128" s="1944">
        <v>0</v>
      </c>
      <c r="H128" s="1944">
        <v>0</v>
      </c>
      <c r="I128" s="1938">
        <v>0</v>
      </c>
      <c r="J128" s="1938">
        <v>0</v>
      </c>
      <c r="K128" s="1658">
        <f>SUM(C128:J128)</f>
        <v>0</v>
      </c>
      <c r="L128" s="1964">
        <v>0</v>
      </c>
    </row>
    <row r="129" spans="1:14" ht="12.75" customHeight="1" thickBot="1" x14ac:dyDescent="0.25">
      <c r="A129" s="1659" t="s">
        <v>811</v>
      </c>
      <c r="B129" s="1660" t="s">
        <v>569</v>
      </c>
      <c r="C129" s="1650">
        <f>SUM(C120,C127,C128)</f>
        <v>5481340</v>
      </c>
      <c r="D129" s="1650">
        <f t="shared" ref="D129:L129" si="15">SUM(D120,D127,D128)</f>
        <v>1095067</v>
      </c>
      <c r="E129" s="1650">
        <f t="shared" si="15"/>
        <v>1189628</v>
      </c>
      <c r="F129" s="1650">
        <f t="shared" si="15"/>
        <v>2190185</v>
      </c>
      <c r="G129" s="1650">
        <f t="shared" si="15"/>
        <v>223730</v>
      </c>
      <c r="H129" s="1650">
        <f t="shared" si="15"/>
        <v>0</v>
      </c>
      <c r="I129" s="1650">
        <f t="shared" si="15"/>
        <v>73481</v>
      </c>
      <c r="J129" s="1650">
        <f t="shared" si="15"/>
        <v>0</v>
      </c>
      <c r="K129" s="1650">
        <f t="shared" si="15"/>
        <v>10253431</v>
      </c>
      <c r="L129" s="1650">
        <f t="shared" si="15"/>
        <v>11351622</v>
      </c>
    </row>
    <row r="130" spans="1:14" ht="15.75" customHeight="1" thickTop="1" thickBot="1" x14ac:dyDescent="0.25">
      <c r="A130" s="1583" t="s">
        <v>1036</v>
      </c>
      <c r="B130" s="1584" t="s">
        <v>575</v>
      </c>
      <c r="C130" s="1941">
        <v>0</v>
      </c>
      <c r="D130" s="1941">
        <v>0</v>
      </c>
      <c r="E130" s="1941">
        <v>0</v>
      </c>
      <c r="F130" s="1941">
        <v>0</v>
      </c>
      <c r="G130" s="1941">
        <v>0</v>
      </c>
      <c r="H130" s="1941">
        <v>0</v>
      </c>
      <c r="I130" s="1936">
        <v>0</v>
      </c>
      <c r="J130" s="1936">
        <v>0</v>
      </c>
      <c r="K130" s="1643">
        <f>SUM(C130:J130)</f>
        <v>0</v>
      </c>
      <c r="L130" s="1962">
        <v>0</v>
      </c>
    </row>
    <row r="131" spans="1:14" ht="15.75" customHeight="1" thickTop="1" x14ac:dyDescent="0.2">
      <c r="A131" s="1589" t="s">
        <v>616</v>
      </c>
      <c r="B131" s="1582" t="s">
        <v>860</v>
      </c>
      <c r="C131" s="467"/>
      <c r="D131" s="467"/>
      <c r="E131" s="554"/>
      <c r="F131" s="467"/>
      <c r="G131" s="467"/>
      <c r="H131" s="554"/>
      <c r="I131" s="467"/>
      <c r="J131" s="467"/>
      <c r="K131" s="554"/>
      <c r="L131" s="554"/>
    </row>
    <row r="132" spans="1:14" s="384" customFormat="1" ht="13.5" customHeight="1" x14ac:dyDescent="0.2">
      <c r="A132" s="632" t="s">
        <v>614</v>
      </c>
      <c r="B132" s="633"/>
      <c r="C132" s="467"/>
      <c r="D132" s="467"/>
      <c r="E132" s="514"/>
      <c r="F132" s="467"/>
      <c r="G132" s="467"/>
      <c r="H132" s="514"/>
      <c r="I132" s="467"/>
      <c r="J132" s="467"/>
      <c r="K132" s="514"/>
      <c r="L132" s="514"/>
      <c r="M132" s="206"/>
      <c r="N132" s="206"/>
    </row>
    <row r="133" spans="1:14" s="384" customFormat="1" ht="13.5" customHeight="1" x14ac:dyDescent="0.2">
      <c r="A133" s="1463" t="s">
        <v>496</v>
      </c>
      <c r="B133" s="1814" t="s">
        <v>1807</v>
      </c>
      <c r="C133" s="467"/>
      <c r="D133" s="467"/>
      <c r="E133" s="1932">
        <v>0</v>
      </c>
      <c r="F133" s="467"/>
      <c r="G133" s="467"/>
      <c r="H133" s="1932">
        <v>0</v>
      </c>
      <c r="I133" s="467"/>
      <c r="J133" s="467"/>
      <c r="K133" s="1794">
        <f>SUM(E133,H133)</f>
        <v>0</v>
      </c>
      <c r="L133" s="1954">
        <v>0</v>
      </c>
      <c r="M133" s="206"/>
      <c r="N133" s="206"/>
    </row>
    <row r="134" spans="1:14" x14ac:dyDescent="0.2">
      <c r="A134" s="1477" t="s">
        <v>304</v>
      </c>
      <c r="B134" s="591">
        <v>4120</v>
      </c>
      <c r="C134" s="593"/>
      <c r="D134" s="593"/>
      <c r="E134" s="474">
        <v>0</v>
      </c>
      <c r="F134" s="593"/>
      <c r="G134" s="593"/>
      <c r="H134" s="477">
        <v>0</v>
      </c>
      <c r="I134" s="473"/>
      <c r="J134" s="593"/>
      <c r="K134" s="1645">
        <f>SUM(E134,H134)</f>
        <v>0</v>
      </c>
      <c r="L134" s="477">
        <v>0</v>
      </c>
    </row>
    <row r="135" spans="1:14" x14ac:dyDescent="0.2">
      <c r="A135" s="1477" t="s">
        <v>697</v>
      </c>
      <c r="B135" s="591">
        <v>4140</v>
      </c>
      <c r="C135" s="593"/>
      <c r="D135" s="593"/>
      <c r="E135" s="1929">
        <v>0</v>
      </c>
      <c r="F135" s="593"/>
      <c r="G135" s="593"/>
      <c r="H135" s="1928">
        <v>0</v>
      </c>
      <c r="I135" s="473"/>
      <c r="J135" s="593"/>
      <c r="K135" s="1645">
        <f>SUM(E135,H135)</f>
        <v>0</v>
      </c>
      <c r="L135" s="1950">
        <v>0</v>
      </c>
    </row>
    <row r="136" spans="1:14" x14ac:dyDescent="0.2">
      <c r="A136" s="1481" t="s">
        <v>698</v>
      </c>
      <c r="B136" s="605">
        <v>4190</v>
      </c>
      <c r="C136" s="593"/>
      <c r="D136" s="593"/>
      <c r="E136" s="1929">
        <v>0</v>
      </c>
      <c r="F136" s="593"/>
      <c r="G136" s="593"/>
      <c r="H136" s="1928">
        <v>0</v>
      </c>
      <c r="I136" s="473"/>
      <c r="J136" s="593"/>
      <c r="K136" s="1645">
        <f>SUM(E136,H136)</f>
        <v>0</v>
      </c>
      <c r="L136" s="1950">
        <v>0</v>
      </c>
    </row>
    <row r="137" spans="1:14" ht="12.75" customHeight="1" thickBot="1" x14ac:dyDescent="0.25">
      <c r="A137" s="1641" t="s">
        <v>480</v>
      </c>
      <c r="B137" s="1651">
        <v>4100</v>
      </c>
      <c r="C137" s="593"/>
      <c r="D137" s="593"/>
      <c r="E137" s="1643">
        <f>SUM(E133:E136)</f>
        <v>0</v>
      </c>
      <c r="F137" s="593"/>
      <c r="G137" s="593"/>
      <c r="H137" s="1643">
        <f>SUM(H133:H136)</f>
        <v>0</v>
      </c>
      <c r="I137" s="473"/>
      <c r="J137" s="593"/>
      <c r="K137" s="1643">
        <f>SUM(K133:K136)</f>
        <v>0</v>
      </c>
      <c r="L137" s="1643">
        <f>SUM(L133:L136)</f>
        <v>0</v>
      </c>
    </row>
    <row r="138" spans="1:14" ht="12.75" customHeight="1" thickTop="1" thickBot="1" x14ac:dyDescent="0.25">
      <c r="A138" s="1483" t="s">
        <v>96</v>
      </c>
      <c r="B138" s="619" t="s">
        <v>931</v>
      </c>
      <c r="C138" s="593"/>
      <c r="D138" s="593"/>
      <c r="E138" s="475"/>
      <c r="F138" s="593"/>
      <c r="G138" s="593"/>
      <c r="H138" s="1941">
        <v>0</v>
      </c>
      <c r="I138" s="473"/>
      <c r="J138" s="593"/>
      <c r="K138" s="1645">
        <f>SUM(E138,H138)</f>
        <v>0</v>
      </c>
      <c r="L138" s="1962">
        <v>0</v>
      </c>
    </row>
    <row r="139" spans="1:14" ht="12.75" customHeight="1" thickTop="1" thickBot="1" x14ac:dyDescent="0.25">
      <c r="A139" s="1641" t="s">
        <v>1473</v>
      </c>
      <c r="B139" s="1651">
        <v>4000</v>
      </c>
      <c r="C139" s="593"/>
      <c r="D139" s="593"/>
      <c r="E139" s="1643">
        <f>SUM(E137,E138)</f>
        <v>0</v>
      </c>
      <c r="F139" s="593"/>
      <c r="G139" s="593"/>
      <c r="H139" s="1652">
        <f>SUM(H137:H138)</f>
        <v>0</v>
      </c>
      <c r="I139" s="473"/>
      <c r="J139" s="593"/>
      <c r="K139" s="1645">
        <f>SUM(K137,K138)</f>
        <v>0</v>
      </c>
      <c r="L139" s="1652">
        <f>SUM(L137,L138)</f>
        <v>0</v>
      </c>
    </row>
    <row r="140" spans="1:14" ht="15.75" customHeight="1" thickTop="1" x14ac:dyDescent="0.2">
      <c r="A140" s="1585" t="s">
        <v>1037</v>
      </c>
      <c r="B140" s="1586" t="s">
        <v>492</v>
      </c>
      <c r="C140" s="593"/>
      <c r="D140" s="593"/>
      <c r="E140" s="615"/>
      <c r="F140" s="615"/>
      <c r="G140" s="615"/>
      <c r="H140" s="613"/>
      <c r="I140" s="473"/>
      <c r="J140" s="615"/>
      <c r="K140" s="613"/>
      <c r="L140" s="613"/>
    </row>
    <row r="141" spans="1:14" ht="15.75" customHeight="1" x14ac:dyDescent="0.2">
      <c r="A141" s="629" t="s">
        <v>615</v>
      </c>
      <c r="B141" s="599"/>
      <c r="C141" s="593"/>
      <c r="D141" s="593"/>
      <c r="E141" s="593"/>
      <c r="F141" s="593"/>
      <c r="G141" s="593"/>
      <c r="H141" s="600"/>
      <c r="I141" s="467"/>
      <c r="J141" s="593"/>
      <c r="K141" s="600"/>
      <c r="L141" s="600"/>
    </row>
    <row r="142" spans="1:14" x14ac:dyDescent="0.2">
      <c r="A142" s="1477" t="s">
        <v>87</v>
      </c>
      <c r="B142" s="591">
        <v>5110</v>
      </c>
      <c r="C142" s="593"/>
      <c r="D142" s="593"/>
      <c r="E142" s="593"/>
      <c r="F142" s="593"/>
      <c r="G142" s="593"/>
      <c r="H142" s="477">
        <v>0</v>
      </c>
      <c r="I142" s="467"/>
      <c r="J142" s="593"/>
      <c r="K142" s="1645">
        <f>SUM(H142)</f>
        <v>0</v>
      </c>
      <c r="L142" s="477">
        <v>0</v>
      </c>
    </row>
    <row r="143" spans="1:14" x14ac:dyDescent="0.2">
      <c r="A143" s="1477" t="s">
        <v>88</v>
      </c>
      <c r="B143" s="591">
        <v>5120</v>
      </c>
      <c r="C143" s="593"/>
      <c r="D143" s="593"/>
      <c r="E143" s="593"/>
      <c r="F143" s="593"/>
      <c r="G143" s="593"/>
      <c r="H143" s="1928">
        <v>0</v>
      </c>
      <c r="I143" s="467"/>
      <c r="J143" s="593"/>
      <c r="K143" s="1645">
        <f>SUM(H143)</f>
        <v>0</v>
      </c>
      <c r="L143" s="1950">
        <v>0</v>
      </c>
    </row>
    <row r="144" spans="1:14" ht="12.75" customHeight="1" x14ac:dyDescent="0.2">
      <c r="A144" s="1477" t="s">
        <v>1170</v>
      </c>
      <c r="B144" s="605" t="s">
        <v>617</v>
      </c>
      <c r="C144" s="593"/>
      <c r="D144" s="593"/>
      <c r="E144" s="593"/>
      <c r="F144" s="593"/>
      <c r="G144" s="593"/>
      <c r="H144" s="1928">
        <v>0</v>
      </c>
      <c r="I144" s="467"/>
      <c r="J144" s="593"/>
      <c r="K144" s="1645">
        <f>SUM(H144)</f>
        <v>0</v>
      </c>
      <c r="L144" s="1950">
        <v>0</v>
      </c>
    </row>
    <row r="145" spans="1:14" x14ac:dyDescent="0.2">
      <c r="A145" s="1477" t="s">
        <v>89</v>
      </c>
      <c r="B145" s="591" t="s">
        <v>589</v>
      </c>
      <c r="C145" s="593"/>
      <c r="D145" s="593"/>
      <c r="E145" s="593"/>
      <c r="F145" s="593"/>
      <c r="G145" s="593"/>
      <c r="H145" s="1928">
        <v>0</v>
      </c>
      <c r="I145" s="467"/>
      <c r="J145" s="593"/>
      <c r="K145" s="1645">
        <f>SUM(H145)</f>
        <v>0</v>
      </c>
      <c r="L145" s="1950">
        <v>0</v>
      </c>
    </row>
    <row r="146" spans="1:14" ht="12.75" customHeight="1" x14ac:dyDescent="0.2">
      <c r="A146" s="1477" t="s">
        <v>619</v>
      </c>
      <c r="B146" s="591" t="s">
        <v>618</v>
      </c>
      <c r="C146" s="593"/>
      <c r="D146" s="593"/>
      <c r="E146" s="593"/>
      <c r="F146" s="593"/>
      <c r="G146" s="593"/>
      <c r="H146" s="1928">
        <v>0</v>
      </c>
      <c r="I146" s="467"/>
      <c r="J146" s="593"/>
      <c r="K146" s="1645">
        <f>SUM(H146)</f>
        <v>0</v>
      </c>
      <c r="L146" s="1950">
        <v>0</v>
      </c>
    </row>
    <row r="147" spans="1:14" ht="12.75" customHeight="1" thickBot="1" x14ac:dyDescent="0.25">
      <c r="A147" s="1488" t="s">
        <v>626</v>
      </c>
      <c r="B147" s="634" t="s">
        <v>718</v>
      </c>
      <c r="C147" s="593"/>
      <c r="D147" s="593"/>
      <c r="E147" s="593"/>
      <c r="F147" s="593"/>
      <c r="G147" s="593"/>
      <c r="H147" s="1661">
        <f>SUM(H142:H146)</f>
        <v>0</v>
      </c>
      <c r="I147" s="467"/>
      <c r="J147" s="593"/>
      <c r="K147" s="1643">
        <f>SUM(K142:K146)</f>
        <v>0</v>
      </c>
      <c r="L147" s="1661">
        <f>SUM(L142:L146)</f>
        <v>0</v>
      </c>
    </row>
    <row r="148" spans="1:14" ht="15.75" customHeight="1" thickTop="1" x14ac:dyDescent="0.2">
      <c r="A148" s="635" t="s">
        <v>1103</v>
      </c>
      <c r="B148" s="636" t="s">
        <v>38</v>
      </c>
      <c r="C148" s="593"/>
      <c r="D148" s="593"/>
      <c r="E148" s="593"/>
      <c r="F148" s="593"/>
      <c r="G148" s="593"/>
      <c r="H148" s="1933">
        <v>0</v>
      </c>
      <c r="I148" s="467"/>
      <c r="J148" s="593"/>
      <c r="K148" s="1645">
        <f>SUM(H148)</f>
        <v>0</v>
      </c>
      <c r="L148" s="1957">
        <v>0</v>
      </c>
    </row>
    <row r="149" spans="1:14" ht="12.75" customHeight="1" thickBot="1" x14ac:dyDescent="0.25">
      <c r="A149" s="1480" t="s">
        <v>638</v>
      </c>
      <c r="B149" s="594" t="s">
        <v>492</v>
      </c>
      <c r="C149" s="593"/>
      <c r="D149" s="593"/>
      <c r="E149" s="593"/>
      <c r="F149" s="593"/>
      <c r="G149" s="593"/>
      <c r="H149" s="1643">
        <f>SUM(H147,H148)</f>
        <v>0</v>
      </c>
      <c r="I149" s="467"/>
      <c r="J149" s="593"/>
      <c r="K149" s="1643">
        <f>SUM(K147:K148)</f>
        <v>0</v>
      </c>
      <c r="L149" s="1643">
        <f>SUM(L142:L146,L148)</f>
        <v>0</v>
      </c>
    </row>
    <row r="150" spans="1:14" ht="15.75" customHeight="1" thickTop="1" thickBot="1" x14ac:dyDescent="0.25">
      <c r="A150" s="1579" t="s">
        <v>1038</v>
      </c>
      <c r="B150" s="1586" t="s">
        <v>861</v>
      </c>
      <c r="C150" s="593"/>
      <c r="D150" s="593"/>
      <c r="E150" s="593"/>
      <c r="F150" s="593"/>
      <c r="G150" s="593"/>
      <c r="H150" s="637"/>
      <c r="I150" s="514"/>
      <c r="J150" s="593"/>
      <c r="K150" s="600"/>
      <c r="L150" s="1961">
        <v>0</v>
      </c>
    </row>
    <row r="151" spans="1:14" ht="12.75" customHeight="1" thickTop="1" thickBot="1" x14ac:dyDescent="0.25">
      <c r="A151" s="2226" t="s">
        <v>620</v>
      </c>
      <c r="B151" s="2206"/>
      <c r="C151" s="1643">
        <f>SUM(C129,C130,C139,C149,C150)</f>
        <v>5481340</v>
      </c>
      <c r="D151" s="1643">
        <f t="shared" ref="D151:K151" si="16">SUM(D129,D130,D139,D149,D150)</f>
        <v>1095067</v>
      </c>
      <c r="E151" s="1643">
        <f t="shared" si="16"/>
        <v>1189628</v>
      </c>
      <c r="F151" s="1643">
        <f t="shared" si="16"/>
        <v>2190185</v>
      </c>
      <c r="G151" s="1643">
        <f t="shared" si="16"/>
        <v>223730</v>
      </c>
      <c r="H151" s="1643">
        <f t="shared" si="16"/>
        <v>0</v>
      </c>
      <c r="I151" s="1643">
        <f t="shared" si="16"/>
        <v>73481</v>
      </c>
      <c r="J151" s="1643">
        <f t="shared" si="16"/>
        <v>0</v>
      </c>
      <c r="K151" s="1643">
        <f t="shared" si="16"/>
        <v>10253431</v>
      </c>
      <c r="L151" s="1643">
        <f>SUM(L129,L130,L139,L149,L150)</f>
        <v>11351622</v>
      </c>
    </row>
    <row r="152" spans="1:14" ht="12.75" customHeight="1" thickTop="1" x14ac:dyDescent="0.2">
      <c r="A152" s="2229" t="s">
        <v>1178</v>
      </c>
      <c r="B152" s="2230"/>
      <c r="C152" s="595"/>
      <c r="D152" s="595"/>
      <c r="E152" s="595"/>
      <c r="F152" s="595"/>
      <c r="G152" s="595"/>
      <c r="H152" s="595"/>
      <c r="I152" s="595"/>
      <c r="J152" s="593"/>
      <c r="K152" s="1657">
        <f>'Revenues 9-14'!D268-'Expenditures 15-22'!K151</f>
        <v>2382031</v>
      </c>
      <c r="L152" s="595"/>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214" t="s">
        <v>621</v>
      </c>
      <c r="B154" s="2216"/>
      <c r="C154" s="1599"/>
      <c r="D154" s="1600"/>
      <c r="E154" s="1600"/>
      <c r="F154" s="1600"/>
      <c r="G154" s="1600"/>
      <c r="H154" s="1600"/>
      <c r="I154" s="1600"/>
      <c r="J154" s="1600"/>
      <c r="K154" s="1600"/>
      <c r="L154" s="1601"/>
      <c r="M154" s="642"/>
      <c r="N154" s="642"/>
    </row>
    <row r="155" spans="1:14" s="597" customFormat="1" ht="15.75" customHeight="1" thickBot="1" x14ac:dyDescent="0.25">
      <c r="A155" s="1590" t="s">
        <v>81</v>
      </c>
      <c r="B155" s="1591" t="s">
        <v>860</v>
      </c>
      <c r="C155" s="593"/>
      <c r="D155" s="593"/>
      <c r="E155" s="593"/>
      <c r="F155" s="593"/>
      <c r="G155" s="593"/>
      <c r="H155" s="1815"/>
      <c r="I155" s="593"/>
      <c r="J155" s="593"/>
      <c r="K155" s="1798"/>
      <c r="L155" s="1815"/>
      <c r="M155" s="596"/>
      <c r="N155" s="596"/>
    </row>
    <row r="156" spans="1:14" s="597" customFormat="1" ht="15.75" customHeight="1" thickTop="1" x14ac:dyDescent="0.2">
      <c r="A156" s="1795" t="s">
        <v>1808</v>
      </c>
      <c r="B156" s="1796"/>
      <c r="C156" s="593"/>
      <c r="D156" s="593"/>
      <c r="E156" s="593"/>
      <c r="F156" s="593"/>
      <c r="G156" s="593"/>
      <c r="H156" s="1816"/>
      <c r="I156" s="593"/>
      <c r="J156" s="593"/>
      <c r="K156" s="1797"/>
      <c r="L156" s="1816"/>
      <c r="M156" s="596"/>
      <c r="N156" s="596"/>
    </row>
    <row r="157" spans="1:14" s="597" customFormat="1" ht="12" x14ac:dyDescent="0.2">
      <c r="A157" s="1799" t="s">
        <v>496</v>
      </c>
      <c r="B157" s="1800" t="s">
        <v>1807</v>
      </c>
      <c r="C157" s="593"/>
      <c r="D157" s="593"/>
      <c r="E157" s="593"/>
      <c r="F157" s="593"/>
      <c r="G157" s="593"/>
      <c r="H157" s="1932">
        <v>0</v>
      </c>
      <c r="I157" s="593"/>
      <c r="J157" s="593"/>
      <c r="K157" s="1644">
        <f>H157</f>
        <v>0</v>
      </c>
      <c r="L157" s="1967">
        <v>0</v>
      </c>
      <c r="M157" s="596"/>
      <c r="N157" s="596"/>
    </row>
    <row r="158" spans="1:14" s="597" customFormat="1" ht="12" x14ac:dyDescent="0.2">
      <c r="A158" s="1799" t="s">
        <v>304</v>
      </c>
      <c r="B158" s="1800" t="s">
        <v>1809</v>
      </c>
      <c r="C158" s="593"/>
      <c r="D158" s="593"/>
      <c r="E158" s="593"/>
      <c r="F158" s="593"/>
      <c r="G158" s="593"/>
      <c r="H158" s="1929">
        <v>0</v>
      </c>
      <c r="I158" s="593"/>
      <c r="J158" s="593"/>
      <c r="K158" s="1644">
        <f>H158</f>
        <v>0</v>
      </c>
      <c r="L158" s="1967">
        <v>0</v>
      </c>
      <c r="M158" s="596"/>
      <c r="N158" s="596"/>
    </row>
    <row r="159" spans="1:14" s="597" customFormat="1" ht="12" x14ac:dyDescent="0.2">
      <c r="A159" s="1799" t="s">
        <v>1810</v>
      </c>
      <c r="B159" s="1800" t="s">
        <v>558</v>
      </c>
      <c r="C159" s="593"/>
      <c r="D159" s="593"/>
      <c r="E159" s="593"/>
      <c r="F159" s="593"/>
      <c r="G159" s="593"/>
      <c r="H159" s="1929">
        <v>0</v>
      </c>
      <c r="I159" s="593"/>
      <c r="J159" s="593"/>
      <c r="K159" s="1644">
        <f>H159</f>
        <v>0</v>
      </c>
      <c r="L159" s="1967">
        <v>0</v>
      </c>
      <c r="M159" s="596"/>
      <c r="N159" s="596"/>
    </row>
    <row r="160" spans="1:14" s="597" customFormat="1" ht="15.75" customHeight="1" thickBot="1" x14ac:dyDescent="0.25">
      <c r="A160" s="1801" t="s">
        <v>1811</v>
      </c>
      <c r="B160" s="1802" t="s">
        <v>860</v>
      </c>
      <c r="C160" s="593"/>
      <c r="D160" s="593"/>
      <c r="E160" s="593"/>
      <c r="F160" s="593"/>
      <c r="G160" s="593"/>
      <c r="H160" s="1661">
        <f>SUM(H157:H159)</f>
        <v>0</v>
      </c>
      <c r="I160" s="593"/>
      <c r="J160" s="593"/>
      <c r="K160" s="1643">
        <f>SUM(K157:K159)</f>
        <v>0</v>
      </c>
      <c r="L160" s="1661">
        <f>SUM(L157:L159)</f>
        <v>0</v>
      </c>
      <c r="M160" s="596"/>
      <c r="N160" s="596"/>
    </row>
    <row r="161" spans="1:14" s="259" customFormat="1" ht="15.75" customHeight="1" thickTop="1" x14ac:dyDescent="0.2">
      <c r="A161" s="1585" t="s">
        <v>82</v>
      </c>
      <c r="B161" s="1586" t="s">
        <v>492</v>
      </c>
      <c r="C161" s="593"/>
      <c r="D161" s="593"/>
      <c r="E161" s="593"/>
      <c r="F161" s="593"/>
      <c r="G161" s="593"/>
      <c r="H161" s="593"/>
      <c r="I161" s="593"/>
      <c r="J161" s="593"/>
      <c r="K161" s="593"/>
      <c r="L161" s="593"/>
      <c r="M161" s="590"/>
      <c r="N161" s="590"/>
    </row>
    <row r="162" spans="1:14" s="259" customFormat="1" ht="15.75" customHeight="1" x14ac:dyDescent="0.2">
      <c r="A162" s="629" t="s">
        <v>615</v>
      </c>
      <c r="B162" s="599"/>
      <c r="C162" s="593"/>
      <c r="D162" s="593"/>
      <c r="E162" s="593"/>
      <c r="F162" s="593"/>
      <c r="G162" s="593"/>
      <c r="H162" s="593"/>
      <c r="I162" s="593"/>
      <c r="J162" s="593"/>
      <c r="K162" s="600"/>
      <c r="L162" s="600"/>
      <c r="M162" s="590"/>
      <c r="N162" s="590"/>
    </row>
    <row r="163" spans="1:14" x14ac:dyDescent="0.2">
      <c r="A163" s="1477" t="s">
        <v>87</v>
      </c>
      <c r="B163" s="591">
        <v>5110</v>
      </c>
      <c r="C163" s="593"/>
      <c r="D163" s="593"/>
      <c r="E163" s="593"/>
      <c r="F163" s="593"/>
      <c r="G163" s="593"/>
      <c r="H163" s="1928">
        <v>0</v>
      </c>
      <c r="I163" s="593"/>
      <c r="J163" s="593"/>
      <c r="K163" s="1644">
        <f>SUM(C163:J163)</f>
        <v>0</v>
      </c>
      <c r="L163" s="1950">
        <v>0</v>
      </c>
    </row>
    <row r="164" spans="1:14" x14ac:dyDescent="0.2">
      <c r="A164" s="1477" t="s">
        <v>88</v>
      </c>
      <c r="B164" s="591">
        <v>5120</v>
      </c>
      <c r="C164" s="593"/>
      <c r="D164" s="593"/>
      <c r="E164" s="593"/>
      <c r="F164" s="593"/>
      <c r="G164" s="593"/>
      <c r="H164" s="1928">
        <v>0</v>
      </c>
      <c r="I164" s="593"/>
      <c r="J164" s="593"/>
      <c r="K164" s="1644">
        <f>SUM(C164:J164)</f>
        <v>0</v>
      </c>
      <c r="L164" s="1950">
        <v>0</v>
      </c>
    </row>
    <row r="165" spans="1:14" ht="12.75" customHeight="1" x14ac:dyDescent="0.2">
      <c r="A165" s="1477" t="s">
        <v>1170</v>
      </c>
      <c r="B165" s="591" t="s">
        <v>617</v>
      </c>
      <c r="C165" s="593"/>
      <c r="D165" s="593"/>
      <c r="E165" s="593"/>
      <c r="F165" s="593"/>
      <c r="G165" s="593"/>
      <c r="H165" s="1928">
        <v>0</v>
      </c>
      <c r="I165" s="593"/>
      <c r="J165" s="593"/>
      <c r="K165" s="1644">
        <f>SUM(C165:J165)</f>
        <v>0</v>
      </c>
      <c r="L165" s="1950">
        <v>0</v>
      </c>
    </row>
    <row r="166" spans="1:14" x14ac:dyDescent="0.2">
      <c r="A166" s="1477" t="s">
        <v>89</v>
      </c>
      <c r="B166" s="605" t="s">
        <v>589</v>
      </c>
      <c r="C166" s="593"/>
      <c r="D166" s="593"/>
      <c r="E166" s="593"/>
      <c r="F166" s="593"/>
      <c r="G166" s="593"/>
      <c r="H166" s="1928">
        <v>0</v>
      </c>
      <c r="I166" s="593"/>
      <c r="J166" s="593"/>
      <c r="K166" s="1644">
        <f>SUM(C166:J166)</f>
        <v>0</v>
      </c>
      <c r="L166" s="1950">
        <v>0</v>
      </c>
    </row>
    <row r="167" spans="1:14" ht="12.75" customHeight="1" x14ac:dyDescent="0.2">
      <c r="A167" s="1477" t="s">
        <v>619</v>
      </c>
      <c r="B167" s="591" t="s">
        <v>618</v>
      </c>
      <c r="C167" s="593"/>
      <c r="D167" s="593"/>
      <c r="E167" s="593"/>
      <c r="F167" s="593"/>
      <c r="G167" s="593"/>
      <c r="H167" s="1928">
        <v>0</v>
      </c>
      <c r="I167" s="593"/>
      <c r="J167" s="593"/>
      <c r="K167" s="1644">
        <f>SUM(C167:J167)</f>
        <v>0</v>
      </c>
      <c r="L167" s="1950">
        <v>0</v>
      </c>
    </row>
    <row r="168" spans="1:14" ht="13.5" thickBot="1" x14ac:dyDescent="0.25">
      <c r="A168" s="1641" t="s">
        <v>276</v>
      </c>
      <c r="B168" s="1648" t="s">
        <v>718</v>
      </c>
      <c r="C168" s="593"/>
      <c r="D168" s="593"/>
      <c r="E168" s="593"/>
      <c r="F168" s="593"/>
      <c r="G168" s="593"/>
      <c r="H168" s="1643">
        <f>SUM(H163:H167)</f>
        <v>0</v>
      </c>
      <c r="I168" s="593"/>
      <c r="J168" s="593"/>
      <c r="K168" s="1643">
        <f>SUM(K163:K167)</f>
        <v>0</v>
      </c>
      <c r="L168" s="1643">
        <f>SUM(L163:L167)</f>
        <v>0</v>
      </c>
    </row>
    <row r="169" spans="1:14" ht="15.75" customHeight="1" thickTop="1" x14ac:dyDescent="0.2">
      <c r="A169" s="644" t="s">
        <v>83</v>
      </c>
      <c r="B169" s="645" t="s">
        <v>38</v>
      </c>
      <c r="C169" s="593"/>
      <c r="D169" s="593"/>
      <c r="E169" s="593"/>
      <c r="F169" s="593"/>
      <c r="G169" s="593"/>
      <c r="H169" s="1944">
        <v>2523259</v>
      </c>
      <c r="I169" s="593"/>
      <c r="J169" s="593"/>
      <c r="K169" s="1644">
        <f>SUM(C169:H169)</f>
        <v>2523259</v>
      </c>
      <c r="L169" s="1964">
        <v>2516964</v>
      </c>
    </row>
    <row r="170" spans="1:14" ht="33.75" customHeight="1" x14ac:dyDescent="0.2">
      <c r="A170" s="644" t="s">
        <v>1639</v>
      </c>
      <c r="B170" s="646" t="s">
        <v>31</v>
      </c>
      <c r="C170" s="593"/>
      <c r="D170" s="593"/>
      <c r="E170" s="593"/>
      <c r="F170" s="593"/>
      <c r="G170" s="593"/>
      <c r="H170" s="1934">
        <v>5196505</v>
      </c>
      <c r="I170" s="593"/>
      <c r="J170" s="593"/>
      <c r="K170" s="1644">
        <f>SUM(C170:J170)</f>
        <v>5196505</v>
      </c>
      <c r="L170" s="1956">
        <v>5248000</v>
      </c>
    </row>
    <row r="171" spans="1:14" ht="15.75" customHeight="1" x14ac:dyDescent="0.2">
      <c r="A171" s="598" t="s">
        <v>766</v>
      </c>
      <c r="B171" s="647" t="s">
        <v>84</v>
      </c>
      <c r="C171" s="593"/>
      <c r="D171" s="593"/>
      <c r="E171" s="1928">
        <v>0</v>
      </c>
      <c r="F171" s="593"/>
      <c r="G171" s="593"/>
      <c r="H171" s="1934">
        <v>2250</v>
      </c>
      <c r="I171" s="473"/>
      <c r="J171" s="593"/>
      <c r="K171" s="1644">
        <f>SUM(C171:J171)</f>
        <v>2250</v>
      </c>
      <c r="L171" s="1956">
        <v>3000</v>
      </c>
    </row>
    <row r="172" spans="1:14" ht="12.75" customHeight="1" thickBot="1" x14ac:dyDescent="0.25">
      <c r="A172" s="1641" t="s">
        <v>638</v>
      </c>
      <c r="B172" s="1642" t="s">
        <v>492</v>
      </c>
      <c r="C172" s="593"/>
      <c r="D172" s="593"/>
      <c r="E172" s="1650">
        <f>SUM(E168,E169,E170,E171)</f>
        <v>0</v>
      </c>
      <c r="F172" s="593"/>
      <c r="G172" s="593"/>
      <c r="H172" s="1650">
        <f>SUM(H168,H169,H170,H171)</f>
        <v>7722014</v>
      </c>
      <c r="I172" s="615"/>
      <c r="J172" s="593"/>
      <c r="K172" s="1650">
        <f>SUM(K168,K169,K170,K171)</f>
        <v>7722014</v>
      </c>
      <c r="L172" s="1650">
        <f>SUM(L168,L169,L170,L171)</f>
        <v>7767964</v>
      </c>
    </row>
    <row r="173" spans="1:14" ht="15.75" customHeight="1" thickTop="1" thickBot="1" x14ac:dyDescent="0.25">
      <c r="A173" s="1592" t="s">
        <v>85</v>
      </c>
      <c r="B173" s="1584" t="s">
        <v>861</v>
      </c>
      <c r="C173" s="593"/>
      <c r="D173" s="593"/>
      <c r="E173" s="600"/>
      <c r="F173" s="593"/>
      <c r="G173" s="593"/>
      <c r="H173" s="603"/>
      <c r="I173" s="615"/>
      <c r="J173" s="593"/>
      <c r="K173" s="600"/>
      <c r="L173" s="1962">
        <v>0</v>
      </c>
    </row>
    <row r="174" spans="1:14" ht="12.75" customHeight="1" thickTop="1" thickBot="1" x14ac:dyDescent="0.25">
      <c r="A174" s="1662" t="s">
        <v>90</v>
      </c>
      <c r="B174" s="1663"/>
      <c r="C174" s="593"/>
      <c r="D174" s="593"/>
      <c r="E174" s="1650">
        <f>SUM(E172,E173)</f>
        <v>0</v>
      </c>
      <c r="F174" s="593"/>
      <c r="G174" s="593"/>
      <c r="H174" s="1650">
        <f>SUM(H160,H172,H173)</f>
        <v>7722014</v>
      </c>
      <c r="I174" s="615"/>
      <c r="J174" s="593"/>
      <c r="K174" s="1650">
        <f>SUM(K160,K172,K173)</f>
        <v>7722014</v>
      </c>
      <c r="L174" s="1650">
        <f>SUM(L160,L172,L173)</f>
        <v>7767964</v>
      </c>
    </row>
    <row r="175" spans="1:14" ht="13.5" thickTop="1" x14ac:dyDescent="0.2">
      <c r="A175" s="2209" t="s">
        <v>996</v>
      </c>
      <c r="B175" s="2210"/>
      <c r="C175" s="593"/>
      <c r="D175" s="593"/>
      <c r="E175" s="593"/>
      <c r="F175" s="593"/>
      <c r="G175" s="593"/>
      <c r="H175" s="595"/>
      <c r="I175" s="593"/>
      <c r="J175" s="593"/>
      <c r="K175" s="1657">
        <f>'Revenues 9-14'!E268-'Expenditures 15-22'!K174</f>
        <v>-374294</v>
      </c>
      <c r="L175" s="595"/>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7" t="s">
        <v>937</v>
      </c>
      <c r="B177" s="1528"/>
      <c r="C177" s="1524"/>
      <c r="D177" s="1525"/>
      <c r="E177" s="1525"/>
      <c r="F177" s="1525"/>
      <c r="G177" s="1525"/>
      <c r="H177" s="1525"/>
      <c r="I177" s="1525"/>
      <c r="J177" s="1525"/>
      <c r="K177" s="1525"/>
      <c r="L177" s="1526"/>
      <c r="M177" s="586"/>
      <c r="N177" s="586"/>
    </row>
    <row r="178" spans="1:14" s="649" customFormat="1" ht="15.75" customHeight="1" x14ac:dyDescent="0.2">
      <c r="A178" s="1593" t="s">
        <v>938</v>
      </c>
      <c r="B178" s="1594"/>
      <c r="C178" s="593"/>
      <c r="D178" s="593"/>
      <c r="E178" s="593"/>
      <c r="F178" s="593"/>
      <c r="G178" s="593"/>
      <c r="H178" s="593"/>
      <c r="I178" s="593"/>
      <c r="J178" s="593"/>
      <c r="K178" s="593"/>
      <c r="L178" s="593"/>
      <c r="M178" s="640"/>
      <c r="N178" s="640"/>
    </row>
    <row r="179" spans="1:14" s="649" customFormat="1" ht="15.75" customHeight="1" x14ac:dyDescent="0.2">
      <c r="A179" s="650" t="s">
        <v>591</v>
      </c>
      <c r="B179" s="599"/>
      <c r="C179" s="600"/>
      <c r="D179" s="600"/>
      <c r="E179" s="600"/>
      <c r="F179" s="593"/>
      <c r="G179" s="593"/>
      <c r="H179" s="600"/>
      <c r="I179" s="593"/>
      <c r="J179" s="593"/>
      <c r="K179" s="600"/>
      <c r="L179" s="600"/>
      <c r="M179" s="640"/>
      <c r="N179" s="640"/>
    </row>
    <row r="180" spans="1:14" ht="12.75" customHeight="1" x14ac:dyDescent="0.2">
      <c r="A180" s="1477" t="s">
        <v>2019</v>
      </c>
      <c r="B180" s="591" t="s">
        <v>716</v>
      </c>
      <c r="C180" s="465">
        <v>0</v>
      </c>
      <c r="D180" s="465">
        <v>0</v>
      </c>
      <c r="E180" s="465">
        <v>0</v>
      </c>
      <c r="F180" s="465">
        <v>0</v>
      </c>
      <c r="G180" s="465">
        <v>0</v>
      </c>
      <c r="H180" s="465">
        <v>0</v>
      </c>
      <c r="I180" s="466">
        <v>0</v>
      </c>
      <c r="J180" s="466">
        <v>0</v>
      </c>
      <c r="K180" s="1644">
        <f>SUM(C180:J180)</f>
        <v>0</v>
      </c>
      <c r="L180" s="1950">
        <v>0</v>
      </c>
    </row>
    <row r="181" spans="1:14" ht="15.75" customHeight="1" x14ac:dyDescent="0.2">
      <c r="A181" s="601" t="s">
        <v>612</v>
      </c>
      <c r="B181" s="651"/>
      <c r="C181" s="557"/>
      <c r="D181" s="557"/>
      <c r="E181" s="557"/>
      <c r="F181" s="557"/>
      <c r="G181" s="557"/>
      <c r="H181" s="557"/>
      <c r="I181" s="467"/>
      <c r="J181" s="467"/>
      <c r="K181" s="557"/>
      <c r="L181" s="557"/>
    </row>
    <row r="182" spans="1:14" ht="12.75" customHeight="1" x14ac:dyDescent="0.2">
      <c r="A182" s="1477" t="s">
        <v>953</v>
      </c>
      <c r="B182" s="591">
        <v>2550</v>
      </c>
      <c r="C182" s="1928">
        <v>2009263</v>
      </c>
      <c r="D182" s="1928">
        <v>565020</v>
      </c>
      <c r="E182" s="1928">
        <v>1784530</v>
      </c>
      <c r="F182" s="1928">
        <v>195816</v>
      </c>
      <c r="G182" s="1928">
        <v>0</v>
      </c>
      <c r="H182" s="1928">
        <v>0</v>
      </c>
      <c r="I182" s="1929">
        <v>0</v>
      </c>
      <c r="J182" s="1929">
        <v>0</v>
      </c>
      <c r="K182" s="1644">
        <f>SUM(C182:J182)</f>
        <v>4554629</v>
      </c>
      <c r="L182" s="1950">
        <v>5076307</v>
      </c>
    </row>
    <row r="183" spans="1:14" ht="12.75" customHeight="1" thickBot="1" x14ac:dyDescent="0.25">
      <c r="A183" s="1482" t="s">
        <v>980</v>
      </c>
      <c r="B183" s="652">
        <v>2900</v>
      </c>
      <c r="C183" s="1939">
        <v>0</v>
      </c>
      <c r="D183" s="1939">
        <v>0</v>
      </c>
      <c r="E183" s="1939">
        <v>0</v>
      </c>
      <c r="F183" s="1939">
        <v>0</v>
      </c>
      <c r="G183" s="1939">
        <v>0</v>
      </c>
      <c r="H183" s="1939">
        <v>0</v>
      </c>
      <c r="I183" s="1937">
        <v>0</v>
      </c>
      <c r="J183" s="1937">
        <v>0</v>
      </c>
      <c r="K183" s="1650">
        <f>SUM(C183:J183)</f>
        <v>0</v>
      </c>
      <c r="L183" s="1961">
        <v>0</v>
      </c>
    </row>
    <row r="184" spans="1:14" ht="12.75" customHeight="1" thickTop="1" thickBot="1" x14ac:dyDescent="0.25">
      <c r="A184" s="1664" t="s">
        <v>811</v>
      </c>
      <c r="B184" s="1642" t="s">
        <v>569</v>
      </c>
      <c r="C184" s="1650">
        <f>SUM(C180,C182,C183)</f>
        <v>2009263</v>
      </c>
      <c r="D184" s="1650">
        <f t="shared" ref="D184:J184" si="17">SUM(D180,D182,D183)</f>
        <v>565020</v>
      </c>
      <c r="E184" s="1650">
        <f t="shared" si="17"/>
        <v>1784530</v>
      </c>
      <c r="F184" s="1650">
        <f t="shared" si="17"/>
        <v>195816</v>
      </c>
      <c r="G184" s="1650">
        <f t="shared" si="17"/>
        <v>0</v>
      </c>
      <c r="H184" s="1650">
        <f t="shared" si="17"/>
        <v>0</v>
      </c>
      <c r="I184" s="1650">
        <f t="shared" si="17"/>
        <v>0</v>
      </c>
      <c r="J184" s="1650">
        <f t="shared" si="17"/>
        <v>0</v>
      </c>
      <c r="K184" s="1650">
        <f>SUM(K180,K182,K183)</f>
        <v>4554629</v>
      </c>
      <c r="L184" s="1650">
        <f>SUM(L180, L182:L183)</f>
        <v>5076307</v>
      </c>
    </row>
    <row r="185" spans="1:14" ht="15.75" customHeight="1" thickTop="1" thickBot="1" x14ac:dyDescent="0.25">
      <c r="A185" s="1595" t="s">
        <v>939</v>
      </c>
      <c r="B185" s="1584">
        <v>3000</v>
      </c>
      <c r="C185" s="561"/>
      <c r="D185" s="561"/>
      <c r="E185" s="561"/>
      <c r="F185" s="561"/>
      <c r="G185" s="561"/>
      <c r="H185" s="561"/>
      <c r="I185" s="523"/>
      <c r="J185" s="523"/>
      <c r="K185" s="1643">
        <f>SUM(C185:J185)</f>
        <v>0</v>
      </c>
      <c r="L185" s="1962">
        <v>0</v>
      </c>
    </row>
    <row r="186" spans="1:14" s="649" customFormat="1" ht="15.75" customHeight="1" thickTop="1" x14ac:dyDescent="0.2">
      <c r="A186" s="1579" t="s">
        <v>91</v>
      </c>
      <c r="B186" s="1582" t="s">
        <v>860</v>
      </c>
      <c r="C186" s="593"/>
      <c r="D186" s="593"/>
      <c r="E186" s="593"/>
      <c r="F186" s="593"/>
      <c r="G186" s="593"/>
      <c r="H186" s="593"/>
      <c r="I186" s="593"/>
      <c r="J186" s="593"/>
      <c r="K186" s="593"/>
      <c r="L186" s="593"/>
      <c r="M186" s="640"/>
      <c r="N186" s="640"/>
    </row>
    <row r="187" spans="1:14" s="649" customFormat="1" ht="15.75" customHeight="1" x14ac:dyDescent="0.2">
      <c r="A187" s="598" t="s">
        <v>1131</v>
      </c>
      <c r="B187" s="599"/>
      <c r="C187" s="593"/>
      <c r="D187" s="593"/>
      <c r="E187" s="593"/>
      <c r="F187" s="593"/>
      <c r="G187" s="593"/>
      <c r="H187" s="593"/>
      <c r="I187" s="593"/>
      <c r="J187" s="593"/>
      <c r="K187" s="593"/>
      <c r="L187" s="593"/>
      <c r="M187" s="640"/>
      <c r="N187" s="640"/>
    </row>
    <row r="188" spans="1:14" x14ac:dyDescent="0.2">
      <c r="A188" s="1477" t="s">
        <v>496</v>
      </c>
      <c r="B188" s="591">
        <v>4110</v>
      </c>
      <c r="C188" s="593"/>
      <c r="D188" s="593"/>
      <c r="E188" s="1928">
        <v>0</v>
      </c>
      <c r="F188" s="593"/>
      <c r="G188" s="593"/>
      <c r="H188" s="1928">
        <v>0</v>
      </c>
      <c r="I188" s="473"/>
      <c r="J188" s="593"/>
      <c r="K188" s="1644">
        <f t="shared" ref="K188:K193" si="18">SUM(E188,H188)</f>
        <v>0</v>
      </c>
      <c r="L188" s="1950">
        <v>0</v>
      </c>
    </row>
    <row r="189" spans="1:14" x14ac:dyDescent="0.2">
      <c r="A189" s="1477" t="s">
        <v>304</v>
      </c>
      <c r="B189" s="591">
        <v>4120</v>
      </c>
      <c r="C189" s="593"/>
      <c r="D189" s="593"/>
      <c r="E189" s="1928">
        <v>0</v>
      </c>
      <c r="F189" s="593"/>
      <c r="G189" s="593"/>
      <c r="H189" s="1928">
        <v>0</v>
      </c>
      <c r="I189" s="473"/>
      <c r="J189" s="593"/>
      <c r="K189" s="1644">
        <f t="shared" si="18"/>
        <v>0</v>
      </c>
      <c r="L189" s="1950">
        <v>0</v>
      </c>
    </row>
    <row r="190" spans="1:14" x14ac:dyDescent="0.2">
      <c r="A190" s="1477" t="s">
        <v>305</v>
      </c>
      <c r="B190" s="605">
        <v>4130</v>
      </c>
      <c r="C190" s="593"/>
      <c r="D190" s="593"/>
      <c r="E190" s="1928">
        <v>0</v>
      </c>
      <c r="F190" s="593"/>
      <c r="G190" s="593"/>
      <c r="H190" s="1928">
        <v>0</v>
      </c>
      <c r="I190" s="473"/>
      <c r="J190" s="593"/>
      <c r="K190" s="1644">
        <f t="shared" si="18"/>
        <v>0</v>
      </c>
      <c r="L190" s="1950">
        <v>0</v>
      </c>
    </row>
    <row r="191" spans="1:14" x14ac:dyDescent="0.2">
      <c r="A191" s="1477" t="s">
        <v>697</v>
      </c>
      <c r="B191" s="591">
        <v>4140</v>
      </c>
      <c r="C191" s="593"/>
      <c r="D191" s="593"/>
      <c r="E191" s="1928">
        <v>0</v>
      </c>
      <c r="F191" s="593"/>
      <c r="G191" s="593"/>
      <c r="H191" s="1928">
        <v>0</v>
      </c>
      <c r="I191" s="473"/>
      <c r="J191" s="593"/>
      <c r="K191" s="1644">
        <f t="shared" si="18"/>
        <v>0</v>
      </c>
      <c r="L191" s="1950">
        <v>0</v>
      </c>
    </row>
    <row r="192" spans="1:14" x14ac:dyDescent="0.2">
      <c r="A192" s="1477" t="s">
        <v>86</v>
      </c>
      <c r="B192" s="591">
        <v>4170</v>
      </c>
      <c r="C192" s="593"/>
      <c r="D192" s="593"/>
      <c r="E192" s="1928">
        <v>0</v>
      </c>
      <c r="F192" s="593"/>
      <c r="G192" s="593"/>
      <c r="H192" s="1928">
        <v>0</v>
      </c>
      <c r="I192" s="473"/>
      <c r="J192" s="593"/>
      <c r="K192" s="1644">
        <f t="shared" si="18"/>
        <v>0</v>
      </c>
      <c r="L192" s="1950">
        <v>0</v>
      </c>
    </row>
    <row r="193" spans="1:14" x14ac:dyDescent="0.2">
      <c r="A193" s="1481" t="s">
        <v>698</v>
      </c>
      <c r="B193" s="605">
        <v>4190</v>
      </c>
      <c r="C193" s="593"/>
      <c r="D193" s="593"/>
      <c r="E193" s="1928">
        <v>0</v>
      </c>
      <c r="F193" s="593"/>
      <c r="G193" s="593"/>
      <c r="H193" s="1928">
        <v>0</v>
      </c>
      <c r="I193" s="473"/>
      <c r="J193" s="593"/>
      <c r="K193" s="1644">
        <f t="shared" si="18"/>
        <v>0</v>
      </c>
      <c r="L193" s="1950">
        <v>0</v>
      </c>
    </row>
    <row r="194" spans="1:14" ht="12.75" customHeight="1" thickBot="1" x14ac:dyDescent="0.25">
      <c r="A194" s="1641" t="s">
        <v>1140</v>
      </c>
      <c r="B194" s="1642" t="s">
        <v>559</v>
      </c>
      <c r="C194" s="593"/>
      <c r="D194" s="593"/>
      <c r="E194" s="1643">
        <f>SUM(E188:E193)</f>
        <v>0</v>
      </c>
      <c r="F194" s="593"/>
      <c r="G194" s="593"/>
      <c r="H194" s="1643">
        <f>SUM(H188:H193)</f>
        <v>0</v>
      </c>
      <c r="I194" s="473"/>
      <c r="J194" s="593"/>
      <c r="K194" s="1643">
        <f>SUM(K188:K193)</f>
        <v>0</v>
      </c>
      <c r="L194" s="1643">
        <f>SUM(L188:L193)</f>
        <v>0</v>
      </c>
    </row>
    <row r="195" spans="1:14" ht="15.75" customHeight="1" thickTop="1" x14ac:dyDescent="0.2">
      <c r="A195" s="644" t="s">
        <v>92</v>
      </c>
      <c r="B195" s="653" t="s">
        <v>931</v>
      </c>
      <c r="C195" s="593"/>
      <c r="D195" s="593"/>
      <c r="E195" s="1944">
        <v>0</v>
      </c>
      <c r="F195" s="593"/>
      <c r="G195" s="593"/>
      <c r="H195" s="1944">
        <v>0</v>
      </c>
      <c r="I195" s="473"/>
      <c r="J195" s="593"/>
      <c r="K195" s="1658">
        <f>SUM(E195,H195)</f>
        <v>0</v>
      </c>
      <c r="L195" s="1964">
        <v>0</v>
      </c>
    </row>
    <row r="196" spans="1:14" ht="12.75" customHeight="1" thickBot="1" x14ac:dyDescent="0.25">
      <c r="A196" s="1641" t="s">
        <v>1473</v>
      </c>
      <c r="B196" s="1642" t="s">
        <v>860</v>
      </c>
      <c r="C196" s="593"/>
      <c r="D196" s="593"/>
      <c r="E196" s="1650">
        <f>SUM(E194,E195)</f>
        <v>0</v>
      </c>
      <c r="F196" s="593"/>
      <c r="G196" s="593"/>
      <c r="H196" s="1650">
        <f>SUM(H194,H195)</f>
        <v>0</v>
      </c>
      <c r="I196" s="473"/>
      <c r="J196" s="593"/>
      <c r="K196" s="1650">
        <f>SUM(K194,K195)</f>
        <v>0</v>
      </c>
      <c r="L196" s="1650">
        <f>SUM(L194,L195)</f>
        <v>0</v>
      </c>
    </row>
    <row r="197" spans="1:14" s="649" customFormat="1" ht="15.75" customHeight="1" thickTop="1" x14ac:dyDescent="0.2">
      <c r="A197" s="1585" t="s">
        <v>940</v>
      </c>
      <c r="B197" s="1582" t="s">
        <v>492</v>
      </c>
      <c r="C197" s="593"/>
      <c r="D197" s="593"/>
      <c r="E197" s="593"/>
      <c r="F197" s="593"/>
      <c r="G197" s="593"/>
      <c r="H197" s="593"/>
      <c r="I197" s="593"/>
      <c r="J197" s="593"/>
      <c r="K197" s="593"/>
      <c r="L197" s="593"/>
      <c r="M197" s="640"/>
      <c r="N197" s="640"/>
    </row>
    <row r="198" spans="1:14" s="649" customFormat="1" ht="15.75" customHeight="1" x14ac:dyDescent="0.2">
      <c r="A198" s="629" t="s">
        <v>93</v>
      </c>
      <c r="B198" s="599"/>
      <c r="C198" s="593"/>
      <c r="D198" s="593"/>
      <c r="E198" s="593"/>
      <c r="F198" s="593"/>
      <c r="G198" s="593"/>
      <c r="H198" s="593"/>
      <c r="I198" s="593"/>
      <c r="J198" s="593"/>
      <c r="K198" s="593"/>
      <c r="L198" s="593"/>
      <c r="M198" s="640"/>
      <c r="N198" s="640"/>
    </row>
    <row r="199" spans="1:14" x14ac:dyDescent="0.2">
      <c r="A199" s="1477" t="s">
        <v>87</v>
      </c>
      <c r="B199" s="591">
        <v>5110</v>
      </c>
      <c r="C199" s="593"/>
      <c r="D199" s="593"/>
      <c r="E199" s="593"/>
      <c r="F199" s="593"/>
      <c r="G199" s="593"/>
      <c r="H199" s="1928">
        <v>0</v>
      </c>
      <c r="I199" s="593"/>
      <c r="J199" s="593"/>
      <c r="K199" s="1644">
        <f>SUM(H199)</f>
        <v>0</v>
      </c>
      <c r="L199" s="1950">
        <v>0</v>
      </c>
    </row>
    <row r="200" spans="1:14" x14ac:dyDescent="0.2">
      <c r="A200" s="1477" t="s">
        <v>88</v>
      </c>
      <c r="B200" s="591">
        <v>5120</v>
      </c>
      <c r="C200" s="593"/>
      <c r="D200" s="593"/>
      <c r="E200" s="593"/>
      <c r="F200" s="593"/>
      <c r="G200" s="593"/>
      <c r="H200" s="1928">
        <v>0</v>
      </c>
      <c r="I200" s="593"/>
      <c r="J200" s="593"/>
      <c r="K200" s="1644">
        <f>SUM(H200)</f>
        <v>0</v>
      </c>
      <c r="L200" s="1950">
        <v>0</v>
      </c>
    </row>
    <row r="201" spans="1:14" ht="12.75" customHeight="1" x14ac:dyDescent="0.2">
      <c r="A201" s="1477" t="s">
        <v>1170</v>
      </c>
      <c r="B201" s="605" t="s">
        <v>617</v>
      </c>
      <c r="C201" s="593"/>
      <c r="D201" s="593"/>
      <c r="E201" s="593"/>
      <c r="F201" s="593"/>
      <c r="G201" s="593"/>
      <c r="H201" s="1928">
        <v>0</v>
      </c>
      <c r="I201" s="593"/>
      <c r="J201" s="593"/>
      <c r="K201" s="1644">
        <f>SUM(H201)</f>
        <v>0</v>
      </c>
      <c r="L201" s="1950">
        <v>0</v>
      </c>
    </row>
    <row r="202" spans="1:14" x14ac:dyDescent="0.2">
      <c r="A202" s="1477" t="s">
        <v>89</v>
      </c>
      <c r="B202" s="591" t="s">
        <v>589</v>
      </c>
      <c r="C202" s="593"/>
      <c r="D202" s="593"/>
      <c r="E202" s="593"/>
      <c r="F202" s="593"/>
      <c r="G202" s="593"/>
      <c r="H202" s="1928">
        <v>0</v>
      </c>
      <c r="I202" s="593"/>
      <c r="J202" s="593"/>
      <c r="K202" s="1644">
        <f>SUM(H202)</f>
        <v>0</v>
      </c>
      <c r="L202" s="1950">
        <v>0</v>
      </c>
    </row>
    <row r="203" spans="1:14" x14ac:dyDescent="0.2">
      <c r="A203" s="1489" t="s">
        <v>619</v>
      </c>
      <c r="B203" s="591" t="s">
        <v>618</v>
      </c>
      <c r="C203" s="593"/>
      <c r="D203" s="593"/>
      <c r="E203" s="593"/>
      <c r="F203" s="593"/>
      <c r="G203" s="593"/>
      <c r="H203" s="1930">
        <v>0</v>
      </c>
      <c r="I203" s="593"/>
      <c r="J203" s="593"/>
      <c r="K203" s="1644">
        <f>SUM(H203)</f>
        <v>0</v>
      </c>
      <c r="L203" s="1952">
        <v>0</v>
      </c>
    </row>
    <row r="204" spans="1:14" ht="13.5" thickBot="1" x14ac:dyDescent="0.25">
      <c r="A204" s="1641" t="s">
        <v>276</v>
      </c>
      <c r="B204" s="1642" t="s">
        <v>718</v>
      </c>
      <c r="C204" s="593"/>
      <c r="D204" s="593"/>
      <c r="E204" s="593"/>
      <c r="F204" s="593"/>
      <c r="G204" s="593"/>
      <c r="H204" s="1643">
        <f>SUM(H199:H203)</f>
        <v>0</v>
      </c>
      <c r="I204" s="593"/>
      <c r="J204" s="593"/>
      <c r="K204" s="1643">
        <f>SUM(K199:K203)</f>
        <v>0</v>
      </c>
      <c r="L204" s="1643">
        <f>SUM(L199:L203)</f>
        <v>0</v>
      </c>
    </row>
    <row r="205" spans="1:14" ht="15.75" customHeight="1" thickTop="1" x14ac:dyDescent="0.2">
      <c r="A205" s="654" t="s">
        <v>83</v>
      </c>
      <c r="B205" s="655" t="s">
        <v>38</v>
      </c>
      <c r="C205" s="593"/>
      <c r="D205" s="593"/>
      <c r="E205" s="593"/>
      <c r="F205" s="593"/>
      <c r="G205" s="593"/>
      <c r="H205" s="1938">
        <v>0</v>
      </c>
      <c r="I205" s="593"/>
      <c r="J205" s="593"/>
      <c r="K205" s="1658">
        <f>SUM(H205)</f>
        <v>0</v>
      </c>
      <c r="L205" s="1968">
        <v>0</v>
      </c>
    </row>
    <row r="206" spans="1:14" ht="30" customHeight="1" x14ac:dyDescent="0.2">
      <c r="A206" s="656" t="s">
        <v>1640</v>
      </c>
      <c r="B206" s="647" t="s">
        <v>31</v>
      </c>
      <c r="C206" s="593"/>
      <c r="D206" s="593"/>
      <c r="E206" s="593"/>
      <c r="F206" s="593"/>
      <c r="G206" s="593"/>
      <c r="H206" s="1928">
        <v>0</v>
      </c>
      <c r="I206" s="593"/>
      <c r="J206" s="593"/>
      <c r="K206" s="1644">
        <f>SUM(H206)</f>
        <v>0</v>
      </c>
      <c r="L206" s="1950">
        <v>0</v>
      </c>
    </row>
    <row r="207" spans="1:14" ht="15.75" customHeight="1" x14ac:dyDescent="0.2">
      <c r="A207" s="598" t="s">
        <v>766</v>
      </c>
      <c r="B207" s="647" t="s">
        <v>84</v>
      </c>
      <c r="C207" s="593"/>
      <c r="D207" s="593"/>
      <c r="E207" s="593"/>
      <c r="F207" s="593"/>
      <c r="G207" s="593"/>
      <c r="H207" s="1929">
        <v>0</v>
      </c>
      <c r="I207" s="593"/>
      <c r="J207" s="593"/>
      <c r="K207" s="1644">
        <f>H207</f>
        <v>0</v>
      </c>
      <c r="L207" s="1950">
        <v>0</v>
      </c>
    </row>
    <row r="208" spans="1:14" ht="12.75" customHeight="1" thickBot="1" x14ac:dyDescent="0.25">
      <c r="A208" s="1659" t="s">
        <v>638</v>
      </c>
      <c r="B208" s="1660" t="s">
        <v>492</v>
      </c>
      <c r="C208" s="593"/>
      <c r="D208" s="593"/>
      <c r="E208" s="593"/>
      <c r="F208" s="593"/>
      <c r="G208" s="593"/>
      <c r="H208" s="1650">
        <f>SUM(H204,H205,H206,H207)</f>
        <v>0</v>
      </c>
      <c r="I208" s="593"/>
      <c r="J208" s="593"/>
      <c r="K208" s="1650">
        <f>SUM(K204,K205,K206,K207)</f>
        <v>0</v>
      </c>
      <c r="L208" s="1650">
        <f>SUM(L204,L205,L206,L207)</f>
        <v>0</v>
      </c>
    </row>
    <row r="209" spans="1:14" ht="15.75" customHeight="1" thickTop="1" thickBot="1" x14ac:dyDescent="0.25">
      <c r="A209" s="1579" t="s">
        <v>872</v>
      </c>
      <c r="B209" s="1586" t="s">
        <v>861</v>
      </c>
      <c r="C209" s="600"/>
      <c r="D209" s="600"/>
      <c r="E209" s="600"/>
      <c r="F209" s="600"/>
      <c r="G209" s="600"/>
      <c r="H209" s="600"/>
      <c r="I209" s="593"/>
      <c r="J209" s="593"/>
      <c r="K209" s="600"/>
      <c r="L209" s="1962">
        <v>0</v>
      </c>
    </row>
    <row r="210" spans="1:14" ht="12.75" customHeight="1" thickTop="1" thickBot="1" x14ac:dyDescent="0.25">
      <c r="A210" s="1665" t="s">
        <v>277</v>
      </c>
      <c r="B210" s="1666"/>
      <c r="C210" s="1643">
        <f>SUM(C184,C185)</f>
        <v>2009263</v>
      </c>
      <c r="D210" s="1643">
        <f>SUM(D184,D185)</f>
        <v>565020</v>
      </c>
      <c r="E210" s="1643">
        <f>SUM(E184,E185,E196)</f>
        <v>1784530</v>
      </c>
      <c r="F210" s="1643">
        <f>SUM(F184,F185)</f>
        <v>195816</v>
      </c>
      <c r="G210" s="1643">
        <f>SUM(G184,G185)</f>
        <v>0</v>
      </c>
      <c r="H210" s="1643">
        <f>SUM(H184,H185,H196,H208,H209)</f>
        <v>0</v>
      </c>
      <c r="I210" s="1643">
        <f>SUM(I184,I185)</f>
        <v>0</v>
      </c>
      <c r="J210" s="1643">
        <f>SUM(J184,J185)</f>
        <v>0</v>
      </c>
      <c r="K210" s="1644">
        <f>SUM(K184,K185,K196,K208,K209)</f>
        <v>4554629</v>
      </c>
      <c r="L210" s="1643">
        <f>SUM(L184,L185,L196,L208,L209)</f>
        <v>5076307</v>
      </c>
    </row>
    <row r="211" spans="1:14" ht="13.5" thickTop="1" x14ac:dyDescent="0.2">
      <c r="A211" s="2209" t="s">
        <v>996</v>
      </c>
      <c r="B211" s="2210"/>
      <c r="C211" s="595"/>
      <c r="D211" s="595"/>
      <c r="E211" s="595"/>
      <c r="F211" s="595"/>
      <c r="G211" s="595"/>
      <c r="H211" s="595"/>
      <c r="I211" s="593"/>
      <c r="J211" s="593"/>
      <c r="K211" s="1657">
        <f>'Revenues 9-14'!F268-'Expenditures 15-22'!K210</f>
        <v>-728236</v>
      </c>
      <c r="L211" s="595"/>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31" t="s">
        <v>965</v>
      </c>
      <c r="B213" s="2232"/>
      <c r="C213" s="1524"/>
      <c r="D213" s="1525"/>
      <c r="E213" s="1525"/>
      <c r="F213" s="1525"/>
      <c r="G213" s="1525"/>
      <c r="H213" s="1525"/>
      <c r="I213" s="1525"/>
      <c r="J213" s="1525"/>
      <c r="K213" s="1525"/>
      <c r="L213" s="1526"/>
      <c r="M213" s="586"/>
      <c r="N213" s="586"/>
    </row>
    <row r="214" spans="1:14" s="649" customFormat="1" ht="15.75" customHeight="1" x14ac:dyDescent="0.2">
      <c r="A214" s="1596" t="s">
        <v>873</v>
      </c>
      <c r="B214" s="1588" t="s">
        <v>570</v>
      </c>
      <c r="C214" s="593"/>
      <c r="D214" s="600"/>
      <c r="E214" s="593"/>
      <c r="F214" s="593"/>
      <c r="G214" s="593"/>
      <c r="H214" s="593"/>
      <c r="I214" s="593"/>
      <c r="J214" s="593"/>
      <c r="K214" s="600"/>
      <c r="L214" s="600"/>
      <c r="M214" s="640"/>
      <c r="N214" s="640"/>
    </row>
    <row r="215" spans="1:14" x14ac:dyDescent="0.2">
      <c r="A215" s="1477" t="s">
        <v>961</v>
      </c>
      <c r="B215" s="591">
        <v>1100</v>
      </c>
      <c r="C215" s="593"/>
      <c r="D215" s="1928">
        <v>562634</v>
      </c>
      <c r="E215" s="593"/>
      <c r="F215" s="593"/>
      <c r="G215" s="593"/>
      <c r="H215" s="593"/>
      <c r="I215" s="593"/>
      <c r="J215" s="593"/>
      <c r="K215" s="1644">
        <f>D215</f>
        <v>562634</v>
      </c>
      <c r="L215" s="1950">
        <v>618173</v>
      </c>
    </row>
    <row r="216" spans="1:14" x14ac:dyDescent="0.2">
      <c r="A216" s="1477" t="s">
        <v>163</v>
      </c>
      <c r="B216" s="591" t="s">
        <v>967</v>
      </c>
      <c r="C216" s="593"/>
      <c r="D216" s="1929">
        <v>76274</v>
      </c>
      <c r="E216" s="593"/>
      <c r="F216" s="593"/>
      <c r="G216" s="593"/>
      <c r="H216" s="593"/>
      <c r="I216" s="593"/>
      <c r="J216" s="593"/>
      <c r="K216" s="1644">
        <f t="shared" ref="K216:K228" si="19">D216</f>
        <v>76274</v>
      </c>
      <c r="L216" s="1950">
        <v>79658</v>
      </c>
    </row>
    <row r="217" spans="1:14" x14ac:dyDescent="0.2">
      <c r="A217" s="1477" t="s">
        <v>164</v>
      </c>
      <c r="B217" s="591">
        <v>1200</v>
      </c>
      <c r="C217" s="593"/>
      <c r="D217" s="1928">
        <v>539658</v>
      </c>
      <c r="E217" s="593"/>
      <c r="F217" s="593"/>
      <c r="G217" s="593"/>
      <c r="H217" s="593"/>
      <c r="I217" s="593"/>
      <c r="J217" s="593"/>
      <c r="K217" s="1644">
        <f t="shared" si="19"/>
        <v>539658</v>
      </c>
      <c r="L217" s="1950">
        <v>656166</v>
      </c>
    </row>
    <row r="218" spans="1:14" x14ac:dyDescent="0.2">
      <c r="A218" s="1477" t="s">
        <v>278</v>
      </c>
      <c r="B218" s="591" t="s">
        <v>968</v>
      </c>
      <c r="C218" s="593"/>
      <c r="D218" s="1929">
        <v>50459</v>
      </c>
      <c r="E218" s="593"/>
      <c r="F218" s="593"/>
      <c r="G218" s="593"/>
      <c r="H218" s="593"/>
      <c r="I218" s="593"/>
      <c r="J218" s="593"/>
      <c r="K218" s="1644">
        <f t="shared" si="19"/>
        <v>50459</v>
      </c>
      <c r="L218" s="1950">
        <v>69700</v>
      </c>
    </row>
    <row r="219" spans="1:14" x14ac:dyDescent="0.2">
      <c r="A219" s="1477" t="s">
        <v>279</v>
      </c>
      <c r="B219" s="591">
        <v>1250</v>
      </c>
      <c r="C219" s="593"/>
      <c r="D219" s="1928">
        <v>13072</v>
      </c>
      <c r="E219" s="593"/>
      <c r="F219" s="593"/>
      <c r="G219" s="593"/>
      <c r="H219" s="593"/>
      <c r="I219" s="593"/>
      <c r="J219" s="593"/>
      <c r="K219" s="1644">
        <f t="shared" si="19"/>
        <v>13072</v>
      </c>
      <c r="L219" s="1950">
        <v>21503</v>
      </c>
    </row>
    <row r="220" spans="1:14" x14ac:dyDescent="0.2">
      <c r="A220" s="1477" t="s">
        <v>280</v>
      </c>
      <c r="B220" s="591" t="s">
        <v>161</v>
      </c>
      <c r="C220" s="593"/>
      <c r="D220" s="1929">
        <v>0</v>
      </c>
      <c r="E220" s="593"/>
      <c r="F220" s="593"/>
      <c r="G220" s="593"/>
      <c r="H220" s="593"/>
      <c r="I220" s="593"/>
      <c r="J220" s="593"/>
      <c r="K220" s="1644">
        <f t="shared" si="19"/>
        <v>0</v>
      </c>
      <c r="L220" s="1950">
        <v>0</v>
      </c>
    </row>
    <row r="221" spans="1:14" x14ac:dyDescent="0.2">
      <c r="A221" s="1477" t="s">
        <v>962</v>
      </c>
      <c r="B221" s="591">
        <v>1300</v>
      </c>
      <c r="C221" s="593"/>
      <c r="D221" s="1928">
        <v>0</v>
      </c>
      <c r="E221" s="593"/>
      <c r="F221" s="593"/>
      <c r="G221" s="593"/>
      <c r="H221" s="593"/>
      <c r="I221" s="593"/>
      <c r="J221" s="593"/>
      <c r="K221" s="1644">
        <f t="shared" si="19"/>
        <v>0</v>
      </c>
      <c r="L221" s="1950">
        <v>0</v>
      </c>
    </row>
    <row r="222" spans="1:14" x14ac:dyDescent="0.2">
      <c r="A222" s="1477" t="s">
        <v>723</v>
      </c>
      <c r="B222" s="591">
        <v>1400</v>
      </c>
      <c r="C222" s="593"/>
      <c r="D222" s="1928">
        <v>0</v>
      </c>
      <c r="E222" s="593"/>
      <c r="F222" s="593"/>
      <c r="G222" s="593"/>
      <c r="H222" s="593"/>
      <c r="I222" s="593"/>
      <c r="J222" s="593"/>
      <c r="K222" s="1644">
        <f t="shared" si="19"/>
        <v>0</v>
      </c>
      <c r="L222" s="1950">
        <v>0</v>
      </c>
    </row>
    <row r="223" spans="1:14" x14ac:dyDescent="0.2">
      <c r="A223" s="1477" t="s">
        <v>963</v>
      </c>
      <c r="B223" s="591">
        <v>1500</v>
      </c>
      <c r="C223" s="593"/>
      <c r="D223" s="1928">
        <v>4756</v>
      </c>
      <c r="E223" s="593"/>
      <c r="F223" s="593"/>
      <c r="G223" s="593"/>
      <c r="H223" s="593"/>
      <c r="I223" s="593"/>
      <c r="J223" s="593"/>
      <c r="K223" s="1644">
        <f t="shared" si="19"/>
        <v>4756</v>
      </c>
      <c r="L223" s="1950">
        <v>4642</v>
      </c>
    </row>
    <row r="224" spans="1:14" x14ac:dyDescent="0.2">
      <c r="A224" s="1477" t="s">
        <v>964</v>
      </c>
      <c r="B224" s="591">
        <v>1600</v>
      </c>
      <c r="C224" s="593"/>
      <c r="D224" s="1928">
        <v>17126</v>
      </c>
      <c r="E224" s="593"/>
      <c r="F224" s="593"/>
      <c r="G224" s="593"/>
      <c r="H224" s="593"/>
      <c r="I224" s="593"/>
      <c r="J224" s="593"/>
      <c r="K224" s="1644">
        <f t="shared" si="19"/>
        <v>17126</v>
      </c>
      <c r="L224" s="1950">
        <v>26708</v>
      </c>
    </row>
    <row r="225" spans="1:12" x14ac:dyDescent="0.2">
      <c r="A225" s="1477" t="s">
        <v>987</v>
      </c>
      <c r="B225" s="591">
        <v>1650</v>
      </c>
      <c r="C225" s="593"/>
      <c r="D225" s="1928">
        <v>2012</v>
      </c>
      <c r="E225" s="593"/>
      <c r="F225" s="593"/>
      <c r="G225" s="593"/>
      <c r="H225" s="593"/>
      <c r="I225" s="593"/>
      <c r="J225" s="593"/>
      <c r="K225" s="1644">
        <f t="shared" si="19"/>
        <v>2012</v>
      </c>
      <c r="L225" s="1950">
        <v>2383</v>
      </c>
    </row>
    <row r="226" spans="1:12" x14ac:dyDescent="0.2">
      <c r="A226" s="1477" t="s">
        <v>724</v>
      </c>
      <c r="B226" s="591" t="s">
        <v>162</v>
      </c>
      <c r="C226" s="593"/>
      <c r="D226" s="1929">
        <v>0</v>
      </c>
      <c r="E226" s="593"/>
      <c r="F226" s="593"/>
      <c r="G226" s="593"/>
      <c r="H226" s="593"/>
      <c r="I226" s="593"/>
      <c r="J226" s="593"/>
      <c r="K226" s="1644">
        <f t="shared" si="19"/>
        <v>0</v>
      </c>
      <c r="L226" s="1950">
        <v>0</v>
      </c>
    </row>
    <row r="227" spans="1:12" x14ac:dyDescent="0.2">
      <c r="A227" s="1477" t="s">
        <v>1087</v>
      </c>
      <c r="B227" s="591">
        <v>1800</v>
      </c>
      <c r="C227" s="593"/>
      <c r="D227" s="1928">
        <v>158626</v>
      </c>
      <c r="E227" s="593"/>
      <c r="F227" s="593"/>
      <c r="G227" s="593"/>
      <c r="H227" s="593"/>
      <c r="I227" s="593"/>
      <c r="J227" s="593"/>
      <c r="K227" s="1644">
        <f t="shared" si="19"/>
        <v>158626</v>
      </c>
      <c r="L227" s="1950">
        <v>177827</v>
      </c>
    </row>
    <row r="228" spans="1:12" x14ac:dyDescent="0.2">
      <c r="A228" s="1477" t="s">
        <v>1088</v>
      </c>
      <c r="B228" s="591">
        <v>1900</v>
      </c>
      <c r="C228" s="593"/>
      <c r="D228" s="1928">
        <v>2009</v>
      </c>
      <c r="E228" s="593"/>
      <c r="F228" s="593"/>
      <c r="G228" s="593"/>
      <c r="H228" s="593"/>
      <c r="I228" s="593"/>
      <c r="J228" s="593"/>
      <c r="K228" s="1644">
        <f t="shared" si="19"/>
        <v>2009</v>
      </c>
      <c r="L228" s="1950">
        <v>2400</v>
      </c>
    </row>
    <row r="229" spans="1:12" ht="12.75" customHeight="1" thickBot="1" x14ac:dyDescent="0.25">
      <c r="A229" s="1641" t="s">
        <v>715</v>
      </c>
      <c r="B229" s="1648" t="s">
        <v>570</v>
      </c>
      <c r="C229" s="593"/>
      <c r="D229" s="1643">
        <f>SUM(D215:D228)</f>
        <v>1426626</v>
      </c>
      <c r="E229" s="593"/>
      <c r="F229" s="593"/>
      <c r="G229" s="593"/>
      <c r="H229" s="593"/>
      <c r="I229" s="593"/>
      <c r="J229" s="593"/>
      <c r="K229" s="1643">
        <f>SUM(K215:K228)</f>
        <v>1426626</v>
      </c>
      <c r="L229" s="1643">
        <f>SUM(L215:L228)</f>
        <v>1659160</v>
      </c>
    </row>
    <row r="230" spans="1:12" ht="15.75" customHeight="1" thickTop="1" x14ac:dyDescent="0.2">
      <c r="A230" s="1585" t="s">
        <v>874</v>
      </c>
      <c r="B230" s="1586" t="s">
        <v>569</v>
      </c>
      <c r="C230" s="593"/>
      <c r="D230" s="593"/>
      <c r="E230" s="593"/>
      <c r="F230" s="593"/>
      <c r="G230" s="593"/>
      <c r="H230" s="593"/>
      <c r="I230" s="593"/>
      <c r="J230" s="593"/>
      <c r="K230" s="593"/>
      <c r="L230" s="593"/>
    </row>
    <row r="231" spans="1:12" ht="15.75" customHeight="1" x14ac:dyDescent="0.2">
      <c r="A231" s="629" t="s">
        <v>591</v>
      </c>
      <c r="B231" s="599"/>
      <c r="C231" s="593"/>
      <c r="D231" s="593"/>
      <c r="E231" s="593"/>
      <c r="F231" s="593"/>
      <c r="G231" s="593"/>
      <c r="H231" s="593"/>
      <c r="I231" s="593"/>
      <c r="J231" s="593"/>
      <c r="K231" s="593"/>
      <c r="L231" s="593"/>
    </row>
    <row r="232" spans="1:12" x14ac:dyDescent="0.2">
      <c r="A232" s="1477" t="s">
        <v>1089</v>
      </c>
      <c r="B232" s="591">
        <v>2110</v>
      </c>
      <c r="C232" s="593"/>
      <c r="D232" s="1928">
        <v>26343</v>
      </c>
      <c r="E232" s="593"/>
      <c r="F232" s="593"/>
      <c r="G232" s="593"/>
      <c r="H232" s="593"/>
      <c r="I232" s="593"/>
      <c r="J232" s="593"/>
      <c r="K232" s="1644">
        <f t="shared" ref="K232:K237" si="20">D232</f>
        <v>26343</v>
      </c>
      <c r="L232" s="1950">
        <v>28009</v>
      </c>
    </row>
    <row r="233" spans="1:12" x14ac:dyDescent="0.2">
      <c r="A233" s="1477" t="s">
        <v>1090</v>
      </c>
      <c r="B233" s="591">
        <v>2120</v>
      </c>
      <c r="C233" s="593"/>
      <c r="D233" s="1928">
        <v>11354</v>
      </c>
      <c r="E233" s="593"/>
      <c r="F233" s="593"/>
      <c r="G233" s="593"/>
      <c r="H233" s="593"/>
      <c r="I233" s="593"/>
      <c r="J233" s="593"/>
      <c r="K233" s="1644">
        <f t="shared" si="20"/>
        <v>11354</v>
      </c>
      <c r="L233" s="1950">
        <v>11815</v>
      </c>
    </row>
    <row r="234" spans="1:12" x14ac:dyDescent="0.2">
      <c r="A234" s="1477" t="s">
        <v>198</v>
      </c>
      <c r="B234" s="591">
        <v>2130</v>
      </c>
      <c r="C234" s="593"/>
      <c r="D234" s="1928">
        <v>153745</v>
      </c>
      <c r="E234" s="593"/>
      <c r="F234" s="593"/>
      <c r="G234" s="593"/>
      <c r="H234" s="593"/>
      <c r="I234" s="593"/>
      <c r="J234" s="593"/>
      <c r="K234" s="1644">
        <f t="shared" si="20"/>
        <v>153745</v>
      </c>
      <c r="L234" s="1950">
        <v>187921</v>
      </c>
    </row>
    <row r="235" spans="1:12" x14ac:dyDescent="0.2">
      <c r="A235" s="1477" t="s">
        <v>199</v>
      </c>
      <c r="B235" s="591">
        <v>2140</v>
      </c>
      <c r="C235" s="593"/>
      <c r="D235" s="1928">
        <v>9341</v>
      </c>
      <c r="E235" s="593"/>
      <c r="F235" s="593"/>
      <c r="G235" s="593"/>
      <c r="H235" s="593"/>
      <c r="I235" s="593"/>
      <c r="J235" s="593"/>
      <c r="K235" s="1644">
        <f t="shared" si="20"/>
        <v>9341</v>
      </c>
      <c r="L235" s="1950">
        <v>10076</v>
      </c>
    </row>
    <row r="236" spans="1:12" x14ac:dyDescent="0.2">
      <c r="A236" s="1477" t="s">
        <v>200</v>
      </c>
      <c r="B236" s="591">
        <v>2150</v>
      </c>
      <c r="C236" s="593"/>
      <c r="D236" s="1928">
        <v>5432</v>
      </c>
      <c r="E236" s="593"/>
      <c r="F236" s="593"/>
      <c r="G236" s="593"/>
      <c r="H236" s="593"/>
      <c r="I236" s="593"/>
      <c r="J236" s="593"/>
      <c r="K236" s="1644">
        <f t="shared" si="20"/>
        <v>5432</v>
      </c>
      <c r="L236" s="1950">
        <v>14201</v>
      </c>
    </row>
    <row r="237" spans="1:12" x14ac:dyDescent="0.2">
      <c r="A237" s="1477" t="s">
        <v>165</v>
      </c>
      <c r="B237" s="591">
        <v>2190</v>
      </c>
      <c r="C237" s="593"/>
      <c r="D237" s="1928">
        <v>95875</v>
      </c>
      <c r="E237" s="593"/>
      <c r="F237" s="593"/>
      <c r="G237" s="593"/>
      <c r="H237" s="593"/>
      <c r="I237" s="593"/>
      <c r="J237" s="593"/>
      <c r="K237" s="1644">
        <f t="shared" si="20"/>
        <v>95875</v>
      </c>
      <c r="L237" s="1950">
        <v>100029</v>
      </c>
    </row>
    <row r="238" spans="1:12" ht="12.75" customHeight="1" thickBot="1" x14ac:dyDescent="0.25">
      <c r="A238" s="1641" t="s">
        <v>560</v>
      </c>
      <c r="B238" s="1648" t="s">
        <v>716</v>
      </c>
      <c r="C238" s="593"/>
      <c r="D238" s="1643">
        <f>SUM(D232:D237)</f>
        <v>302090</v>
      </c>
      <c r="E238" s="593"/>
      <c r="F238" s="593"/>
      <c r="G238" s="593"/>
      <c r="H238" s="593"/>
      <c r="I238" s="593"/>
      <c r="J238" s="593"/>
      <c r="K238" s="1643">
        <f>SUM(K232:K237)</f>
        <v>302090</v>
      </c>
      <c r="L238" s="1643">
        <f>SUM(L232:L237)</f>
        <v>352051</v>
      </c>
    </row>
    <row r="239" spans="1:12" ht="15.75" customHeight="1" thickTop="1" x14ac:dyDescent="0.2">
      <c r="A239" s="601" t="s">
        <v>592</v>
      </c>
      <c r="B239" s="608"/>
      <c r="C239" s="593"/>
      <c r="D239" s="603"/>
      <c r="E239" s="593"/>
      <c r="F239" s="593"/>
      <c r="G239" s="593"/>
      <c r="H239" s="593"/>
      <c r="I239" s="593"/>
      <c r="J239" s="593"/>
      <c r="K239" s="603"/>
      <c r="L239" s="603"/>
    </row>
    <row r="240" spans="1:12" x14ac:dyDescent="0.2">
      <c r="A240" s="1477" t="s">
        <v>814</v>
      </c>
      <c r="B240" s="591">
        <v>2210</v>
      </c>
      <c r="C240" s="593"/>
      <c r="D240" s="477">
        <v>74406</v>
      </c>
      <c r="E240" s="593"/>
      <c r="F240" s="593"/>
      <c r="G240" s="593"/>
      <c r="H240" s="593"/>
      <c r="I240" s="593"/>
      <c r="J240" s="593"/>
      <c r="K240" s="1645">
        <f>D240</f>
        <v>74406</v>
      </c>
      <c r="L240" s="477">
        <v>82623</v>
      </c>
    </row>
    <row r="241" spans="1:12" x14ac:dyDescent="0.2">
      <c r="A241" s="1477" t="s">
        <v>815</v>
      </c>
      <c r="B241" s="591">
        <v>2220</v>
      </c>
      <c r="C241" s="593"/>
      <c r="D241" s="1928">
        <v>136588</v>
      </c>
      <c r="E241" s="593"/>
      <c r="F241" s="593"/>
      <c r="G241" s="593"/>
      <c r="H241" s="593"/>
      <c r="I241" s="593"/>
      <c r="J241" s="593"/>
      <c r="K241" s="1645">
        <f>D241</f>
        <v>136588</v>
      </c>
      <c r="L241" s="1950">
        <v>135501</v>
      </c>
    </row>
    <row r="242" spans="1:12" x14ac:dyDescent="0.2">
      <c r="A242" s="1477" t="s">
        <v>816</v>
      </c>
      <c r="B242" s="591">
        <v>2230</v>
      </c>
      <c r="C242" s="593"/>
      <c r="D242" s="1928">
        <v>49445</v>
      </c>
      <c r="E242" s="593"/>
      <c r="F242" s="593"/>
      <c r="G242" s="593"/>
      <c r="H242" s="593"/>
      <c r="I242" s="593"/>
      <c r="J242" s="593"/>
      <c r="K242" s="1645">
        <f>D242</f>
        <v>49445</v>
      </c>
      <c r="L242" s="1950">
        <v>48785</v>
      </c>
    </row>
    <row r="243" spans="1:12" ht="12.75" customHeight="1" thickBot="1" x14ac:dyDescent="0.25">
      <c r="A243" s="1667" t="s">
        <v>561</v>
      </c>
      <c r="B243" s="1668">
        <v>2200</v>
      </c>
      <c r="C243" s="593"/>
      <c r="D243" s="1643">
        <f>SUM(D240:D242)</f>
        <v>260439</v>
      </c>
      <c r="E243" s="593"/>
      <c r="F243" s="593"/>
      <c r="G243" s="593"/>
      <c r="H243" s="593"/>
      <c r="I243" s="593"/>
      <c r="J243" s="593"/>
      <c r="K243" s="1643">
        <f>SUM(K240:K242)</f>
        <v>260439</v>
      </c>
      <c r="L243" s="1643">
        <f>SUM(L240:L242)</f>
        <v>266909</v>
      </c>
    </row>
    <row r="244" spans="1:12" ht="15.75" customHeight="1" thickTop="1" x14ac:dyDescent="0.2">
      <c r="A244" s="601" t="s">
        <v>610</v>
      </c>
      <c r="B244" s="657"/>
      <c r="C244" s="593"/>
      <c r="D244" s="603"/>
      <c r="E244" s="593"/>
      <c r="F244" s="593"/>
      <c r="G244" s="593"/>
      <c r="H244" s="593"/>
      <c r="I244" s="593"/>
      <c r="J244" s="593"/>
      <c r="K244" s="603"/>
      <c r="L244" s="603"/>
    </row>
    <row r="245" spans="1:12" x14ac:dyDescent="0.2">
      <c r="A245" s="1477" t="s">
        <v>817</v>
      </c>
      <c r="B245" s="591">
        <v>2310</v>
      </c>
      <c r="C245" s="593"/>
      <c r="D245" s="477">
        <v>20259</v>
      </c>
      <c r="E245" s="593"/>
      <c r="F245" s="593"/>
      <c r="G245" s="593"/>
      <c r="H245" s="593"/>
      <c r="I245" s="593"/>
      <c r="J245" s="593"/>
      <c r="K245" s="1645">
        <f>D245</f>
        <v>20259</v>
      </c>
      <c r="L245" s="477">
        <v>20857</v>
      </c>
    </row>
    <row r="246" spans="1:12" x14ac:dyDescent="0.2">
      <c r="A246" s="1477" t="s">
        <v>818</v>
      </c>
      <c r="B246" s="591">
        <v>2320</v>
      </c>
      <c r="C246" s="593"/>
      <c r="D246" s="1928">
        <v>49349</v>
      </c>
      <c r="E246" s="593"/>
      <c r="F246" s="593"/>
      <c r="G246" s="593"/>
      <c r="H246" s="593"/>
      <c r="I246" s="593"/>
      <c r="J246" s="593"/>
      <c r="K246" s="1645">
        <f t="shared" ref="K246:K256" si="21">D246</f>
        <v>49349</v>
      </c>
      <c r="L246" s="1950">
        <v>51428</v>
      </c>
    </row>
    <row r="247" spans="1:12" x14ac:dyDescent="0.2">
      <c r="A247" s="1477" t="s">
        <v>819</v>
      </c>
      <c r="B247" s="591">
        <v>2330</v>
      </c>
      <c r="C247" s="593"/>
      <c r="D247" s="1928">
        <v>62052</v>
      </c>
      <c r="E247" s="593"/>
      <c r="F247" s="593"/>
      <c r="G247" s="593"/>
      <c r="H247" s="593"/>
      <c r="I247" s="593"/>
      <c r="J247" s="593"/>
      <c r="K247" s="1645">
        <f t="shared" si="21"/>
        <v>62052</v>
      </c>
      <c r="L247" s="1950">
        <v>64332</v>
      </c>
    </row>
    <row r="248" spans="1:12" x14ac:dyDescent="0.2">
      <c r="A248" s="1478" t="s">
        <v>299</v>
      </c>
      <c r="B248" s="579" t="s">
        <v>281</v>
      </c>
      <c r="C248" s="593"/>
      <c r="D248" s="1931">
        <v>0</v>
      </c>
      <c r="E248" s="593"/>
      <c r="F248" s="593"/>
      <c r="G248" s="593"/>
      <c r="H248" s="593"/>
      <c r="I248" s="593"/>
      <c r="J248" s="593"/>
      <c r="K248" s="1645">
        <f t="shared" si="21"/>
        <v>0</v>
      </c>
      <c r="L248" s="1950">
        <v>0</v>
      </c>
    </row>
    <row r="249" spans="1:12" x14ac:dyDescent="0.2">
      <c r="A249" s="1479" t="s">
        <v>1767</v>
      </c>
      <c r="B249" s="658" t="s">
        <v>282</v>
      </c>
      <c r="C249" s="593"/>
      <c r="D249" s="1931">
        <v>0</v>
      </c>
      <c r="E249" s="593"/>
      <c r="F249" s="593"/>
      <c r="G249" s="593"/>
      <c r="H249" s="593"/>
      <c r="I249" s="593"/>
      <c r="J249" s="593"/>
      <c r="K249" s="1645">
        <f t="shared" si="21"/>
        <v>0</v>
      </c>
      <c r="L249" s="1950">
        <v>0</v>
      </c>
    </row>
    <row r="250" spans="1:12" x14ac:dyDescent="0.2">
      <c r="A250" s="1478" t="s">
        <v>1768</v>
      </c>
      <c r="B250" s="579" t="s">
        <v>283</v>
      </c>
      <c r="C250" s="593"/>
      <c r="D250" s="1931">
        <v>0</v>
      </c>
      <c r="E250" s="593"/>
      <c r="F250" s="593"/>
      <c r="G250" s="593"/>
      <c r="H250" s="593"/>
      <c r="I250" s="593"/>
      <c r="J250" s="593"/>
      <c r="K250" s="1645">
        <f t="shared" si="21"/>
        <v>0</v>
      </c>
      <c r="L250" s="1950">
        <v>0</v>
      </c>
    </row>
    <row r="251" spans="1:12" x14ac:dyDescent="0.2">
      <c r="A251" s="1478" t="s">
        <v>238</v>
      </c>
      <c r="B251" s="579" t="s">
        <v>284</v>
      </c>
      <c r="C251" s="593"/>
      <c r="D251" s="1931">
        <v>0</v>
      </c>
      <c r="E251" s="593"/>
      <c r="F251" s="593"/>
      <c r="G251" s="593"/>
      <c r="H251" s="593"/>
      <c r="I251" s="593"/>
      <c r="J251" s="593"/>
      <c r="K251" s="1645">
        <f t="shared" si="21"/>
        <v>0</v>
      </c>
      <c r="L251" s="1950">
        <v>0</v>
      </c>
    </row>
    <row r="252" spans="1:12" x14ac:dyDescent="0.2">
      <c r="A252" s="1478" t="s">
        <v>702</v>
      </c>
      <c r="B252" s="579" t="s">
        <v>285</v>
      </c>
      <c r="C252" s="593"/>
      <c r="D252" s="1931">
        <v>0</v>
      </c>
      <c r="E252" s="593"/>
      <c r="F252" s="593"/>
      <c r="G252" s="593"/>
      <c r="H252" s="593"/>
      <c r="I252" s="593"/>
      <c r="J252" s="593"/>
      <c r="K252" s="1645">
        <f t="shared" si="21"/>
        <v>0</v>
      </c>
      <c r="L252" s="1950">
        <v>0</v>
      </c>
    </row>
    <row r="253" spans="1:12" x14ac:dyDescent="0.2">
      <c r="A253" s="1478" t="s">
        <v>239</v>
      </c>
      <c r="B253" s="579" t="s">
        <v>286</v>
      </c>
      <c r="C253" s="593"/>
      <c r="D253" s="1931">
        <v>0</v>
      </c>
      <c r="E253" s="593"/>
      <c r="F253" s="593"/>
      <c r="G253" s="593"/>
      <c r="H253" s="593"/>
      <c r="I253" s="593"/>
      <c r="J253" s="593"/>
      <c r="K253" s="1645">
        <f t="shared" si="21"/>
        <v>0</v>
      </c>
      <c r="L253" s="1950">
        <v>0</v>
      </c>
    </row>
    <row r="254" spans="1:12" ht="22.5" x14ac:dyDescent="0.2">
      <c r="A254" s="1478" t="s">
        <v>1029</v>
      </c>
      <c r="B254" s="658" t="s">
        <v>287</v>
      </c>
      <c r="C254" s="593"/>
      <c r="D254" s="1931">
        <v>0</v>
      </c>
      <c r="E254" s="593"/>
      <c r="F254" s="593"/>
      <c r="G254" s="593"/>
      <c r="H254" s="593"/>
      <c r="I254" s="593"/>
      <c r="J254" s="593"/>
      <c r="K254" s="1645">
        <f t="shared" si="21"/>
        <v>0</v>
      </c>
      <c r="L254" s="1950">
        <v>0</v>
      </c>
    </row>
    <row r="255" spans="1:12" x14ac:dyDescent="0.2">
      <c r="A255" s="1478" t="s">
        <v>1030</v>
      </c>
      <c r="B255" s="579" t="s">
        <v>288</v>
      </c>
      <c r="C255" s="593"/>
      <c r="D255" s="1931">
        <v>0</v>
      </c>
      <c r="E255" s="593"/>
      <c r="F255" s="593"/>
      <c r="G255" s="593"/>
      <c r="H255" s="593"/>
      <c r="I255" s="593"/>
      <c r="J255" s="593"/>
      <c r="K255" s="1645">
        <f t="shared" si="21"/>
        <v>0</v>
      </c>
      <c r="L255" s="1950">
        <v>0</v>
      </c>
    </row>
    <row r="256" spans="1:12" x14ac:dyDescent="0.2">
      <c r="A256" s="1478" t="s">
        <v>971</v>
      </c>
      <c r="B256" s="591" t="s">
        <v>289</v>
      </c>
      <c r="C256" s="593"/>
      <c r="D256" s="1931">
        <v>0</v>
      </c>
      <c r="E256" s="593"/>
      <c r="F256" s="593"/>
      <c r="G256" s="593"/>
      <c r="H256" s="593"/>
      <c r="I256" s="593"/>
      <c r="J256" s="593"/>
      <c r="K256" s="1645">
        <f t="shared" si="21"/>
        <v>0</v>
      </c>
      <c r="L256" s="1950">
        <v>0</v>
      </c>
    </row>
    <row r="257" spans="1:14" ht="12.75" customHeight="1" thickBot="1" x14ac:dyDescent="0.25">
      <c r="A257" s="1641" t="s">
        <v>717</v>
      </c>
      <c r="B257" s="1669">
        <v>2300</v>
      </c>
      <c r="C257" s="593"/>
      <c r="D257" s="1643">
        <f>SUM(D245:D256)</f>
        <v>131660</v>
      </c>
      <c r="E257" s="593"/>
      <c r="F257" s="593"/>
      <c r="G257" s="593"/>
      <c r="H257" s="593"/>
      <c r="I257" s="593"/>
      <c r="J257" s="593"/>
      <c r="K257" s="1643">
        <f>SUM(K245:K256)</f>
        <v>131660</v>
      </c>
      <c r="L257" s="1643">
        <f>SUM(L245:L256)</f>
        <v>136617</v>
      </c>
    </row>
    <row r="258" spans="1:14" ht="15.75" customHeight="1" thickTop="1" x14ac:dyDescent="0.2">
      <c r="A258" s="601" t="s">
        <v>611</v>
      </c>
      <c r="B258" s="659"/>
      <c r="C258" s="593"/>
      <c r="D258" s="603"/>
      <c r="E258" s="593"/>
      <c r="F258" s="593"/>
      <c r="G258" s="593"/>
      <c r="H258" s="593"/>
      <c r="I258" s="593"/>
      <c r="J258" s="593"/>
      <c r="K258" s="603"/>
      <c r="L258" s="603"/>
    </row>
    <row r="259" spans="1:14" x14ac:dyDescent="0.2">
      <c r="A259" s="1477" t="s">
        <v>1067</v>
      </c>
      <c r="B259" s="660">
        <v>2410</v>
      </c>
      <c r="C259" s="593"/>
      <c r="D259" s="477">
        <v>410600</v>
      </c>
      <c r="E259" s="593"/>
      <c r="F259" s="593"/>
      <c r="G259" s="593"/>
      <c r="H259" s="593"/>
      <c r="I259" s="593"/>
      <c r="J259" s="593"/>
      <c r="K259" s="1645">
        <f>D259</f>
        <v>410600</v>
      </c>
      <c r="L259" s="477">
        <v>445355</v>
      </c>
    </row>
    <row r="260" spans="1:14" s="574" customFormat="1" x14ac:dyDescent="0.2">
      <c r="A260" s="1495" t="s">
        <v>1766</v>
      </c>
      <c r="B260" s="605">
        <v>2490</v>
      </c>
      <c r="C260" s="593"/>
      <c r="D260" s="1928">
        <v>0</v>
      </c>
      <c r="E260" s="593"/>
      <c r="F260" s="593"/>
      <c r="G260" s="593"/>
      <c r="H260" s="593"/>
      <c r="I260" s="593"/>
      <c r="J260" s="593"/>
      <c r="K260" s="1645">
        <f>D260</f>
        <v>0</v>
      </c>
      <c r="L260" s="1950">
        <v>0</v>
      </c>
      <c r="M260" s="210"/>
      <c r="N260" s="210"/>
    </row>
    <row r="261" spans="1:14" ht="12.75" customHeight="1" thickBot="1" x14ac:dyDescent="0.25">
      <c r="A261" s="1665" t="s">
        <v>263</v>
      </c>
      <c r="B261" s="1670" t="s">
        <v>34</v>
      </c>
      <c r="C261" s="593"/>
      <c r="D261" s="1643">
        <f>SUM(D259:D260)</f>
        <v>410600</v>
      </c>
      <c r="E261" s="593"/>
      <c r="F261" s="593"/>
      <c r="G261" s="593"/>
      <c r="H261" s="593"/>
      <c r="I261" s="593"/>
      <c r="J261" s="593"/>
      <c r="K261" s="1643">
        <f>SUM(K259:K260)</f>
        <v>410600</v>
      </c>
      <c r="L261" s="1643">
        <f>SUM(L259:L260)</f>
        <v>445355</v>
      </c>
    </row>
    <row r="262" spans="1:14" ht="15.75" customHeight="1" thickTop="1" x14ac:dyDescent="0.2">
      <c r="A262" s="601" t="s">
        <v>612</v>
      </c>
      <c r="B262" s="659"/>
      <c r="C262" s="593"/>
      <c r="D262" s="593"/>
      <c r="E262" s="593"/>
      <c r="F262" s="593"/>
      <c r="G262" s="593"/>
      <c r="H262" s="593"/>
      <c r="I262" s="593"/>
      <c r="J262" s="593"/>
      <c r="K262" s="603"/>
      <c r="L262" s="603"/>
    </row>
    <row r="263" spans="1:14" x14ac:dyDescent="0.2">
      <c r="A263" s="1477" t="s">
        <v>1068</v>
      </c>
      <c r="B263" s="660">
        <v>2510</v>
      </c>
      <c r="C263" s="593"/>
      <c r="D263" s="1928">
        <v>35384</v>
      </c>
      <c r="E263" s="593"/>
      <c r="F263" s="593"/>
      <c r="G263" s="593"/>
      <c r="H263" s="593"/>
      <c r="I263" s="593"/>
      <c r="J263" s="593"/>
      <c r="K263" s="1645">
        <f>D263</f>
        <v>35384</v>
      </c>
      <c r="L263" s="477">
        <v>25544</v>
      </c>
    </row>
    <row r="264" spans="1:14" x14ac:dyDescent="0.2">
      <c r="A264" s="1477" t="s">
        <v>463</v>
      </c>
      <c r="B264" s="660">
        <v>2520</v>
      </c>
      <c r="C264" s="593"/>
      <c r="D264" s="1928">
        <v>60165</v>
      </c>
      <c r="E264" s="593"/>
      <c r="F264" s="593"/>
      <c r="G264" s="593"/>
      <c r="H264" s="593"/>
      <c r="I264" s="593"/>
      <c r="J264" s="593"/>
      <c r="K264" s="1645">
        <f t="shared" ref="K264:K269" si="22">D264</f>
        <v>60165</v>
      </c>
      <c r="L264" s="1950">
        <v>77002</v>
      </c>
    </row>
    <row r="265" spans="1:14" x14ac:dyDescent="0.2">
      <c r="A265" s="1477" t="s">
        <v>4</v>
      </c>
      <c r="B265" s="591">
        <v>2530</v>
      </c>
      <c r="C265" s="593"/>
      <c r="D265" s="1928">
        <v>0</v>
      </c>
      <c r="E265" s="593"/>
      <c r="F265" s="593"/>
      <c r="G265" s="593"/>
      <c r="H265" s="593"/>
      <c r="I265" s="593"/>
      <c r="J265" s="593"/>
      <c r="K265" s="1645">
        <f t="shared" si="22"/>
        <v>0</v>
      </c>
      <c r="L265" s="1950">
        <v>0</v>
      </c>
    </row>
    <row r="266" spans="1:14" x14ac:dyDescent="0.2">
      <c r="A266" s="1477" t="s">
        <v>197</v>
      </c>
      <c r="B266" s="591">
        <v>2540</v>
      </c>
      <c r="C266" s="593"/>
      <c r="D266" s="1928">
        <v>971236</v>
      </c>
      <c r="E266" s="593"/>
      <c r="F266" s="593"/>
      <c r="G266" s="593"/>
      <c r="H266" s="593"/>
      <c r="I266" s="593"/>
      <c r="J266" s="593"/>
      <c r="K266" s="1645">
        <f t="shared" si="22"/>
        <v>971236</v>
      </c>
      <c r="L266" s="1950">
        <v>987078</v>
      </c>
    </row>
    <row r="267" spans="1:14" x14ac:dyDescent="0.2">
      <c r="A267" s="1477" t="s">
        <v>953</v>
      </c>
      <c r="B267" s="591">
        <v>2550</v>
      </c>
      <c r="C267" s="593"/>
      <c r="D267" s="1928">
        <v>340739</v>
      </c>
      <c r="E267" s="593"/>
      <c r="F267" s="593"/>
      <c r="G267" s="593"/>
      <c r="H267" s="593"/>
      <c r="I267" s="593"/>
      <c r="J267" s="593"/>
      <c r="K267" s="1645">
        <f t="shared" si="22"/>
        <v>340739</v>
      </c>
      <c r="L267" s="1950">
        <v>355807</v>
      </c>
    </row>
    <row r="268" spans="1:14" x14ac:dyDescent="0.2">
      <c r="A268" s="1477" t="s">
        <v>100</v>
      </c>
      <c r="B268" s="591">
        <v>2560</v>
      </c>
      <c r="C268" s="593"/>
      <c r="D268" s="1928">
        <v>167805</v>
      </c>
      <c r="E268" s="593"/>
      <c r="F268" s="593"/>
      <c r="G268" s="593"/>
      <c r="H268" s="593"/>
      <c r="I268" s="593"/>
      <c r="J268" s="593"/>
      <c r="K268" s="1645">
        <f t="shared" si="22"/>
        <v>167805</v>
      </c>
      <c r="L268" s="1950">
        <v>213112</v>
      </c>
    </row>
    <row r="269" spans="1:14" x14ac:dyDescent="0.2">
      <c r="A269" s="1477" t="s">
        <v>101</v>
      </c>
      <c r="B269" s="591">
        <v>2570</v>
      </c>
      <c r="C269" s="593"/>
      <c r="D269" s="1928">
        <v>0</v>
      </c>
      <c r="E269" s="593"/>
      <c r="F269" s="593"/>
      <c r="G269" s="593"/>
      <c r="H269" s="593"/>
      <c r="I269" s="593"/>
      <c r="J269" s="593"/>
      <c r="K269" s="1645">
        <f t="shared" si="22"/>
        <v>0</v>
      </c>
      <c r="L269" s="1950">
        <v>0</v>
      </c>
    </row>
    <row r="270" spans="1:14" ht="12.75" customHeight="1" thickBot="1" x14ac:dyDescent="0.25">
      <c r="A270" s="1641" t="s">
        <v>719</v>
      </c>
      <c r="B270" s="1648" t="s">
        <v>35</v>
      </c>
      <c r="C270" s="593"/>
      <c r="D270" s="1643">
        <f>SUM(D263:D269)</f>
        <v>1575329</v>
      </c>
      <c r="E270" s="593"/>
      <c r="F270" s="593"/>
      <c r="G270" s="593"/>
      <c r="H270" s="593"/>
      <c r="I270" s="593"/>
      <c r="J270" s="593"/>
      <c r="K270" s="1643">
        <f>SUM(K263:K269)</f>
        <v>1575329</v>
      </c>
      <c r="L270" s="1643">
        <f>SUM(L263:L269)</f>
        <v>1658543</v>
      </c>
    </row>
    <row r="271" spans="1:14" ht="15.75" customHeight="1" thickTop="1" x14ac:dyDescent="0.2">
      <c r="A271" s="644" t="s">
        <v>613</v>
      </c>
      <c r="B271" s="602"/>
      <c r="C271" s="593"/>
      <c r="D271" s="603"/>
      <c r="E271" s="593"/>
      <c r="F271" s="593"/>
      <c r="G271" s="593"/>
      <c r="H271" s="593"/>
      <c r="I271" s="593"/>
      <c r="J271" s="593"/>
      <c r="K271" s="603"/>
      <c r="L271" s="603"/>
    </row>
    <row r="272" spans="1:14" x14ac:dyDescent="0.2">
      <c r="A272" s="1477" t="s">
        <v>1060</v>
      </c>
      <c r="B272" s="591">
        <v>2610</v>
      </c>
      <c r="C272" s="593"/>
      <c r="D272" s="477">
        <v>0</v>
      </c>
      <c r="E272" s="593"/>
      <c r="F272" s="593"/>
      <c r="G272" s="593"/>
      <c r="H272" s="593"/>
      <c r="I272" s="593"/>
      <c r="J272" s="593"/>
      <c r="K272" s="1645">
        <f>D272</f>
        <v>0</v>
      </c>
      <c r="L272" s="477">
        <v>0</v>
      </c>
    </row>
    <row r="273" spans="1:12" x14ac:dyDescent="0.2">
      <c r="A273" s="1477" t="s">
        <v>607</v>
      </c>
      <c r="B273" s="605">
        <v>2620</v>
      </c>
      <c r="C273" s="593"/>
      <c r="D273" s="1928">
        <v>0</v>
      </c>
      <c r="E273" s="593"/>
      <c r="F273" s="593"/>
      <c r="G273" s="593"/>
      <c r="H273" s="593"/>
      <c r="I273" s="593"/>
      <c r="J273" s="593"/>
      <c r="K273" s="1645">
        <f>D273</f>
        <v>0</v>
      </c>
      <c r="L273" s="1950">
        <v>0</v>
      </c>
    </row>
    <row r="274" spans="1:12" ht="12" customHeight="1" x14ac:dyDescent="0.2">
      <c r="A274" s="1477" t="s">
        <v>1061</v>
      </c>
      <c r="B274" s="591">
        <v>2630</v>
      </c>
      <c r="C274" s="593"/>
      <c r="D274" s="1928">
        <v>0</v>
      </c>
      <c r="E274" s="593"/>
      <c r="F274" s="593"/>
      <c r="G274" s="593"/>
      <c r="H274" s="593"/>
      <c r="I274" s="593"/>
      <c r="J274" s="593"/>
      <c r="K274" s="1645">
        <f>D274</f>
        <v>0</v>
      </c>
      <c r="L274" s="1950">
        <v>0</v>
      </c>
    </row>
    <row r="275" spans="1:12" x14ac:dyDescent="0.2">
      <c r="A275" s="1477" t="s">
        <v>403</v>
      </c>
      <c r="B275" s="591">
        <v>2640</v>
      </c>
      <c r="C275" s="593"/>
      <c r="D275" s="1928">
        <v>66363</v>
      </c>
      <c r="E275" s="593"/>
      <c r="F275" s="593"/>
      <c r="G275" s="593"/>
      <c r="H275" s="593"/>
      <c r="I275" s="593"/>
      <c r="J275" s="593"/>
      <c r="K275" s="1645">
        <f>D275</f>
        <v>66363</v>
      </c>
      <c r="L275" s="1950">
        <v>65000</v>
      </c>
    </row>
    <row r="276" spans="1:12" x14ac:dyDescent="0.2">
      <c r="A276" s="1477" t="s">
        <v>404</v>
      </c>
      <c r="B276" s="591">
        <v>2660</v>
      </c>
      <c r="C276" s="593"/>
      <c r="D276" s="1928">
        <v>4252</v>
      </c>
      <c r="E276" s="593"/>
      <c r="F276" s="593"/>
      <c r="G276" s="593"/>
      <c r="H276" s="593"/>
      <c r="I276" s="593"/>
      <c r="J276" s="593"/>
      <c r="K276" s="1645">
        <f>D276</f>
        <v>4252</v>
      </c>
      <c r="L276" s="1950">
        <v>4260</v>
      </c>
    </row>
    <row r="277" spans="1:12" ht="12.75" customHeight="1" thickBot="1" x14ac:dyDescent="0.25">
      <c r="A277" s="1664" t="s">
        <v>37</v>
      </c>
      <c r="B277" s="1642" t="s">
        <v>36</v>
      </c>
      <c r="C277" s="593"/>
      <c r="D277" s="1643">
        <f>SUM(D272:D276)</f>
        <v>70615</v>
      </c>
      <c r="E277" s="593"/>
      <c r="F277" s="593"/>
      <c r="G277" s="593"/>
      <c r="H277" s="593"/>
      <c r="I277" s="593"/>
      <c r="J277" s="593"/>
      <c r="K277" s="1643">
        <f>SUM(K272:K276)</f>
        <v>70615</v>
      </c>
      <c r="L277" s="1643">
        <f>SUM(L272:L276)</f>
        <v>69260</v>
      </c>
    </row>
    <row r="278" spans="1:12" ht="13.5" customHeight="1" thickTop="1" x14ac:dyDescent="0.2">
      <c r="A278" s="1483" t="s">
        <v>980</v>
      </c>
      <c r="B278" s="631" t="s">
        <v>574</v>
      </c>
      <c r="C278" s="593"/>
      <c r="D278" s="1944">
        <v>9</v>
      </c>
      <c r="E278" s="593"/>
      <c r="F278" s="593"/>
      <c r="G278" s="593"/>
      <c r="H278" s="593"/>
      <c r="I278" s="593"/>
      <c r="J278" s="593"/>
      <c r="K278" s="1658">
        <f>D278</f>
        <v>9</v>
      </c>
      <c r="L278" s="1964">
        <v>9</v>
      </c>
    </row>
    <row r="279" spans="1:12" ht="12.75" customHeight="1" thickBot="1" x14ac:dyDescent="0.25">
      <c r="A279" s="1671" t="s">
        <v>811</v>
      </c>
      <c r="B279" s="1654">
        <v>2000</v>
      </c>
      <c r="C279" s="593"/>
      <c r="D279" s="1650">
        <f>SUM(D238,D243,D257,D261,D270,D277,D278)</f>
        <v>2750742</v>
      </c>
      <c r="E279" s="593"/>
      <c r="F279" s="593"/>
      <c r="G279" s="593"/>
      <c r="H279" s="593"/>
      <c r="I279" s="593"/>
      <c r="J279" s="593"/>
      <c r="K279" s="1650">
        <f>SUM(K238,K243,K257,K261,K270,K277,K278)</f>
        <v>2750742</v>
      </c>
      <c r="L279" s="1650">
        <f>SUM(L238,L243,L257,L261,L270,L277,L278)</f>
        <v>2928744</v>
      </c>
    </row>
    <row r="280" spans="1:12" ht="15.75" customHeight="1" thickTop="1" thickBot="1" x14ac:dyDescent="0.25">
      <c r="A280" s="1597" t="s">
        <v>875</v>
      </c>
      <c r="B280" s="1586">
        <v>3000</v>
      </c>
      <c r="C280" s="593"/>
      <c r="D280" s="1941">
        <v>15706</v>
      </c>
      <c r="E280" s="593"/>
      <c r="F280" s="593"/>
      <c r="G280" s="593"/>
      <c r="H280" s="593"/>
      <c r="I280" s="593"/>
      <c r="J280" s="593"/>
      <c r="K280" s="1652">
        <f>D280</f>
        <v>15706</v>
      </c>
      <c r="L280" s="1962">
        <v>22182</v>
      </c>
    </row>
    <row r="281" spans="1:12" ht="15.75" customHeight="1" thickTop="1" x14ac:dyDescent="0.2">
      <c r="A281" s="1587" t="s">
        <v>142</v>
      </c>
      <c r="B281" s="1588" t="s">
        <v>860</v>
      </c>
      <c r="C281" s="593"/>
      <c r="D281" s="554"/>
      <c r="E281" s="593"/>
      <c r="F281" s="593"/>
      <c r="G281" s="593"/>
      <c r="H281" s="593"/>
      <c r="I281" s="593"/>
      <c r="J281" s="593"/>
      <c r="K281" s="593"/>
      <c r="L281" s="593"/>
    </row>
    <row r="282" spans="1:12" ht="15.75" customHeight="1" x14ac:dyDescent="0.2">
      <c r="A282" s="1803" t="s">
        <v>496</v>
      </c>
      <c r="B282" s="665" t="s">
        <v>1807</v>
      </c>
      <c r="C282" s="593"/>
      <c r="D282" s="1929">
        <v>0</v>
      </c>
      <c r="E282" s="593"/>
      <c r="F282" s="593"/>
      <c r="G282" s="593"/>
      <c r="H282" s="593"/>
      <c r="I282" s="593"/>
      <c r="J282" s="593"/>
      <c r="K282" s="1644">
        <f>D282</f>
        <v>0</v>
      </c>
      <c r="L282" s="1967">
        <v>0</v>
      </c>
    </row>
    <row r="283" spans="1:12" x14ac:dyDescent="0.2">
      <c r="A283" s="1477" t="s">
        <v>304</v>
      </c>
      <c r="B283" s="591">
        <v>4120</v>
      </c>
      <c r="C283" s="593"/>
      <c r="D283" s="1928">
        <v>0</v>
      </c>
      <c r="E283" s="593"/>
      <c r="F283" s="593"/>
      <c r="G283" s="593"/>
      <c r="H283" s="593"/>
      <c r="I283" s="593"/>
      <c r="J283" s="593"/>
      <c r="K283" s="1644">
        <f>D283</f>
        <v>0</v>
      </c>
      <c r="L283" s="1950">
        <v>0</v>
      </c>
    </row>
    <row r="284" spans="1:12" x14ac:dyDescent="0.2">
      <c r="A284" s="1477" t="s">
        <v>697</v>
      </c>
      <c r="B284" s="591">
        <v>4140</v>
      </c>
      <c r="C284" s="593"/>
      <c r="D284" s="1929">
        <v>0</v>
      </c>
      <c r="E284" s="593"/>
      <c r="F284" s="593"/>
      <c r="G284" s="593"/>
      <c r="H284" s="593"/>
      <c r="I284" s="593"/>
      <c r="J284" s="593"/>
      <c r="K284" s="1644">
        <f>D284</f>
        <v>0</v>
      </c>
      <c r="L284" s="1950">
        <v>0</v>
      </c>
    </row>
    <row r="285" spans="1:12" ht="12.75" customHeight="1" thickBot="1" x14ac:dyDescent="0.25">
      <c r="A285" s="1641" t="s">
        <v>1473</v>
      </c>
      <c r="B285" s="1642" t="s">
        <v>860</v>
      </c>
      <c r="C285" s="593"/>
      <c r="D285" s="1643">
        <f>SUM(D282:D284)</f>
        <v>0</v>
      </c>
      <c r="E285" s="593"/>
      <c r="F285" s="593"/>
      <c r="G285" s="593"/>
      <c r="H285" s="593"/>
      <c r="I285" s="593"/>
      <c r="J285" s="593"/>
      <c r="K285" s="1643">
        <f>SUM(K282:K284)</f>
        <v>0</v>
      </c>
      <c r="L285" s="1643">
        <f>SUM(L282:L284)</f>
        <v>0</v>
      </c>
    </row>
    <row r="286" spans="1:12" ht="15.75" customHeight="1" thickTop="1" x14ac:dyDescent="0.2">
      <c r="A286" s="1585" t="s">
        <v>876</v>
      </c>
      <c r="B286" s="1582" t="s">
        <v>492</v>
      </c>
      <c r="C286" s="593"/>
      <c r="D286" s="593"/>
      <c r="E286" s="593"/>
      <c r="F286" s="593"/>
      <c r="G286" s="593"/>
      <c r="H286" s="593"/>
      <c r="I286" s="593"/>
      <c r="J286" s="593"/>
      <c r="K286" s="593"/>
      <c r="L286" s="593"/>
    </row>
    <row r="287" spans="1:12" ht="15.75" customHeight="1" x14ac:dyDescent="0.2">
      <c r="A287" s="629" t="s">
        <v>93</v>
      </c>
      <c r="B287" s="599"/>
      <c r="C287" s="593"/>
      <c r="D287" s="593"/>
      <c r="E287" s="593"/>
      <c r="F287" s="593"/>
      <c r="G287" s="593"/>
      <c r="H287" s="600"/>
      <c r="I287" s="593"/>
      <c r="J287" s="593"/>
      <c r="K287" s="593"/>
      <c r="L287" s="593"/>
    </row>
    <row r="288" spans="1:12" x14ac:dyDescent="0.2">
      <c r="A288" s="1477" t="s">
        <v>87</v>
      </c>
      <c r="B288" s="591">
        <v>5110</v>
      </c>
      <c r="C288" s="593"/>
      <c r="D288" s="593"/>
      <c r="E288" s="593"/>
      <c r="F288" s="593"/>
      <c r="G288" s="593"/>
      <c r="H288" s="1928">
        <v>0</v>
      </c>
      <c r="I288" s="593"/>
      <c r="J288" s="593"/>
      <c r="K288" s="1644">
        <f>H288</f>
        <v>0</v>
      </c>
      <c r="L288" s="1950">
        <v>0</v>
      </c>
    </row>
    <row r="289" spans="1:14" x14ac:dyDescent="0.2">
      <c r="A289" s="1477" t="s">
        <v>88</v>
      </c>
      <c r="B289" s="591">
        <v>5120</v>
      </c>
      <c r="C289" s="593"/>
      <c r="D289" s="593"/>
      <c r="E289" s="593"/>
      <c r="F289" s="593"/>
      <c r="G289" s="593"/>
      <c r="H289" s="1928">
        <v>0</v>
      </c>
      <c r="I289" s="593"/>
      <c r="J289" s="593"/>
      <c r="K289" s="1644">
        <f>H289</f>
        <v>0</v>
      </c>
      <c r="L289" s="1950">
        <v>0</v>
      </c>
    </row>
    <row r="290" spans="1:14" ht="12.75" customHeight="1" x14ac:dyDescent="0.2">
      <c r="A290" s="1477" t="s">
        <v>1170</v>
      </c>
      <c r="B290" s="605" t="s">
        <v>617</v>
      </c>
      <c r="C290" s="593"/>
      <c r="D290" s="593"/>
      <c r="E290" s="593"/>
      <c r="F290" s="593"/>
      <c r="G290" s="593"/>
      <c r="H290" s="1928">
        <v>0</v>
      </c>
      <c r="I290" s="593"/>
      <c r="J290" s="593"/>
      <c r="K290" s="1644">
        <f>H290</f>
        <v>0</v>
      </c>
      <c r="L290" s="1950">
        <v>0</v>
      </c>
    </row>
    <row r="291" spans="1:14" x14ac:dyDescent="0.2">
      <c r="A291" s="1477" t="s">
        <v>89</v>
      </c>
      <c r="B291" s="591" t="s">
        <v>589</v>
      </c>
      <c r="C291" s="593"/>
      <c r="D291" s="593"/>
      <c r="E291" s="593"/>
      <c r="F291" s="593"/>
      <c r="G291" s="593"/>
      <c r="H291" s="1928">
        <v>0</v>
      </c>
      <c r="I291" s="593"/>
      <c r="J291" s="593"/>
      <c r="K291" s="1644">
        <f>H291</f>
        <v>0</v>
      </c>
      <c r="L291" s="1950">
        <v>0</v>
      </c>
    </row>
    <row r="292" spans="1:14" x14ac:dyDescent="0.2">
      <c r="A292" s="1477" t="s">
        <v>762</v>
      </c>
      <c r="B292" s="591" t="s">
        <v>618</v>
      </c>
      <c r="C292" s="593"/>
      <c r="D292" s="593"/>
      <c r="E292" s="593"/>
      <c r="F292" s="593"/>
      <c r="G292" s="593"/>
      <c r="H292" s="1928">
        <v>0</v>
      </c>
      <c r="I292" s="593"/>
      <c r="J292" s="593"/>
      <c r="K292" s="1644">
        <f>H292</f>
        <v>0</v>
      </c>
      <c r="L292" s="1950">
        <v>0</v>
      </c>
    </row>
    <row r="293" spans="1:14" ht="12.75" customHeight="1" thickBot="1" x14ac:dyDescent="0.25">
      <c r="A293" s="1641" t="s">
        <v>484</v>
      </c>
      <c r="B293" s="1642" t="s">
        <v>492</v>
      </c>
      <c r="C293" s="593"/>
      <c r="D293" s="593"/>
      <c r="E293" s="593"/>
      <c r="F293" s="593"/>
      <c r="G293" s="593"/>
      <c r="H293" s="1643">
        <f>SUM(H288:H292)</f>
        <v>0</v>
      </c>
      <c r="I293" s="593"/>
      <c r="J293" s="593"/>
      <c r="K293" s="1643">
        <f>SUM(K288:K292)</f>
        <v>0</v>
      </c>
      <c r="L293" s="1643">
        <f>SUM(L288:L292)</f>
        <v>0</v>
      </c>
    </row>
    <row r="294" spans="1:14" ht="15.75" customHeight="1" thickTop="1" thickBot="1" x14ac:dyDescent="0.25">
      <c r="A294" s="1598" t="s">
        <v>877</v>
      </c>
      <c r="B294" s="1586" t="s">
        <v>861</v>
      </c>
      <c r="C294" s="593"/>
      <c r="D294" s="600"/>
      <c r="E294" s="593"/>
      <c r="F294" s="593"/>
      <c r="G294" s="593"/>
      <c r="H294" s="661"/>
      <c r="I294" s="593"/>
      <c r="J294" s="593"/>
      <c r="K294" s="661"/>
      <c r="L294" s="1963">
        <v>0</v>
      </c>
    </row>
    <row r="295" spans="1:14" ht="12.75" customHeight="1" thickTop="1" thickBot="1" x14ac:dyDescent="0.25">
      <c r="A295" s="2227" t="s">
        <v>505</v>
      </c>
      <c r="B295" s="2228"/>
      <c r="C295" s="593"/>
      <c r="D295" s="1643">
        <f>SUM(D229,D279,D280,D285)</f>
        <v>4193074</v>
      </c>
      <c r="E295" s="593"/>
      <c r="F295" s="593"/>
      <c r="G295" s="593"/>
      <c r="H295" s="1643">
        <f>H293</f>
        <v>0</v>
      </c>
      <c r="I295" s="593"/>
      <c r="J295" s="593"/>
      <c r="K295" s="1643">
        <f>SUM(K229,K279,K280,K285,K293,K294)</f>
        <v>4193074</v>
      </c>
      <c r="L295" s="1643">
        <f>SUM(L229,L279,L280,L285,L293,L294)</f>
        <v>4610086</v>
      </c>
    </row>
    <row r="296" spans="1:14" ht="13.5" thickTop="1" x14ac:dyDescent="0.2">
      <c r="A296" s="2209" t="s">
        <v>996</v>
      </c>
      <c r="B296" s="2210"/>
      <c r="C296" s="593"/>
      <c r="D296" s="595"/>
      <c r="E296" s="593"/>
      <c r="F296" s="593"/>
      <c r="G296" s="593"/>
      <c r="H296" s="662"/>
      <c r="I296" s="593"/>
      <c r="J296" s="593"/>
      <c r="K296" s="1657">
        <f>'Revenues 9-14'!G268-'Expenditures 15-22'!K295</f>
        <v>32036</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19" t="s">
        <v>143</v>
      </c>
      <c r="B298" s="2213"/>
      <c r="C298" s="1524"/>
      <c r="D298" s="1525"/>
      <c r="E298" s="1525"/>
      <c r="F298" s="1525"/>
      <c r="G298" s="1525"/>
      <c r="H298" s="1525"/>
      <c r="I298" s="1525"/>
      <c r="J298" s="1525"/>
      <c r="K298" s="1525"/>
      <c r="L298" s="1526"/>
    </row>
    <row r="299" spans="1:14" ht="15.75" customHeight="1" x14ac:dyDescent="0.2">
      <c r="A299" s="1585" t="s">
        <v>144</v>
      </c>
      <c r="B299" s="1588" t="s">
        <v>569</v>
      </c>
      <c r="C299" s="593"/>
      <c r="D299" s="593"/>
      <c r="E299" s="593"/>
      <c r="F299" s="593"/>
      <c r="G299" s="593"/>
      <c r="H299" s="593"/>
      <c r="I299" s="593"/>
      <c r="J299" s="593"/>
      <c r="K299" s="593"/>
      <c r="L299" s="593"/>
    </row>
    <row r="300" spans="1:14" ht="15.75" customHeight="1" x14ac:dyDescent="0.2">
      <c r="A300" s="663" t="s">
        <v>612</v>
      </c>
      <c r="B300" s="608"/>
      <c r="C300" s="600"/>
      <c r="D300" s="600"/>
      <c r="E300" s="600"/>
      <c r="F300" s="600"/>
      <c r="G300" s="600"/>
      <c r="H300" s="600"/>
      <c r="I300" s="593"/>
      <c r="J300" s="593"/>
      <c r="K300" s="600"/>
      <c r="L300" s="600"/>
    </row>
    <row r="301" spans="1:14" x14ac:dyDescent="0.2">
      <c r="A301" s="1490" t="s">
        <v>608</v>
      </c>
      <c r="B301" s="664">
        <v>2530</v>
      </c>
      <c r="C301" s="1928">
        <v>0</v>
      </c>
      <c r="D301" s="1928">
        <v>0</v>
      </c>
      <c r="E301" s="1928">
        <v>0</v>
      </c>
      <c r="F301" s="1928">
        <v>0</v>
      </c>
      <c r="G301" s="1928">
        <v>28128328</v>
      </c>
      <c r="H301" s="1928">
        <v>0</v>
      </c>
      <c r="I301" s="1929">
        <v>0</v>
      </c>
      <c r="J301" s="1929">
        <v>0</v>
      </c>
      <c r="K301" s="1644">
        <f>SUM(C301:J301)</f>
        <v>28128328</v>
      </c>
      <c r="L301" s="1967">
        <v>29128165</v>
      </c>
    </row>
    <row r="302" spans="1:14" ht="13.5" customHeight="1" x14ac:dyDescent="0.2">
      <c r="A302" s="1490" t="s">
        <v>980</v>
      </c>
      <c r="B302" s="591" t="s">
        <v>574</v>
      </c>
      <c r="C302" s="1928">
        <v>0</v>
      </c>
      <c r="D302" s="1928">
        <v>0</v>
      </c>
      <c r="E302" s="1928">
        <v>0</v>
      </c>
      <c r="F302" s="1928">
        <v>0</v>
      </c>
      <c r="G302" s="1928">
        <v>0</v>
      </c>
      <c r="H302" s="1928">
        <v>0</v>
      </c>
      <c r="I302" s="1929">
        <v>0</v>
      </c>
      <c r="J302" s="1929">
        <v>0</v>
      </c>
      <c r="K302" s="1644">
        <f>SUM(C302:J302)</f>
        <v>0</v>
      </c>
      <c r="L302" s="1950">
        <v>0</v>
      </c>
    </row>
    <row r="303" spans="1:14" ht="12.75" customHeight="1" thickBot="1" x14ac:dyDescent="0.25">
      <c r="A303" s="1641" t="s">
        <v>811</v>
      </c>
      <c r="B303" s="1642" t="s">
        <v>569</v>
      </c>
      <c r="C303" s="1650">
        <f>SUM(C301:C302)</f>
        <v>0</v>
      </c>
      <c r="D303" s="1650">
        <f t="shared" ref="D303:L303" si="23">SUM(D301:D302)</f>
        <v>0</v>
      </c>
      <c r="E303" s="1650">
        <f t="shared" si="23"/>
        <v>0</v>
      </c>
      <c r="F303" s="1650">
        <f t="shared" si="23"/>
        <v>0</v>
      </c>
      <c r="G303" s="1650">
        <f t="shared" si="23"/>
        <v>28128328</v>
      </c>
      <c r="H303" s="1650">
        <f t="shared" si="23"/>
        <v>0</v>
      </c>
      <c r="I303" s="1650">
        <f t="shared" si="23"/>
        <v>0</v>
      </c>
      <c r="J303" s="1650">
        <f t="shared" si="23"/>
        <v>0</v>
      </c>
      <c r="K303" s="1650">
        <f t="shared" si="23"/>
        <v>28128328</v>
      </c>
      <c r="L303" s="1650">
        <f t="shared" si="23"/>
        <v>29128165</v>
      </c>
    </row>
    <row r="304" spans="1:14" ht="15.75" customHeight="1" thickTop="1" x14ac:dyDescent="0.2">
      <c r="A304" s="1585" t="s">
        <v>145</v>
      </c>
      <c r="B304" s="1586" t="s">
        <v>860</v>
      </c>
      <c r="C304" s="593"/>
      <c r="D304" s="593"/>
      <c r="E304" s="593"/>
      <c r="F304" s="593"/>
      <c r="G304" s="593"/>
      <c r="H304" s="593"/>
      <c r="I304" s="593"/>
      <c r="J304" s="593"/>
      <c r="K304" s="593"/>
      <c r="L304" s="593"/>
    </row>
    <row r="305" spans="1:14" ht="15.75" customHeight="1" x14ac:dyDescent="0.2">
      <c r="A305" s="629" t="s">
        <v>897</v>
      </c>
      <c r="B305" s="599"/>
      <c r="C305" s="593"/>
      <c r="D305" s="593"/>
      <c r="E305" s="593"/>
      <c r="F305" s="593"/>
      <c r="G305" s="593"/>
      <c r="H305" s="593"/>
      <c r="I305" s="593"/>
      <c r="J305" s="593"/>
      <c r="K305" s="593"/>
      <c r="L305" s="593"/>
    </row>
    <row r="306" spans="1:14" x14ac:dyDescent="0.2">
      <c r="A306" s="1491" t="s">
        <v>1812</v>
      </c>
      <c r="B306" s="665" t="s">
        <v>1807</v>
      </c>
      <c r="C306" s="593"/>
      <c r="D306" s="593"/>
      <c r="E306" s="1929">
        <v>0</v>
      </c>
      <c r="F306" s="593"/>
      <c r="G306" s="593"/>
      <c r="H306" s="1929">
        <v>0</v>
      </c>
      <c r="I306" s="593"/>
      <c r="J306" s="593"/>
      <c r="K306" s="1644">
        <f>SUM(E306,H306)</f>
        <v>0</v>
      </c>
      <c r="L306" s="1967">
        <v>0</v>
      </c>
    </row>
    <row r="307" spans="1:14" x14ac:dyDescent="0.2">
      <c r="A307" s="1477" t="s">
        <v>304</v>
      </c>
      <c r="B307" s="591">
        <v>4120</v>
      </c>
      <c r="C307" s="593"/>
      <c r="D307" s="593"/>
      <c r="E307" s="1929">
        <v>0</v>
      </c>
      <c r="F307" s="593"/>
      <c r="G307" s="593"/>
      <c r="H307" s="1929">
        <v>0</v>
      </c>
      <c r="I307" s="473"/>
      <c r="J307" s="593"/>
      <c r="K307" s="1644">
        <f>SUM(E307,H307)</f>
        <v>0</v>
      </c>
      <c r="L307" s="1950">
        <v>0</v>
      </c>
    </row>
    <row r="308" spans="1:14" x14ac:dyDescent="0.2">
      <c r="A308" s="1477" t="s">
        <v>697</v>
      </c>
      <c r="B308" s="591">
        <v>4140</v>
      </c>
      <c r="C308" s="593"/>
      <c r="D308" s="593"/>
      <c r="E308" s="1929">
        <v>0</v>
      </c>
      <c r="F308" s="593"/>
      <c r="G308" s="593"/>
      <c r="H308" s="1929">
        <v>0</v>
      </c>
      <c r="I308" s="473"/>
      <c r="J308" s="593"/>
      <c r="K308" s="1644">
        <f>SUM(E308,H308)</f>
        <v>0</v>
      </c>
      <c r="L308" s="1950">
        <v>0</v>
      </c>
    </row>
    <row r="309" spans="1:14" ht="12.75" customHeight="1" x14ac:dyDescent="0.2">
      <c r="A309" s="1481" t="s">
        <v>698</v>
      </c>
      <c r="B309" s="605">
        <v>4190</v>
      </c>
      <c r="C309" s="593"/>
      <c r="D309" s="593"/>
      <c r="E309" s="1929">
        <v>0</v>
      </c>
      <c r="F309" s="593"/>
      <c r="G309" s="593"/>
      <c r="H309" s="1929">
        <v>0</v>
      </c>
      <c r="I309" s="473"/>
      <c r="J309" s="593"/>
      <c r="K309" s="1644">
        <f>SUM(E309,H309)</f>
        <v>0</v>
      </c>
      <c r="L309" s="1950">
        <v>0</v>
      </c>
    </row>
    <row r="310" spans="1:14" ht="12.75" customHeight="1" thickBot="1" x14ac:dyDescent="0.25">
      <c r="A310" s="1641" t="s">
        <v>1473</v>
      </c>
      <c r="B310" s="1648" t="s">
        <v>860</v>
      </c>
      <c r="C310" s="593"/>
      <c r="D310" s="593"/>
      <c r="E310" s="1643">
        <f>SUM(E306:E309)</f>
        <v>0</v>
      </c>
      <c r="F310" s="593"/>
      <c r="G310" s="593"/>
      <c r="H310" s="1643">
        <f>SUM(H306:H309)</f>
        <v>0</v>
      </c>
      <c r="I310" s="473"/>
      <c r="J310" s="593"/>
      <c r="K310" s="1643">
        <f>SUM(K306:K309)</f>
        <v>0</v>
      </c>
      <c r="L310" s="1650">
        <f>SUM(L306:L309)</f>
        <v>0</v>
      </c>
    </row>
    <row r="311" spans="1:14" ht="15.75" customHeight="1" thickTop="1" thickBot="1" x14ac:dyDescent="0.25">
      <c r="A311" s="1592" t="s">
        <v>895</v>
      </c>
      <c r="B311" s="1584" t="s">
        <v>861</v>
      </c>
      <c r="C311" s="600"/>
      <c r="D311" s="600"/>
      <c r="E311" s="600"/>
      <c r="F311" s="600"/>
      <c r="G311" s="600"/>
      <c r="H311" s="600"/>
      <c r="I311" s="600"/>
      <c r="J311" s="593"/>
      <c r="K311" s="600"/>
      <c r="L311" s="1962">
        <v>0</v>
      </c>
    </row>
    <row r="312" spans="1:14" s="649" customFormat="1" ht="12.75" customHeight="1" thickTop="1" thickBot="1" x14ac:dyDescent="0.25">
      <c r="A312" s="2224" t="s">
        <v>277</v>
      </c>
      <c r="B312" s="2225"/>
      <c r="C312" s="1643">
        <f>SUM(C303)</f>
        <v>0</v>
      </c>
      <c r="D312" s="1643">
        <f>SUM(D303)</f>
        <v>0</v>
      </c>
      <c r="E312" s="1643">
        <f>SUM(E303,E310)</f>
        <v>0</v>
      </c>
      <c r="F312" s="1643">
        <f>SUM(F303)</f>
        <v>0</v>
      </c>
      <c r="G312" s="1643">
        <f>SUM(G303)</f>
        <v>28128328</v>
      </c>
      <c r="H312" s="1643">
        <f>SUM(H303,H310)</f>
        <v>0</v>
      </c>
      <c r="I312" s="1643">
        <f>SUM(I303)</f>
        <v>0</v>
      </c>
      <c r="J312" s="1643">
        <f>SUM(J303)</f>
        <v>0</v>
      </c>
      <c r="K312" s="1643">
        <f>SUM(K303,K310,K311)</f>
        <v>28128328</v>
      </c>
      <c r="L312" s="1643">
        <f>SUM(L303,L310,L311)</f>
        <v>29128165</v>
      </c>
      <c r="M312" s="640"/>
      <c r="N312" s="640"/>
    </row>
    <row r="313" spans="1:14" ht="13.5" thickTop="1" x14ac:dyDescent="0.2">
      <c r="A313" s="2220" t="s">
        <v>996</v>
      </c>
      <c r="B313" s="2221"/>
      <c r="C313" s="603"/>
      <c r="D313" s="603"/>
      <c r="E313" s="603"/>
      <c r="F313" s="603"/>
      <c r="G313" s="603"/>
      <c r="H313" s="603"/>
      <c r="I313" s="603"/>
      <c r="J313" s="603"/>
      <c r="K313" s="1658">
        <f>'Revenues 9-14'!H268-'Expenditures 15-22'!K312</f>
        <v>-27382976</v>
      </c>
      <c r="L313" s="603"/>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33" t="s">
        <v>149</v>
      </c>
      <c r="B315" s="2234"/>
      <c r="C315" s="1529"/>
      <c r="D315" s="1530"/>
      <c r="E315" s="1530"/>
      <c r="F315" s="1530"/>
      <c r="G315" s="1530"/>
      <c r="H315" s="1530"/>
      <c r="I315" s="1530"/>
      <c r="J315" s="1530"/>
      <c r="K315" s="1530"/>
      <c r="L315" s="1531"/>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35" t="s">
        <v>898</v>
      </c>
      <c r="B317" s="2234"/>
      <c r="C317" s="1529"/>
      <c r="D317" s="1530"/>
      <c r="E317" s="1530"/>
      <c r="F317" s="1530"/>
      <c r="G317" s="1530"/>
      <c r="H317" s="1530"/>
      <c r="I317" s="1530"/>
      <c r="J317" s="1530"/>
      <c r="K317" s="1530"/>
      <c r="L317" s="1531"/>
    </row>
    <row r="318" spans="1:14" s="649" customFormat="1" ht="15.75" customHeight="1" x14ac:dyDescent="0.2">
      <c r="A318" s="670" t="s">
        <v>610</v>
      </c>
      <c r="B318" s="671"/>
      <c r="C318" s="615"/>
      <c r="D318" s="615"/>
      <c r="E318" s="615"/>
      <c r="F318" s="615"/>
      <c r="G318" s="615"/>
      <c r="H318" s="615"/>
      <c r="I318" s="615"/>
      <c r="J318" s="615"/>
      <c r="K318" s="615"/>
      <c r="L318" s="615"/>
      <c r="M318" s="640"/>
      <c r="N318" s="640"/>
    </row>
    <row r="319" spans="1:14" s="649" customFormat="1" x14ac:dyDescent="0.2">
      <c r="A319" s="1492" t="s">
        <v>299</v>
      </c>
      <c r="B319" s="672" t="s">
        <v>281</v>
      </c>
      <c r="C319" s="1929">
        <v>0</v>
      </c>
      <c r="D319" s="1929">
        <v>0</v>
      </c>
      <c r="E319" s="1929">
        <v>0</v>
      </c>
      <c r="F319" s="1929">
        <v>0</v>
      </c>
      <c r="G319" s="1929">
        <v>0</v>
      </c>
      <c r="H319" s="1929">
        <v>0</v>
      </c>
      <c r="I319" s="1929">
        <v>0</v>
      </c>
      <c r="J319" s="1929">
        <v>0</v>
      </c>
      <c r="K319" s="1644">
        <f>SUM(C319:J319)</f>
        <v>0</v>
      </c>
      <c r="L319" s="1967">
        <v>0</v>
      </c>
      <c r="M319" s="640"/>
      <c r="N319" s="640"/>
    </row>
    <row r="320" spans="1:14" s="649" customFormat="1" x14ac:dyDescent="0.2">
      <c r="A320" s="1496" t="s">
        <v>1767</v>
      </c>
      <c r="B320" s="673" t="s">
        <v>282</v>
      </c>
      <c r="C320" s="1929">
        <v>0</v>
      </c>
      <c r="D320" s="1929">
        <v>0</v>
      </c>
      <c r="E320" s="1929">
        <v>858280</v>
      </c>
      <c r="F320" s="1929">
        <v>0</v>
      </c>
      <c r="G320" s="1929">
        <v>0</v>
      </c>
      <c r="H320" s="1929">
        <v>0</v>
      </c>
      <c r="I320" s="1929">
        <v>0</v>
      </c>
      <c r="J320" s="1929">
        <v>0</v>
      </c>
      <c r="K320" s="1644">
        <f t="shared" ref="K320:K327" si="24">SUM(C320:J320)</f>
        <v>858280</v>
      </c>
      <c r="L320" s="1967">
        <v>900000</v>
      </c>
      <c r="M320" s="640"/>
      <c r="N320" s="640"/>
    </row>
    <row r="321" spans="1:14" s="649" customFormat="1" x14ac:dyDescent="0.2">
      <c r="A321" s="1492" t="s">
        <v>300</v>
      </c>
      <c r="B321" s="672" t="s">
        <v>283</v>
      </c>
      <c r="C321" s="1929">
        <v>0</v>
      </c>
      <c r="D321" s="1929">
        <v>0</v>
      </c>
      <c r="E321" s="1929">
        <v>13121</v>
      </c>
      <c r="F321" s="1929">
        <v>0</v>
      </c>
      <c r="G321" s="1929">
        <v>0</v>
      </c>
      <c r="H321" s="1929">
        <v>0</v>
      </c>
      <c r="I321" s="1929">
        <v>0</v>
      </c>
      <c r="J321" s="1929">
        <v>0</v>
      </c>
      <c r="K321" s="1644">
        <f t="shared" si="24"/>
        <v>13121</v>
      </c>
      <c r="L321" s="1967">
        <v>40000</v>
      </c>
      <c r="M321" s="640"/>
      <c r="N321" s="640"/>
    </row>
    <row r="322" spans="1:14" s="649" customFormat="1" x14ac:dyDescent="0.2">
      <c r="A322" s="1492" t="s">
        <v>238</v>
      </c>
      <c r="B322" s="672" t="s">
        <v>284</v>
      </c>
      <c r="C322" s="1929">
        <v>0</v>
      </c>
      <c r="D322" s="1929">
        <v>0</v>
      </c>
      <c r="E322" s="1929">
        <v>558108</v>
      </c>
      <c r="F322" s="1929">
        <v>0</v>
      </c>
      <c r="G322" s="1929">
        <v>0</v>
      </c>
      <c r="H322" s="1929">
        <v>0</v>
      </c>
      <c r="I322" s="1929">
        <v>0</v>
      </c>
      <c r="J322" s="1929">
        <v>0</v>
      </c>
      <c r="K322" s="1644">
        <f t="shared" si="24"/>
        <v>558108</v>
      </c>
      <c r="L322" s="1967">
        <v>610000</v>
      </c>
      <c r="M322" s="640"/>
      <c r="N322" s="640"/>
    </row>
    <row r="323" spans="1:14" s="649" customFormat="1" x14ac:dyDescent="0.2">
      <c r="A323" s="1492" t="s">
        <v>702</v>
      </c>
      <c r="B323" s="672" t="s">
        <v>285</v>
      </c>
      <c r="C323" s="1929">
        <v>0</v>
      </c>
      <c r="D323" s="1929">
        <v>0</v>
      </c>
      <c r="E323" s="1929">
        <v>0</v>
      </c>
      <c r="F323" s="1929">
        <v>0</v>
      </c>
      <c r="G323" s="1929">
        <v>0</v>
      </c>
      <c r="H323" s="1929">
        <v>0</v>
      </c>
      <c r="I323" s="1929">
        <v>0</v>
      </c>
      <c r="J323" s="1929">
        <v>0</v>
      </c>
      <c r="K323" s="1644">
        <f t="shared" si="24"/>
        <v>0</v>
      </c>
      <c r="L323" s="1967">
        <v>0</v>
      </c>
      <c r="M323" s="640"/>
      <c r="N323" s="640"/>
    </row>
    <row r="324" spans="1:14" s="649" customFormat="1" x14ac:dyDescent="0.2">
      <c r="A324" s="1492" t="s">
        <v>239</v>
      </c>
      <c r="B324" s="672" t="s">
        <v>286</v>
      </c>
      <c r="C324" s="1929">
        <v>0</v>
      </c>
      <c r="D324" s="1929">
        <v>0</v>
      </c>
      <c r="E324" s="1929">
        <v>0</v>
      </c>
      <c r="F324" s="1929">
        <v>0</v>
      </c>
      <c r="G324" s="1929">
        <v>0</v>
      </c>
      <c r="H324" s="1929">
        <v>59000</v>
      </c>
      <c r="I324" s="1929">
        <v>0</v>
      </c>
      <c r="J324" s="1929">
        <v>0</v>
      </c>
      <c r="K324" s="1644">
        <f t="shared" si="24"/>
        <v>59000</v>
      </c>
      <c r="L324" s="1967">
        <v>100000</v>
      </c>
      <c r="M324" s="640"/>
      <c r="N324" s="640"/>
    </row>
    <row r="325" spans="1:14" s="649" customFormat="1" ht="22.5" x14ac:dyDescent="0.2">
      <c r="A325" s="1492" t="s">
        <v>1029</v>
      </c>
      <c r="B325" s="673" t="s">
        <v>287</v>
      </c>
      <c r="C325" s="1929">
        <v>0</v>
      </c>
      <c r="D325" s="1929">
        <v>0</v>
      </c>
      <c r="E325" s="1929">
        <v>0</v>
      </c>
      <c r="F325" s="1929">
        <v>0</v>
      </c>
      <c r="G325" s="1929">
        <v>0</v>
      </c>
      <c r="H325" s="1929">
        <v>0</v>
      </c>
      <c r="I325" s="1929">
        <v>0</v>
      </c>
      <c r="J325" s="1929">
        <v>0</v>
      </c>
      <c r="K325" s="1644">
        <f t="shared" si="24"/>
        <v>0</v>
      </c>
      <c r="L325" s="1967">
        <v>0</v>
      </c>
      <c r="M325" s="640"/>
      <c r="N325" s="640"/>
    </row>
    <row r="326" spans="1:14" s="649" customFormat="1" x14ac:dyDescent="0.2">
      <c r="A326" s="1492" t="s">
        <v>1030</v>
      </c>
      <c r="B326" s="672" t="s">
        <v>288</v>
      </c>
      <c r="C326" s="1929">
        <v>0</v>
      </c>
      <c r="D326" s="1929">
        <v>0</v>
      </c>
      <c r="E326" s="1929">
        <v>0</v>
      </c>
      <c r="F326" s="1929">
        <v>0</v>
      </c>
      <c r="G326" s="1929">
        <v>0</v>
      </c>
      <c r="H326" s="1929">
        <v>0</v>
      </c>
      <c r="I326" s="1929">
        <v>0</v>
      </c>
      <c r="J326" s="1929">
        <v>0</v>
      </c>
      <c r="K326" s="1644">
        <f t="shared" si="24"/>
        <v>0</v>
      </c>
      <c r="L326" s="1967">
        <v>0</v>
      </c>
      <c r="M326" s="640"/>
      <c r="N326" s="640"/>
    </row>
    <row r="327" spans="1:14" s="649" customFormat="1" x14ac:dyDescent="0.2">
      <c r="A327" s="1492" t="s">
        <v>971</v>
      </c>
      <c r="B327" s="672" t="s">
        <v>289</v>
      </c>
      <c r="C327" s="1929">
        <v>0</v>
      </c>
      <c r="D327" s="1929">
        <v>0</v>
      </c>
      <c r="E327" s="1929">
        <v>0</v>
      </c>
      <c r="F327" s="1929">
        <v>0</v>
      </c>
      <c r="G327" s="1929">
        <v>0</v>
      </c>
      <c r="H327" s="1929">
        <v>0</v>
      </c>
      <c r="I327" s="1929">
        <v>0</v>
      </c>
      <c r="J327" s="1929">
        <v>0</v>
      </c>
      <c r="K327" s="1644">
        <f t="shared" si="24"/>
        <v>0</v>
      </c>
      <c r="L327" s="1967">
        <v>0</v>
      </c>
      <c r="M327" s="640"/>
      <c r="N327" s="640"/>
    </row>
    <row r="328" spans="1:14" s="649" customFormat="1" x14ac:dyDescent="0.2">
      <c r="A328" s="1493" t="s">
        <v>472</v>
      </c>
      <c r="B328" s="665" t="s">
        <v>1132</v>
      </c>
      <c r="C328" s="1931">
        <v>0</v>
      </c>
      <c r="D328" s="1931">
        <v>0</v>
      </c>
      <c r="E328" s="1931">
        <v>0</v>
      </c>
      <c r="F328" s="1931">
        <v>0</v>
      </c>
      <c r="G328" s="1931">
        <v>0</v>
      </c>
      <c r="H328" s="1931">
        <v>0</v>
      </c>
      <c r="I328" s="1931">
        <v>0</v>
      </c>
      <c r="J328" s="1931">
        <v>0</v>
      </c>
      <c r="K328" s="1672">
        <f>SUM(C328:J328)</f>
        <v>0</v>
      </c>
      <c r="L328" s="1953">
        <v>0</v>
      </c>
      <c r="M328" s="640"/>
      <c r="N328" s="640"/>
    </row>
    <row r="329" spans="1:14" s="649" customFormat="1" x14ac:dyDescent="0.2">
      <c r="A329" s="1493" t="s">
        <v>1133</v>
      </c>
      <c r="B329" s="665" t="s">
        <v>1134</v>
      </c>
      <c r="C329" s="1931">
        <v>0</v>
      </c>
      <c r="D329" s="1931">
        <v>0</v>
      </c>
      <c r="E329" s="1931">
        <v>0</v>
      </c>
      <c r="F329" s="1931">
        <v>0</v>
      </c>
      <c r="G329" s="1931">
        <v>0</v>
      </c>
      <c r="H329" s="1931">
        <v>0</v>
      </c>
      <c r="I329" s="1931">
        <v>0</v>
      </c>
      <c r="J329" s="1931">
        <v>0</v>
      </c>
      <c r="K329" s="1672">
        <f>SUM(C329:J329)</f>
        <v>0</v>
      </c>
      <c r="L329" s="1953">
        <v>0</v>
      </c>
      <c r="M329" s="640"/>
      <c r="N329" s="640"/>
    </row>
    <row r="330" spans="1:14" s="649" customFormat="1" ht="12.75" customHeight="1" thickBot="1" x14ac:dyDescent="0.25">
      <c r="A330" s="1673" t="s">
        <v>717</v>
      </c>
      <c r="B330" s="1642" t="s">
        <v>569</v>
      </c>
      <c r="C330" s="1643">
        <f>SUM(C319:C329)</f>
        <v>0</v>
      </c>
      <c r="D330" s="1643">
        <f t="shared" ref="D330:J330" si="25">SUM(D319:D329)</f>
        <v>0</v>
      </c>
      <c r="E330" s="1643">
        <f t="shared" si="25"/>
        <v>1429509</v>
      </c>
      <c r="F330" s="1643">
        <f t="shared" si="25"/>
        <v>0</v>
      </c>
      <c r="G330" s="1643">
        <f t="shared" si="25"/>
        <v>0</v>
      </c>
      <c r="H330" s="1643">
        <f t="shared" si="25"/>
        <v>59000</v>
      </c>
      <c r="I330" s="1643">
        <f t="shared" si="25"/>
        <v>0</v>
      </c>
      <c r="J330" s="1643">
        <f t="shared" si="25"/>
        <v>0</v>
      </c>
      <c r="K330" s="1643">
        <f>SUM(K319:K329)</f>
        <v>1488509</v>
      </c>
      <c r="L330" s="1643">
        <f>SUM(L319:L329)</f>
        <v>1650000</v>
      </c>
      <c r="M330" s="640"/>
      <c r="N330" s="640"/>
    </row>
    <row r="331" spans="1:14" s="649" customFormat="1" ht="12.75" customHeight="1" thickTop="1" x14ac:dyDescent="0.2">
      <c r="A331" s="1804" t="s">
        <v>1813</v>
      </c>
      <c r="B331" s="623" t="s">
        <v>860</v>
      </c>
      <c r="C331" s="1806"/>
      <c r="D331" s="1806"/>
      <c r="E331" s="1806"/>
      <c r="F331" s="1806"/>
      <c r="G331" s="1806"/>
      <c r="H331" s="1806"/>
      <c r="I331" s="1806"/>
      <c r="J331" s="1806"/>
      <c r="K331" s="1806"/>
      <c r="L331" s="1806"/>
      <c r="M331" s="640"/>
      <c r="N331" s="640"/>
    </row>
    <row r="332" spans="1:14" s="649" customFormat="1" ht="12.75" customHeight="1" x14ac:dyDescent="0.2">
      <c r="A332" s="1805" t="s">
        <v>496</v>
      </c>
      <c r="B332" s="1800" t="s">
        <v>1807</v>
      </c>
      <c r="C332" s="1806"/>
      <c r="D332" s="1806"/>
      <c r="E332" s="1806"/>
      <c r="F332" s="1806"/>
      <c r="G332" s="1806"/>
      <c r="H332" s="1929">
        <v>0</v>
      </c>
      <c r="I332" s="1806"/>
      <c r="J332" s="1806"/>
      <c r="K332" s="1644">
        <f>H332</f>
        <v>0</v>
      </c>
      <c r="L332" s="1967">
        <v>0</v>
      </c>
      <c r="M332" s="640"/>
      <c r="N332" s="640"/>
    </row>
    <row r="333" spans="1:14" s="649" customFormat="1" ht="12.75" customHeight="1" x14ac:dyDescent="0.2">
      <c r="A333" s="1805" t="s">
        <v>304</v>
      </c>
      <c r="B333" s="1800" t="s">
        <v>1809</v>
      </c>
      <c r="C333" s="1806"/>
      <c r="D333" s="1806"/>
      <c r="E333" s="1806"/>
      <c r="F333" s="1806"/>
      <c r="G333" s="1806"/>
      <c r="H333" s="1929">
        <v>0</v>
      </c>
      <c r="I333" s="1806"/>
      <c r="J333" s="1806"/>
      <c r="K333" s="1644">
        <f>H333</f>
        <v>0</v>
      </c>
      <c r="L333" s="1967">
        <v>0</v>
      </c>
      <c r="M333" s="640"/>
      <c r="N333" s="640"/>
    </row>
    <row r="334" spans="1:14" s="649" customFormat="1" ht="12.75" customHeight="1" thickBot="1" x14ac:dyDescent="0.25">
      <c r="A334" s="1805" t="s">
        <v>1814</v>
      </c>
      <c r="B334" s="1800" t="s">
        <v>860</v>
      </c>
      <c r="C334" s="1806"/>
      <c r="D334" s="1806"/>
      <c r="E334" s="1806"/>
      <c r="F334" s="1806"/>
      <c r="G334" s="1806"/>
      <c r="H334" s="1643">
        <f>SUM(H332:H333)</f>
        <v>0</v>
      </c>
      <c r="I334" s="1806"/>
      <c r="J334" s="1806"/>
      <c r="K334" s="1643">
        <f>SUM(K332:K333)</f>
        <v>0</v>
      </c>
      <c r="L334" s="1643">
        <f>SUM(L332:L333)</f>
        <v>0</v>
      </c>
      <c r="M334" s="640"/>
      <c r="N334" s="640"/>
    </row>
    <row r="335" spans="1:14" ht="15.75" customHeight="1" thickTop="1" x14ac:dyDescent="0.2">
      <c r="A335" s="1589" t="s">
        <v>899</v>
      </c>
      <c r="B335" s="1580" t="s">
        <v>492</v>
      </c>
      <c r="C335" s="593"/>
      <c r="D335" s="593"/>
      <c r="E335" s="593"/>
      <c r="F335" s="593"/>
      <c r="G335" s="593"/>
      <c r="H335" s="593"/>
      <c r="I335" s="593"/>
      <c r="J335" s="593"/>
      <c r="K335" s="593"/>
      <c r="L335" s="593"/>
    </row>
    <row r="336" spans="1:14" ht="15.75" customHeight="1" x14ac:dyDescent="0.2">
      <c r="A336" s="629" t="s">
        <v>615</v>
      </c>
      <c r="B336" s="599"/>
      <c r="C336" s="593"/>
      <c r="D336" s="593"/>
      <c r="E336" s="593"/>
      <c r="F336" s="593"/>
      <c r="G336" s="593"/>
      <c r="H336" s="600"/>
      <c r="I336" s="593"/>
      <c r="J336" s="593"/>
      <c r="K336" s="600"/>
      <c r="L336" s="600"/>
    </row>
    <row r="337" spans="1:14" x14ac:dyDescent="0.2">
      <c r="A337" s="1491" t="s">
        <v>87</v>
      </c>
      <c r="B337" s="665" t="s">
        <v>900</v>
      </c>
      <c r="C337" s="615"/>
      <c r="D337" s="615"/>
      <c r="E337" s="615"/>
      <c r="F337" s="615"/>
      <c r="G337" s="615"/>
      <c r="H337" s="474">
        <v>0</v>
      </c>
      <c r="I337" s="615"/>
      <c r="J337" s="615"/>
      <c r="K337" s="1644">
        <f>H337</f>
        <v>0</v>
      </c>
      <c r="L337" s="474">
        <v>0</v>
      </c>
    </row>
    <row r="338" spans="1:14" ht="12.75" customHeight="1" x14ac:dyDescent="0.2">
      <c r="A338" s="1491" t="s">
        <v>1170</v>
      </c>
      <c r="B338" s="665" t="s">
        <v>617</v>
      </c>
      <c r="C338" s="615"/>
      <c r="D338" s="615"/>
      <c r="E338" s="615"/>
      <c r="F338" s="615"/>
      <c r="G338" s="615"/>
      <c r="H338" s="474">
        <v>0</v>
      </c>
      <c r="I338" s="615"/>
      <c r="J338" s="615"/>
      <c r="K338" s="1644">
        <f>H338</f>
        <v>0</v>
      </c>
      <c r="L338" s="474">
        <v>0</v>
      </c>
    </row>
    <row r="339" spans="1:14" x14ac:dyDescent="0.2">
      <c r="A339" s="1477" t="s">
        <v>901</v>
      </c>
      <c r="B339" s="605">
        <v>5150</v>
      </c>
      <c r="C339" s="615"/>
      <c r="D339" s="615"/>
      <c r="E339" s="615"/>
      <c r="F339" s="615"/>
      <c r="G339" s="615"/>
      <c r="H339" s="1929">
        <v>0</v>
      </c>
      <c r="I339" s="615"/>
      <c r="J339" s="615"/>
      <c r="K339" s="1644">
        <f>H339</f>
        <v>0</v>
      </c>
      <c r="L339" s="1967">
        <v>0</v>
      </c>
    </row>
    <row r="340" spans="1:14" ht="13.5" thickBot="1" x14ac:dyDescent="0.25">
      <c r="A340" s="1667" t="s">
        <v>902</v>
      </c>
      <c r="B340" s="1642" t="s">
        <v>492</v>
      </c>
      <c r="C340" s="593"/>
      <c r="D340" s="593"/>
      <c r="E340" s="593"/>
      <c r="F340" s="593"/>
      <c r="G340" s="593"/>
      <c r="H340" s="1661">
        <f>SUM(H337:H339)</f>
        <v>0</v>
      </c>
      <c r="I340" s="593"/>
      <c r="J340" s="593"/>
      <c r="K340" s="1661">
        <f>SUM(K337:K339)</f>
        <v>0</v>
      </c>
      <c r="L340" s="1661">
        <f>SUM(L337:L339)</f>
        <v>0</v>
      </c>
    </row>
    <row r="341" spans="1:14" ht="15.75" customHeight="1" thickTop="1" thickBot="1" x14ac:dyDescent="0.25">
      <c r="A341" s="1592" t="s">
        <v>903</v>
      </c>
      <c r="B341" s="1584" t="s">
        <v>861</v>
      </c>
      <c r="C341" s="593"/>
      <c r="D341" s="593"/>
      <c r="E341" s="473"/>
      <c r="F341" s="467"/>
      <c r="G341" s="467"/>
      <c r="H341" s="473"/>
      <c r="I341" s="473"/>
      <c r="J341" s="467"/>
      <c r="K341" s="473"/>
      <c r="L341" s="1962">
        <v>0</v>
      </c>
    </row>
    <row r="342" spans="1:14" ht="12.75" customHeight="1" thickTop="1" thickBot="1" x14ac:dyDescent="0.25">
      <c r="A342" s="1659" t="s">
        <v>505</v>
      </c>
      <c r="B342" s="1674"/>
      <c r="C342" s="1643">
        <f>SUM(C330)</f>
        <v>0</v>
      </c>
      <c r="D342" s="1643">
        <f>SUM(D330)</f>
        <v>0</v>
      </c>
      <c r="E342" s="1643">
        <f>SUM(E330)</f>
        <v>1429509</v>
      </c>
      <c r="F342" s="1643">
        <f>SUM(F330)</f>
        <v>0</v>
      </c>
      <c r="G342" s="1643">
        <f>SUM(G330)</f>
        <v>0</v>
      </c>
      <c r="H342" s="1643">
        <f>SUM(H330,H334,H340)</f>
        <v>59000</v>
      </c>
      <c r="I342" s="1643">
        <f>SUM(I330)</f>
        <v>0</v>
      </c>
      <c r="J342" s="1643">
        <f>SUM(J330)</f>
        <v>0</v>
      </c>
      <c r="K342" s="1643">
        <f>SUM(K330,K334,K340)</f>
        <v>1488509</v>
      </c>
      <c r="L342" s="1650">
        <f>SUM(L330,L340,L341)</f>
        <v>1650000</v>
      </c>
    </row>
    <row r="343" spans="1:14" ht="12.75" customHeight="1" thickTop="1" x14ac:dyDescent="0.2">
      <c r="A343" s="2222" t="s">
        <v>996</v>
      </c>
      <c r="B343" s="2223"/>
      <c r="C343" s="593"/>
      <c r="D343" s="593"/>
      <c r="E343" s="593"/>
      <c r="F343" s="593"/>
      <c r="G343" s="593"/>
      <c r="H343" s="593"/>
      <c r="I343" s="593"/>
      <c r="J343" s="593"/>
      <c r="K343" s="1657">
        <f>'Revenues 9-14'!J268-'Expenditures 15-22'!K342</f>
        <v>89463</v>
      </c>
      <c r="L343" s="593"/>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212" t="s">
        <v>966</v>
      </c>
      <c r="B345" s="2213"/>
      <c r="C345" s="1524"/>
      <c r="D345" s="1525"/>
      <c r="E345" s="1525"/>
      <c r="F345" s="1525"/>
      <c r="G345" s="1525"/>
      <c r="H345" s="1525"/>
      <c r="I345" s="1525"/>
      <c r="J345" s="1525"/>
      <c r="K345" s="1525"/>
      <c r="L345" s="1526"/>
      <c r="M345" s="642"/>
      <c r="N345" s="642"/>
    </row>
    <row r="346" spans="1:14" s="343" customFormat="1" ht="15.75" customHeight="1" x14ac:dyDescent="0.2">
      <c r="A346" s="1596" t="s">
        <v>844</v>
      </c>
      <c r="B346" s="1588" t="s">
        <v>569</v>
      </c>
      <c r="C346" s="593"/>
      <c r="D346" s="593"/>
      <c r="E346" s="593"/>
      <c r="F346" s="593"/>
      <c r="G346" s="593"/>
      <c r="H346" s="593"/>
      <c r="I346" s="593"/>
      <c r="J346" s="593"/>
      <c r="K346" s="593"/>
      <c r="L346" s="593"/>
      <c r="M346" s="586"/>
      <c r="N346" s="586"/>
    </row>
    <row r="347" spans="1:14" ht="15.75" customHeight="1" x14ac:dyDescent="0.2">
      <c r="A347" s="674" t="s">
        <v>612</v>
      </c>
      <c r="B347" s="675"/>
      <c r="C347" s="600"/>
      <c r="D347" s="600"/>
      <c r="E347" s="600"/>
      <c r="F347" s="600"/>
      <c r="G347" s="600"/>
      <c r="H347" s="600"/>
      <c r="I347" s="593"/>
      <c r="J347" s="593"/>
      <c r="K347" s="600"/>
      <c r="L347" s="600"/>
    </row>
    <row r="348" spans="1:14" x14ac:dyDescent="0.2">
      <c r="A348" s="1477" t="s">
        <v>4</v>
      </c>
      <c r="B348" s="591">
        <v>2530</v>
      </c>
      <c r="C348" s="1928">
        <v>0</v>
      </c>
      <c r="D348" s="1928">
        <v>0</v>
      </c>
      <c r="E348" s="1928">
        <v>0</v>
      </c>
      <c r="F348" s="1928">
        <v>0</v>
      </c>
      <c r="G348" s="1928">
        <v>0</v>
      </c>
      <c r="H348" s="1928">
        <v>0</v>
      </c>
      <c r="I348" s="1929">
        <v>0</v>
      </c>
      <c r="J348" s="1929">
        <v>0</v>
      </c>
      <c r="K348" s="1644">
        <f>SUM(C348:J348)</f>
        <v>0</v>
      </c>
      <c r="L348" s="1950">
        <v>100000</v>
      </c>
    </row>
    <row r="349" spans="1:14" x14ac:dyDescent="0.2">
      <c r="A349" s="1477" t="s">
        <v>197</v>
      </c>
      <c r="B349" s="591">
        <v>2540</v>
      </c>
      <c r="C349" s="1928">
        <v>0</v>
      </c>
      <c r="D349" s="1928">
        <v>0</v>
      </c>
      <c r="E349" s="1928">
        <v>0</v>
      </c>
      <c r="F349" s="1928">
        <v>0</v>
      </c>
      <c r="G349" s="1928">
        <v>0</v>
      </c>
      <c r="H349" s="1928">
        <v>0</v>
      </c>
      <c r="I349" s="1929">
        <v>0</v>
      </c>
      <c r="J349" s="1929">
        <v>0</v>
      </c>
      <c r="K349" s="1644">
        <f>SUM(C349:J349)</f>
        <v>0</v>
      </c>
      <c r="L349" s="1950">
        <v>0</v>
      </c>
    </row>
    <row r="350" spans="1:14" ht="12.75" customHeight="1" thickBot="1" x14ac:dyDescent="0.25">
      <c r="A350" s="1641" t="s">
        <v>719</v>
      </c>
      <c r="B350" s="1642" t="s">
        <v>35</v>
      </c>
      <c r="C350" s="1643">
        <f>SUM(C348:C349)</f>
        <v>0</v>
      </c>
      <c r="D350" s="1643">
        <f t="shared" ref="D350:L350" si="26">SUM(D348:D349)</f>
        <v>0</v>
      </c>
      <c r="E350" s="1643">
        <f t="shared" si="26"/>
        <v>0</v>
      </c>
      <c r="F350" s="1643">
        <f t="shared" si="26"/>
        <v>0</v>
      </c>
      <c r="G350" s="1643">
        <f t="shared" si="26"/>
        <v>0</v>
      </c>
      <c r="H350" s="1643">
        <f t="shared" si="26"/>
        <v>0</v>
      </c>
      <c r="I350" s="1643">
        <f t="shared" si="26"/>
        <v>0</v>
      </c>
      <c r="J350" s="1643">
        <f t="shared" si="26"/>
        <v>0</v>
      </c>
      <c r="K350" s="1643">
        <f t="shared" si="26"/>
        <v>0</v>
      </c>
      <c r="L350" s="1643">
        <f t="shared" si="26"/>
        <v>100000</v>
      </c>
    </row>
    <row r="351" spans="1:14" ht="12.75" customHeight="1" thickTop="1" x14ac:dyDescent="0.2">
      <c r="A351" s="1483" t="s">
        <v>980</v>
      </c>
      <c r="B351" s="619" t="s">
        <v>574</v>
      </c>
      <c r="C351" s="477">
        <v>0</v>
      </c>
      <c r="D351" s="477">
        <v>0</v>
      </c>
      <c r="E351" s="477">
        <v>0</v>
      </c>
      <c r="F351" s="477">
        <v>0</v>
      </c>
      <c r="G351" s="477">
        <v>0</v>
      </c>
      <c r="H351" s="477">
        <v>0</v>
      </c>
      <c r="I351" s="474">
        <v>0</v>
      </c>
      <c r="J351" s="474">
        <v>0</v>
      </c>
      <c r="K351" s="592">
        <f>SUM(C351:J351)</f>
        <v>0</v>
      </c>
      <c r="L351" s="477">
        <v>0</v>
      </c>
    </row>
    <row r="352" spans="1:14" ht="12.75" customHeight="1" thickBot="1" x14ac:dyDescent="0.25">
      <c r="A352" s="1641" t="s">
        <v>624</v>
      </c>
      <c r="B352" s="1648" t="s">
        <v>569</v>
      </c>
      <c r="C352" s="1643">
        <f>SUM(C350:C351)</f>
        <v>0</v>
      </c>
      <c r="D352" s="1643">
        <f t="shared" ref="D352:L352" si="27">SUM(D350:D351)</f>
        <v>0</v>
      </c>
      <c r="E352" s="1643">
        <f t="shared" si="27"/>
        <v>0</v>
      </c>
      <c r="F352" s="1643">
        <f t="shared" si="27"/>
        <v>0</v>
      </c>
      <c r="G352" s="1643">
        <f t="shared" si="27"/>
        <v>0</v>
      </c>
      <c r="H352" s="1643">
        <f t="shared" si="27"/>
        <v>0</v>
      </c>
      <c r="I352" s="1643">
        <f t="shared" si="27"/>
        <v>0</v>
      </c>
      <c r="J352" s="1643">
        <f t="shared" si="27"/>
        <v>0</v>
      </c>
      <c r="K352" s="1643">
        <f t="shared" si="27"/>
        <v>0</v>
      </c>
      <c r="L352" s="1643">
        <f t="shared" si="27"/>
        <v>100000</v>
      </c>
    </row>
    <row r="353" spans="1:14" s="343" customFormat="1" ht="15.75" customHeight="1" thickTop="1" x14ac:dyDescent="0.2">
      <c r="A353" s="1585" t="s">
        <v>625</v>
      </c>
      <c r="B353" s="1582" t="s">
        <v>860</v>
      </c>
      <c r="C353" s="593"/>
      <c r="D353" s="593"/>
      <c r="E353" s="593"/>
      <c r="F353" s="593"/>
      <c r="G353" s="593"/>
      <c r="H353" s="593"/>
      <c r="I353" s="593"/>
      <c r="J353" s="593"/>
      <c r="K353" s="593"/>
      <c r="L353" s="593"/>
      <c r="M353" s="586"/>
      <c r="N353" s="586"/>
    </row>
    <row r="354" spans="1:14" x14ac:dyDescent="0.2">
      <c r="A354" s="1807" t="s">
        <v>1815</v>
      </c>
      <c r="B354" s="658" t="s">
        <v>1807</v>
      </c>
      <c r="C354" s="593"/>
      <c r="D354" s="593"/>
      <c r="E354" s="593"/>
      <c r="F354" s="593"/>
      <c r="G354" s="593"/>
      <c r="H354" s="1931">
        <v>0</v>
      </c>
      <c r="I354" s="676"/>
      <c r="J354" s="593"/>
      <c r="K354" s="1672">
        <f>H354</f>
        <v>0</v>
      </c>
      <c r="L354" s="1952">
        <v>0</v>
      </c>
    </row>
    <row r="355" spans="1:14" ht="12.75" customHeight="1" x14ac:dyDescent="0.2">
      <c r="A355" s="1486" t="s">
        <v>1816</v>
      </c>
      <c r="B355" s="665" t="s">
        <v>1809</v>
      </c>
      <c r="C355" s="593"/>
      <c r="D355" s="593"/>
      <c r="E355" s="593"/>
      <c r="F355" s="593"/>
      <c r="G355" s="593"/>
      <c r="H355" s="1929">
        <v>0</v>
      </c>
      <c r="I355" s="676"/>
      <c r="J355" s="593"/>
      <c r="K355" s="1716">
        <f>H355</f>
        <v>0</v>
      </c>
      <c r="L355" s="1951">
        <v>0</v>
      </c>
    </row>
    <row r="356" spans="1:14" ht="12.75" customHeight="1" x14ac:dyDescent="0.2">
      <c r="A356" s="1807" t="s">
        <v>698</v>
      </c>
      <c r="B356" s="658" t="s">
        <v>558</v>
      </c>
      <c r="C356" s="593"/>
      <c r="D356" s="593"/>
      <c r="E356" s="593"/>
      <c r="F356" s="593"/>
      <c r="G356" s="593"/>
      <c r="H356" s="1933">
        <v>0</v>
      </c>
      <c r="I356" s="676"/>
      <c r="J356" s="593"/>
      <c r="K356" s="1713">
        <f>H356</f>
        <v>0</v>
      </c>
      <c r="L356" s="1955">
        <v>0</v>
      </c>
    </row>
    <row r="357" spans="1:14" ht="12.75" customHeight="1" thickBot="1" x14ac:dyDescent="0.25">
      <c r="A357" s="1641" t="s">
        <v>1473</v>
      </c>
      <c r="B357" s="1642" t="s">
        <v>860</v>
      </c>
      <c r="C357" s="593"/>
      <c r="D357" s="593"/>
      <c r="E357" s="593"/>
      <c r="F357" s="593"/>
      <c r="G357" s="593"/>
      <c r="H357" s="1661">
        <f>SUM(H354:H356)</f>
        <v>0</v>
      </c>
      <c r="I357" s="676"/>
      <c r="J357" s="593"/>
      <c r="K357" s="1661">
        <f>SUM(K354:K356)</f>
        <v>0</v>
      </c>
      <c r="L357" s="1661">
        <f>SUM(L354:L356)</f>
        <v>0</v>
      </c>
    </row>
    <row r="358" spans="1:14" s="343" customFormat="1" ht="15.75" customHeight="1" thickTop="1" x14ac:dyDescent="0.2">
      <c r="A358" s="1585" t="s">
        <v>948</v>
      </c>
      <c r="B358" s="1582" t="s">
        <v>492</v>
      </c>
      <c r="C358" s="593"/>
      <c r="D358" s="593"/>
      <c r="E358" s="593"/>
      <c r="F358" s="593"/>
      <c r="G358" s="593"/>
      <c r="H358" s="593"/>
      <c r="I358" s="593"/>
      <c r="J358" s="593"/>
      <c r="K358" s="593"/>
      <c r="L358" s="593"/>
      <c r="M358" s="586"/>
      <c r="N358" s="586"/>
    </row>
    <row r="359" spans="1:14" s="343" customFormat="1" ht="15.75" customHeight="1" x14ac:dyDescent="0.2">
      <c r="A359" s="629" t="s">
        <v>627</v>
      </c>
      <c r="B359" s="599"/>
      <c r="C359" s="593"/>
      <c r="D359" s="593"/>
      <c r="E359" s="593"/>
      <c r="F359" s="593"/>
      <c r="G359" s="593"/>
      <c r="H359" s="593"/>
      <c r="I359" s="593"/>
      <c r="J359" s="593"/>
      <c r="K359" s="600"/>
      <c r="L359" s="600"/>
      <c r="M359" s="586"/>
      <c r="N359" s="586"/>
    </row>
    <row r="360" spans="1:14" x14ac:dyDescent="0.2">
      <c r="A360" s="1477" t="s">
        <v>87</v>
      </c>
      <c r="B360" s="591">
        <v>5110</v>
      </c>
      <c r="C360" s="593"/>
      <c r="D360" s="593"/>
      <c r="E360" s="593"/>
      <c r="F360" s="593"/>
      <c r="G360" s="593"/>
      <c r="H360" s="1945">
        <v>0</v>
      </c>
      <c r="I360" s="593"/>
      <c r="J360" s="593"/>
      <c r="K360" s="1644">
        <f>SUM(C360:J360)</f>
        <v>0</v>
      </c>
      <c r="L360" s="1950">
        <v>0</v>
      </c>
    </row>
    <row r="361" spans="1:14" ht="12.75" customHeight="1" x14ac:dyDescent="0.2">
      <c r="A361" s="1478" t="s">
        <v>619</v>
      </c>
      <c r="B361" s="579" t="s">
        <v>618</v>
      </c>
      <c r="C361" s="593"/>
      <c r="D361" s="593"/>
      <c r="E361" s="593"/>
      <c r="F361" s="593"/>
      <c r="G361" s="593"/>
      <c r="H361" s="1945">
        <v>0</v>
      </c>
      <c r="I361" s="593"/>
      <c r="J361" s="593"/>
      <c r="K361" s="1644">
        <f>SUM(C361:J361)</f>
        <v>0</v>
      </c>
      <c r="L361" s="1950">
        <v>0</v>
      </c>
    </row>
    <row r="362" spans="1:14" ht="12.75" customHeight="1" thickBot="1" x14ac:dyDescent="0.25">
      <c r="A362" s="1641" t="s">
        <v>626</v>
      </c>
      <c r="B362" s="1642" t="s">
        <v>718</v>
      </c>
      <c r="C362" s="593"/>
      <c r="D362" s="593"/>
      <c r="E362" s="593"/>
      <c r="F362" s="593"/>
      <c r="G362" s="593"/>
      <c r="H362" s="1676">
        <f>SUM(H360:H361)</f>
        <v>0</v>
      </c>
      <c r="I362" s="593"/>
      <c r="J362" s="593"/>
      <c r="K362" s="1676">
        <f>SUM(K360:K361)</f>
        <v>0</v>
      </c>
      <c r="L362" s="1676">
        <f>SUM(L360:L361)</f>
        <v>0</v>
      </c>
    </row>
    <row r="363" spans="1:14" s="649" customFormat="1" ht="15.75" customHeight="1" thickTop="1" x14ac:dyDescent="0.2">
      <c r="A363" s="635" t="s">
        <v>83</v>
      </c>
      <c r="B363" s="636" t="s">
        <v>38</v>
      </c>
      <c r="C363" s="615"/>
      <c r="D363" s="615"/>
      <c r="E363" s="615"/>
      <c r="F363" s="615"/>
      <c r="G363" s="615"/>
      <c r="H363" s="1946">
        <v>0</v>
      </c>
      <c r="I363" s="615"/>
      <c r="J363" s="615"/>
      <c r="K363" s="1672">
        <f>SUM(C363:J363)</f>
        <v>0</v>
      </c>
      <c r="L363" s="1955">
        <v>0</v>
      </c>
      <c r="M363" s="640"/>
      <c r="N363" s="640"/>
    </row>
    <row r="364" spans="1:14" s="681" customFormat="1" ht="29.25" customHeight="1" x14ac:dyDescent="0.2">
      <c r="A364" s="677" t="s">
        <v>1641</v>
      </c>
      <c r="B364" s="678">
        <v>5300</v>
      </c>
      <c r="C364" s="679"/>
      <c r="D364" s="680"/>
      <c r="E364" s="680"/>
      <c r="F364" s="679"/>
      <c r="G364" s="680"/>
      <c r="H364" s="1949">
        <v>0</v>
      </c>
      <c r="I364" s="680"/>
      <c r="J364" s="680"/>
      <c r="K364" s="1644">
        <f>SUM(C364:J364)</f>
        <v>0</v>
      </c>
      <c r="L364" s="1965">
        <v>0</v>
      </c>
    </row>
    <row r="365" spans="1:14" s="649" customFormat="1" ht="12.75" customHeight="1" thickBot="1" x14ac:dyDescent="0.25">
      <c r="A365" s="1494" t="s">
        <v>590</v>
      </c>
      <c r="B365" s="634" t="s">
        <v>492</v>
      </c>
      <c r="C365" s="615"/>
      <c r="D365" s="615"/>
      <c r="E365" s="615"/>
      <c r="F365" s="615"/>
      <c r="G365" s="615"/>
      <c r="H365" s="1676">
        <f>SUM(H362,H363,H364)</f>
        <v>0</v>
      </c>
      <c r="I365" s="615"/>
      <c r="J365" s="615"/>
      <c r="K365" s="1676">
        <f>SUM(K362,K363,K364)</f>
        <v>0</v>
      </c>
      <c r="L365" s="1676">
        <f>SUM(L362,L363,L364)</f>
        <v>0</v>
      </c>
      <c r="M365" s="640"/>
      <c r="N365" s="640"/>
    </row>
    <row r="366" spans="1:14" s="343" customFormat="1" ht="15.75" customHeight="1" thickTop="1" thickBot="1" x14ac:dyDescent="0.25">
      <c r="A366" s="1579" t="s">
        <v>949</v>
      </c>
      <c r="B366" s="1586" t="s">
        <v>861</v>
      </c>
      <c r="C366" s="600"/>
      <c r="D366" s="600"/>
      <c r="E366" s="600"/>
      <c r="F366" s="600"/>
      <c r="G366" s="600"/>
      <c r="H366" s="600"/>
      <c r="I366" s="600"/>
      <c r="J366" s="593"/>
      <c r="K366" s="600"/>
      <c r="L366" s="1961">
        <v>0</v>
      </c>
      <c r="M366" s="586"/>
      <c r="N366" s="586"/>
    </row>
    <row r="367" spans="1:14" ht="12.75" customHeight="1" thickTop="1" thickBot="1" x14ac:dyDescent="0.25">
      <c r="A367" s="1665" t="s">
        <v>505</v>
      </c>
      <c r="B367" s="1677"/>
      <c r="C367" s="1643">
        <f t="shared" ref="C367:L367" si="28">SUM(C352,C357,C365,C366)</f>
        <v>0</v>
      </c>
      <c r="D367" s="1643">
        <f t="shared" si="28"/>
        <v>0</v>
      </c>
      <c r="E367" s="1643">
        <f t="shared" si="28"/>
        <v>0</v>
      </c>
      <c r="F367" s="1643">
        <f t="shared" si="28"/>
        <v>0</v>
      </c>
      <c r="G367" s="1643">
        <f t="shared" si="28"/>
        <v>0</v>
      </c>
      <c r="H367" s="1643">
        <f t="shared" si="28"/>
        <v>0</v>
      </c>
      <c r="I367" s="1643">
        <f t="shared" si="28"/>
        <v>0</v>
      </c>
      <c r="J367" s="1643">
        <f t="shared" si="28"/>
        <v>0</v>
      </c>
      <c r="K367" s="1643">
        <f t="shared" si="28"/>
        <v>0</v>
      </c>
      <c r="L367" s="1643">
        <f t="shared" si="28"/>
        <v>100000</v>
      </c>
    </row>
    <row r="368" spans="1:14" ht="13.5" thickTop="1" x14ac:dyDescent="0.2">
      <c r="A368" s="2209" t="s">
        <v>996</v>
      </c>
      <c r="B368" s="2210"/>
      <c r="C368" s="630"/>
      <c r="D368" s="630"/>
      <c r="E368" s="603"/>
      <c r="F368" s="603"/>
      <c r="G368" s="603"/>
      <c r="H368" s="603"/>
      <c r="I368" s="603"/>
      <c r="J368" s="600"/>
      <c r="K368" s="1644">
        <f>'Revenues 9-14'!K268-'Expenditures 15-22'!K367</f>
        <v>70574</v>
      </c>
      <c r="L368" s="630"/>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20"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4d435f69-8686-490b-bd6d-b153bf22ab50"/>
    <ds:schemaRef ds:uri="http://purl.org/dc/dcmitype/"/>
    <ds:schemaRef ds:uri="d21dc803-237d-4c68-8692-8d731fd29118"/>
    <ds:schemaRef ds:uri="http://schemas.openxmlformats.org/package/2006/metadata/core-properties"/>
    <ds:schemaRef ds:uri="6ce3111e-7420-4802-b50a-75d4e9a0b980"/>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CAP	</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2019-10-10T16:03:34Z</cp:lastPrinted>
  <dcterms:created xsi:type="dcterms:W3CDTF">2003-10-29T19:06:34Z</dcterms:created>
  <dcterms:modified xsi:type="dcterms:W3CDTF">2019-11-19T15:08:20Z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2a</vt:lpwstr>
  </property>
</Properties>
</file>