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2BFCCD7-9AF4-4869-92D3-1E8BD16EFC52}" xr6:coauthVersionLast="36" xr6:coauthVersionMax="36" xr10:uidLastSave="{00000000-0000-0000-0000-000000000000}"/>
  <bookViews>
    <workbookView xWindow="-120" yWindow="-120" windowWidth="29040" windowHeight="15840" tabRatio="96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7" l="1"/>
  <c r="E14" i="7"/>
  <c r="E12" i="7"/>
  <c r="E11" i="7"/>
  <c r="E8" i="7"/>
  <c r="E7" i="7"/>
  <c r="E5" i="7"/>
  <c r="E4" i="7"/>
  <c r="M40" i="3" l="1"/>
  <c r="M19" i="3"/>
  <c r="L31" i="179" l="1"/>
  <c r="K48" i="179"/>
  <c r="K43" i="179"/>
  <c r="K21" i="179"/>
  <c r="J48" i="179"/>
  <c r="J43" i="179"/>
  <c r="J21" i="179"/>
  <c r="C6" i="3" l="1"/>
  <c r="L36" i="179" l="1"/>
  <c r="F26" i="179" l="1"/>
  <c r="F24" i="179" s="1"/>
  <c r="L25" i="179"/>
  <c r="M24" i="179"/>
  <c r="G26" i="179"/>
  <c r="I43" i="179" l="1"/>
  <c r="J49" i="179"/>
  <c r="I48" i="179"/>
  <c r="H48" i="179"/>
  <c r="G48" i="179"/>
  <c r="F48" i="179"/>
  <c r="E48" i="179"/>
  <c r="K49" i="179"/>
  <c r="H43" i="179"/>
  <c r="G43" i="179"/>
  <c r="E43" i="179"/>
  <c r="I21" i="179"/>
  <c r="H21" i="179"/>
  <c r="G21" i="179"/>
  <c r="E21" i="179"/>
  <c r="F39" i="179"/>
  <c r="F38" i="179" s="1"/>
  <c r="F36" i="179"/>
  <c r="F35" i="179" s="1"/>
  <c r="F34" i="179"/>
  <c r="F33" i="179" s="1"/>
  <c r="F30" i="179"/>
  <c r="F29" i="179" s="1"/>
  <c r="I49" i="179" l="1"/>
  <c r="D45" i="174" s="1"/>
  <c r="G49" i="179"/>
  <c r="E49" i="179"/>
  <c r="H49" i="179"/>
  <c r="F43" i="179"/>
  <c r="F17" i="179"/>
  <c r="F16" i="179" s="1"/>
  <c r="F15" i="179"/>
  <c r="F14" i="179" s="1"/>
  <c r="F21" i="179" s="1"/>
  <c r="F49" i="179" l="1"/>
  <c r="D35" i="171" s="1"/>
  <c r="L47" i="179"/>
  <c r="L46" i="179"/>
  <c r="L42" i="179"/>
  <c r="L39" i="179"/>
  <c r="L38" i="179"/>
  <c r="L37" i="179"/>
  <c r="L20" i="179"/>
  <c r="L19" i="179"/>
  <c r="L17" i="179"/>
  <c r="L16" i="179"/>
  <c r="L15" i="179"/>
  <c r="L14" i="179"/>
  <c r="L48" i="179" l="1"/>
  <c r="L21" i="179"/>
  <c r="B16" i="7" l="1"/>
  <c r="B12" i="7"/>
  <c r="B11" i="7"/>
  <c r="B8" i="7"/>
  <c r="B7" i="7"/>
  <c r="B6" i="7"/>
  <c r="B5" i="7"/>
  <c r="B4" i="7"/>
  <c r="B14" i="7"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35" i="179" l="1"/>
  <c r="L34" i="179"/>
  <c r="L33" i="179"/>
  <c r="L32" i="179"/>
  <c r="L30" i="179"/>
  <c r="L29" i="179"/>
  <c r="L28" i="179"/>
  <c r="L27" i="179"/>
  <c r="L26" i="179"/>
  <c r="L24" i="179"/>
  <c r="L43" i="179" l="1"/>
  <c r="L49"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L22" i="37"/>
  <c r="D24" i="37"/>
  <c r="B4270" i="106" s="1"/>
  <c r="D4270" i="106" s="1"/>
  <c r="G33" i="108" l="1"/>
  <c r="F77" i="4"/>
  <c r="B3255" i="106" s="1"/>
  <c r="D3255" i="106" s="1"/>
  <c r="F44" i="34"/>
  <c r="F56" i="34"/>
  <c r="D31" i="108"/>
  <c r="B1124" i="106"/>
  <c r="D1124" i="106" s="1"/>
  <c r="D54" i="36"/>
  <c r="J22" i="37"/>
  <c r="L367" i="29"/>
  <c r="F19" i="7"/>
  <c r="B1807" i="106" s="1"/>
  <c r="D1807" i="106" s="1"/>
  <c r="L5" i="11"/>
  <c r="B2056" i="106" s="1"/>
  <c r="D2056" i="106" s="1"/>
  <c r="D11" i="37"/>
  <c r="B6289" i="106"/>
  <c r="D6289" i="106" s="1"/>
  <c r="L15" i="11"/>
  <c r="B3459" i="106" s="1"/>
  <c r="D3459" i="106" s="1"/>
  <c r="L13" i="11"/>
  <c r="B2060" i="106" s="1"/>
  <c r="D2060" i="106" s="1"/>
  <c r="H28" i="118"/>
  <c r="K28" i="118" s="1"/>
  <c r="O27" i="118" s="1"/>
  <c r="O29" i="118" s="1"/>
  <c r="H112" i="29"/>
  <c r="B7018" i="106" s="1"/>
  <c r="D7018" i="106" s="1"/>
  <c r="D14" i="4"/>
  <c r="B2570" i="106" s="1"/>
  <c r="D2570" i="106" s="1"/>
  <c r="E30" i="108"/>
  <c r="E34" i="108"/>
  <c r="D37" i="108"/>
  <c r="F37" i="108"/>
  <c r="E26" i="108"/>
  <c r="I210" i="29"/>
  <c r="B7071" i="106" s="1"/>
  <c r="D7071" i="106" s="1"/>
  <c r="D36" i="108"/>
  <c r="B1274" i="106"/>
  <c r="D1274" i="106" s="1"/>
  <c r="G38" i="108"/>
  <c r="G30" i="108"/>
  <c r="F36" i="108"/>
  <c r="G26" i="108"/>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L16" i="11"/>
  <c r="B2061" i="106" s="1"/>
  <c r="D2061" i="106" s="1"/>
  <c r="B2031" i="106"/>
  <c r="D2031" i="106" s="1"/>
  <c r="D44" i="36"/>
  <c r="D51" i="36"/>
  <c r="L114" i="29"/>
  <c r="B1317" i="106"/>
  <c r="D1317" i="106" s="1"/>
  <c r="B1328" i="106"/>
  <c r="D1328" i="106" s="1"/>
  <c r="I7" i="4"/>
  <c r="B4444" i="106" s="1"/>
  <c r="D4444" i="106" s="1"/>
  <c r="F66" i="34"/>
  <c r="D41" i="108"/>
  <c r="E43" i="108"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<sst xmlns="http://schemas.openxmlformats.org/spreadsheetml/2006/main" count="5181" uniqueCount="2156">
  <si>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</si>
  <si>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</si>
  <si>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</si>
  <si>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</si>
  <si>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</si>
  <si>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</si>
  <si>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</si>
  <si>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</si>
  <si>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</si>
  <si>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</si>
  <si>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</si>
  <si>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</si>
  <si>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</si>
  <si>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</si>
  <si>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</si>
  <si>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</si>
  <si>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</si>
  <si>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</si>
  <si>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</si>
  <si>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</si>
  <si>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</si>
  <si>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</si>
  <si>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</si>
  <si>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</si>
  <si>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</si>
  <si>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</si>
  <si>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</si>
  <si>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</si>
  <si>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</si>
  <si>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</si>
  <si>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</si>
  <si>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</si>
  <si>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</si>
  <si>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</si>
  <si>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</si>
  <si>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</si>
  <si>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</si>
  <si>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</si>
  <si>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</si>
  <si>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</si>
  <si>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</si>
  <si>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</si>
  <si>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</si>
  <si>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</si>
  <si>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</si>
  <si>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</si>
  <si>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</si>
  <si>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</si>
  <si>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</si>
  <si>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</si>
  <si>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</si>
  <si>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</si>
  <si>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</si>
  <si>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</si>
  <si>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</si>
  <si>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</si>
  <si>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</si>
  <si>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</si>
  <si>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</si>
  <si>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</si>
  <si>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</si>
  <si>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</si>
  <si>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</si>
  <si>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</si>
  <si>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</si>
  <si>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</si>
  <si>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</si>
  <si>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</si>
  <si>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</si>
  <si>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</si>
  <si>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</si>
  <si>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</si>
  <si>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</si>
  <si>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</si>
  <si>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</si>
  <si>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</si>
  <si>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</si>
  <si>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</si>
  <si>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</si>
  <si>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</si>
  <si>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</si>
  <si>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</si>
  <si>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</si>
  <si>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</si>
  <si>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</si>
  <si>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</si>
  <si>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</si>
  <si>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</si>
  <si>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</si>
  <si>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</si>
  <si>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</si>
  <si>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</si>
  <si>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</si>
  <si>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</si>
  <si>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</si>
  <si>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</si>
  <si>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</si>
  <si>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</si>
  <si>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</si>
  <si>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</si>
  <si>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</si>
  <si>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</si>
  <si>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</si>
  <si>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</si>
  <si>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</si>
  <si>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</si>
  <si>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</si>
  <si>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</si>
  <si>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</si>
  <si>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</si>
  <si>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</si>
  <si>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</si>
  <si>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</si>
  <si>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</si>
  <si>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</si>
  <si>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</si>
  <si>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</si>
  <si>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</si>
  <si>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</si>
  <si>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</si>
  <si>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</si>
  <si>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</si>
  <si>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</si>
  <si>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</si>
  <si>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</si>
  <si>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</si>
  <si>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</si>
  <si>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</si>
  <si>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</si>
  <si>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</si>
  <si>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</si>
  <si>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</si>
  <si>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</si>
  <si>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</si>
  <si>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</si>
  <si>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</si>
  <si>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</si>
  <si>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</si>
  <si>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</si>
  <si>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</si>
  <si>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</si>
  <si>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</si>
  <si>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</si>
  <si>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</si>
  <si>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</si>
  <si>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</si>
  <si>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</si>
  <si>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</si>
  <si>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</si>
  <si>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</si>
  <si>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</si>
  <si>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</si>
  <si>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</si>
  <si>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</si>
  <si>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</si>
  <si>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</si>
  <si>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</si>
  <si>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</si>
  <si>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</si>
  <si>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</si>
  <si>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</si>
  <si>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</si>
  <si>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</si>
  <si>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</si>
  <si>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</si>
  <si>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</si>
  <si>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</si>
  <si>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</si>
  <si>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</si>
  <si>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</si>
  <si>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</si>
  <si>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</si>
  <si>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</si>
  <si>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</si>
  <si>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</si>
  <si>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</si>
  <si>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</si>
  <si>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</si>
  <si>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</si>
  <si>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</si>
  <si>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</si>
  <si>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</si>
  <si>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</si>
  <si>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</si>
  <si>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</si>
  <si>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</si>
  <si>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</si>
  <si>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</si>
  <si>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</si>
  <si>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</si>
  <si>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</si>
  <si>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</si>
  <si>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</si>
  <si>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</si>
  <si>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</si>
  <si>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</si>
  <si>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</si>
  <si>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</si>
  <si>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</si>
  <si>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</si>
  <si>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</si>
  <si>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</si>
  <si>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</si>
  <si>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</si>
  <si>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</si>
  <si>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</si>
  <si>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</si>
  <si>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</si>
  <si>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</si>
  <si>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</si>
  <si>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</si>
  <si>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</si>
  <si>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</si>
  <si>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</si>
  <si>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</si>
  <si>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</si>
  <si>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</si>
  <si>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</si>
  <si>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</si>
  <si>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</si>
  <si>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</si>
  <si>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</si>
  <si>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</si>
  <si>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</si>
  <si>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</si>
  <si>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</si>
  <si>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</si>
  <si>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</si>
  <si>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</si>
  <si>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</si>
  <si>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</si>
  <si>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</si>
  <si>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</si>
  <si>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</si>
  <si>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</si>
  <si>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</si>
  <si>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</si>
  <si>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</si>
  <si>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</si>
  <si>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</si>
  <si>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</si>
  <si>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</si>
  <si>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</si>
  <si>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</si>
  <si>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</si>
  <si>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</si>
  <si>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</si>
  <si>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</si>
  <si>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</si>
  <si>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</si>
  <si>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</si>
  <si>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</si>
  <si>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</si>
  <si>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</si>
  <si>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</si>
  <si>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</si>
  <si>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</si>
  <si>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</si>
  <si>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</si>
  <si>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</si>
  <si>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</si>
  <si>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</si>
  <si>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</si>
  <si>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</si>
  <si>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</si>
  <si>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</si>
  <si>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</si>
  <si>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</si>
  <si>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</si>
  <si>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</si>
  <si>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</si>
  <si>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</si>
  <si>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</si>
  <si>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</si>
  <si>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</si>
  <si>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</si>
  <si>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</si>
  <si>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</si>
  <si>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</si>
  <si>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</si>
  <si>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</si>
  <si>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</si>
  <si>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</si>
  <si>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</si>
  <si>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</si>
  <si>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</si>
  <si>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</si>
  <si>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</si>
  <si>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</si>
  <si>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</si>
  <si>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</si>
  <si>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</si>
  <si>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</si>
  <si>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</si>
  <si>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</si>
  <si>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</si>
  <si>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</si>
  <si>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</si>
  <si>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</si>
  <si>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</si>
  <si>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</si>
  <si>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</si>
  <si>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</si>
  <si>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</si>
  <si>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</si>
  <si>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</si>
  <si>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</si>
  <si>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</si>
  <si>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</si>
  <si>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</si>
  <si>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</si>
  <si>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</si>
  <si>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</si>
  <si>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</si>
  <si>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</si>
  <si>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</si>
  <si>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</si>
  <si>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</si>
  <si>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</si>
  <si>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</si>
  <si>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</si>
  <si>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</si>
  <si>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</si>
  <si>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</si>
  <si>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</si>
  <si>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</si>
  <si>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</si>
  <si>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</si>
  <si>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</si>
  <si>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</si>
  <si>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</si>
  <si>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</si>
  <si>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</si>
  <si>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</si>
  <si>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</si>
  <si>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</si>
  <si>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</si>
  <si>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</si>
  <si>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</si>
  <si>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</si>
  <si>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</si>
  <si>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</si>
  <si>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</si>
  <si>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</si>
  <si>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</si>
  <si>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</si>
  <si>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</si>
  <si>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</si>
  <si>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</si>
  <si>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</si>
  <si>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</si>
  <si>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</si>
  <si>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</si>
  <si>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</si>
  <si>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</si>
  <si>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</si>
  <si>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</si>
  <si>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</si>
  <si>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</si>
  <si>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</si>
  <si>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</si>
  <si>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</si>
  <si>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</si>
  <si>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</si>
  <si>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</si>
  <si>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</si>
  <si>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</si>
  <si>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</si>
  <si>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</si>
  <si>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</si>
  <si>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</si>
  <si>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</si>
  <si>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</si>
  <si>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</si>
  <si>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</si>
  <si>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</si>
  <si>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</si>
  <si>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</si>
  <si>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</si>
  <si>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</si>
  <si>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</si>
  <si>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</si>
  <si>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</si>
  <si>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</si>
  <si>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</si>
  <si>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</si>
  <si>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</si>
  <si>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</si>
  <si>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</si>
  <si>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</si>
  <si>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</si>
  <si>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</si>
  <si>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</si>
  <si>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</si>
  <si>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</si>
  <si>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</si>
  <si>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</si>
  <si>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</si>
  <si>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</si>
  <si>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</si>
  <si>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</si>
  <si>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</si>
  <si>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</si>
  <si>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</si>
  <si>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</si>
  <si>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</si>
  <si>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</si>
  <si>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</si>
  <si>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</si>
  <si>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</si>
  <si>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</si>
  <si>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</si>
  <si>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</si>
  <si>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</si>
  <si>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</si>
  <si>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</si>
  <si>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</si>
  <si>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</si>
  <si>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</si>
  <si>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</si>
  <si>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</si>
  <si>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</si>
  <si>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</si>
  <si>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</si>
  <si>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</si>
  <si>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</si>
  <si>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</si>
  <si>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</si>
  <si>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</si>
  <si>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</si>
  <si>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</si>
  <si>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</si>
  <si>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</si>
  <si>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</si>
  <si>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</si>
  <si>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</si>
  <si>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</si>
  <si>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</si>
  <si>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</si>
  <si>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</si>
  <si>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</si>
  <si>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</si>
  <si>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</si>
  <si>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</si>
  <si>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</si>
  <si>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</si>
  <si>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</si>
  <si>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</si>
  <si>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</si>
  <si>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</si>
  <si>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</si>
  <si>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</si>
  <si>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</si>
  <si>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</si>
  <si>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</si>
  <si>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</si>
  <si>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</si>
  <si>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</si>
  <si>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</si>
  <si>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</si>
  <si>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</si>
  <si>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</si>
  <si>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</si>
  <si>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</si>
  <si>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</si>
  <si>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</si>
  <si>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</si>
  <si>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</si>
  <si>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</si>
  <si>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</si>
  <si>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</si>
  <si>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</si>
  <si>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</si>
  <si>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</si>
  <si>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</si>
  <si>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</si>
  <si>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</si>
  <si>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</si>
  <si>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</si>
  <si>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</si>
  <si>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</si>
  <si>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</si>
  <si>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</si>
  <si>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</si>
  <si>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</si>
  <si>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</si>
  <si>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</si>
  <si>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</si>
  <si>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</si>
  <si>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</si>
  <si>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</si>
  <si>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</si>
  <si>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</si>
  <si>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</si>
  <si>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</si>
  <si>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</si>
  <si>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</si>
  <si>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</si>
  <si>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</si>
  <si>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</si>
  <si>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</si>
  <si>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</si>
  <si>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</si>
  <si>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</si>
  <si>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</si>
  <si>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</si>
  <si>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</si>
  <si>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</si>
  <si>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</si>
  <si>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</si>
  <si>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</si>
  <si>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</si>
  <si>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</si>
  <si>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</si>
  <si>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</si>
  <si>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</si>
  <si>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</si>
  <si>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</si>
  <si>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</si>
  <si>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</si>
  <si>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</si>
  <si>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</si>
  <si>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</si>
  <si>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</si>
  <si>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</si>
  <si>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</si>
  <si>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</si>
  <si>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</si>
  <si>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</si>
  <si>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</si>
  <si>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</si>
  <si>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</si>
  <si>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</si>
  <si>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</si>
  <si>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</si>
  <si>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</si>
  <si>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</si>
  <si>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</si>
  <si>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</si>
  <si>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</si>
  <si>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</si>
  <si>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</si>
  <si>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</si>
  <si>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</si>
  <si>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</si>
  <si>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</si>
  <si>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</si>
  <si>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</si>
  <si>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</si>
  <si>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</si>
  <si>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</si>
  <si>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</si>
  <si>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</si>
  <si>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</si>
  <si>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</si>
  <si>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</si>
  <si>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</si>
  <si>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</si>
  <si>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</si>
  <si>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</si>
  <si>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</si>
  <si>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</si>
  <si>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</si>
  <si>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</si>
  <si>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</si>
  <si>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</si>
  <si>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</si>
  <si>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</si>
  <si>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</si>
  <si>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</si>
  <si>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</si>
  <si>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</si>
  <si>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</si>
  <si>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</si>
  <si>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</si>
  <si>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</si>
  <si>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</si>
  <si>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</si>
  <si>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</si>
  <si>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</si>
  <si>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</si>
  <si>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</si>
  <si>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</si>
  <si>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</si>
  <si>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</si>
  <si>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</si>
  <si>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</si>
  <si>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</si>
  <si>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</si>
  <si>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</si>
  <si>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</si>
  <si>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</si>
  <si>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</si>
  <si>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</si>
  <si>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</si>
  <si>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</si>
  <si>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</si>
  <si>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</si>
  <si>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</si>
  <si>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</si>
  <si>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</si>
  <si>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</si>
  <si>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</si>
  <si>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</si>
  <si>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</si>
  <si>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</si>
  <si>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</si>
  <si>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</si>
  <si>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</si>
  <si>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</si>
  <si>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</si>
  <si>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</si>
  <si>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</si>
  <si>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</si>
  <si>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</si>
  <si>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</si>
  <si>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</si>
  <si>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</si>
  <si>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</si>
  <si>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</si>
  <si>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</si>
  <si>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</si>
  <si>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</si>
  <si>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</si>
  <si>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</si>
  <si>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</si>
  <si>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</si>
  <si>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</si>
  <si>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</si>
  <si>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</si>
  <si>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</si>
  <si>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</si>
  <si>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</si>
  <si>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</si>
  <si>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</si>
  <si>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</si>
  <si>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</si>
  <si>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</si>
  <si>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</si>
  <si>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</si>
  <si>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</si>
  <si>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</si>
  <si>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</si>
  <si>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</si>
  <si>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</si>
  <si>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</si>
  <si>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</si>
  <si>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</si>
  <si>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</si>
  <si>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</si>
  <si>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</si>
  <si>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</si>
  <si>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</si>
  <si>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</si>
  <si>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</si>
  <si>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</si>
  <si>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</si>
  <si>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</si>
  <si>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</si>
  <si>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</si>
  <si>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</si>
  <si>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</si>
  <si>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</si>
  <si>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</si>
  <si>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</si>
  <si>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</si>
  <si>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</si>
  <si>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</si>
  <si>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</si>
  <si>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</si>
  <si>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</si>
  <si>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</si>
  <si>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</si>
  <si>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</si>
  <si>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</si>
  <si>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</si>
  <si>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</si>
  <si>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</si>
  <si>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</si>
  <si>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</si>
  <si>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</si>
  <si>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</si>
  <si>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</si>
  <si>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</si>
  <si>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</si>
  <si>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</si>
  <si>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</si>
  <si>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</si>
  <si>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</si>
  <si>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</si>
  <si>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</si>
  <si>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</si>
  <si>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</si>
  <si>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</si>
  <si>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</si>
  <si>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</si>
  <si>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</si>
  <si>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</si>
  <si>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</si>
  <si>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</si>
  <si>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</si>
  <si>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</si>
  <si>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</si>
  <si>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</si>
  <si>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</si>
  <si>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</si>
  <si>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</si>
  <si>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</si>
  <si>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</si>
  <si>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</si>
  <si>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</si>
  <si>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</si>
  <si>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</si>
  <si>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</si>
  <si>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</si>
  <si>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</si>
  <si>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</si>
  <si>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</si>
  <si>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</si>
  <si>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</si>
  <si>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</si>
  <si>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</si>
  <si>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</si>
  <si>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</si>
  <si>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</si>
  <si>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</si>
  <si>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</si>
  <si>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</si>
  <si>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</si>
  <si>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</si>
  <si>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</si>
  <si>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</si>
  <si>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</si>
  <si>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</si>
  <si>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</si>
  <si>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</si>
  <si>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</si>
  <si>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</si>
  <si>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</si>
  <si>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</si>
  <si>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</si>
  <si>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</si>
  <si>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</si>
  <si>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</si>
  <si>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</si>
  <si>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</si>
  <si>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</si>
  <si>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</si>
  <si>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</si>
  <si>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</si>
  <si>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</si>
  <si>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</si>
  <si>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</si>
  <si>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</si>
  <si>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</si>
  <si>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</si>
  <si>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</si>
  <si>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</si>
  <si>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</si>
  <si>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</si>
  <si>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</si>
  <si>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</si>
  <si>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</si>
  <si>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</si>
  <si>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</si>
  <si>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</si>
  <si>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</si>
  <si>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</si>
  <si>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</si>
  <si>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</si>
  <si>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</si>
  <si>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</si>
  <si>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</si>
  <si>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</si>
  <si>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</si>
  <si>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</si>
  <si>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</si>
  <si>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</si>
  <si>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</si>
  <si>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</si>
  <si>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</si>
  <si>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</si>
  <si>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</si>
  <si>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</si>
  <si>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</si>
  <si>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</si>
  <si>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</si>
  <si>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</si>
  <si>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</si>
  <si>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</si>
  <si>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</si>
  <si>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</si>
  <si>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</si>
  <si>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</si>
  <si>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</si>
  <si>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</si>
  <si>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</si>
  <si>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</si>
  <si>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</si>
  <si>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</si>
  <si>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</si>
  <si>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</si>
  <si>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</si>
  <si>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</si>
  <si>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</si>
  <si>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</si>
  <si>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</si>
  <si>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</si>
  <si>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</si>
  <si>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</si>
  <si>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</si>
  <si>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</si>
  <si>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</si>
  <si>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</si>
  <si>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</si>
  <si>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</si>
  <si>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</si>
  <si>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</si>
  <si>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</si>
  <si>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</si>
  <si>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</si>
  <si>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</si>
  <si>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</si>
  <si>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</si>
  <si>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</si>
  <si>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</si>
  <si>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</si>
  <si>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</si>
  <si>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</si>
  <si>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</si>
  <si>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</si>
  <si>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</si>
  <si>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</si>
  <si>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</si>
  <si>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</si>
  <si>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</si>
  <si>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</si>
  <si>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</si>
  <si>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</si>
  <si>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</si>
  <si>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</si>
  <si>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</si>
  <si>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</si>
  <si>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</si>
  <si>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</si>
  <si>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</si>
  <si>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</si>
  <si>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</si>
  <si>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</si>
  <si>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</si>
  <si>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</si>
  <si>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</si>
  <si>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</si>
  <si>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</si>
  <si>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</si>
  <si>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</si>
  <si>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</si>
  <si>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</si>
  <si>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</si>
  <si>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</si>
  <si>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</si>
  <si>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</si>
  <si>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</si>
  <si>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</si>
  <si>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</si>
  <si>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</si>
  <si>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</si>
  <si>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</si>
  <si>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</si>
  <si>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</si>
  <si>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</si>
  <si>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</si>
  <si>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</si>
  <si>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</si>
  <si>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</si>
  <si>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</si>
  <si>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</si>
  <si>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</si>
  <si>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</si>
  <si>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</si>
  <si>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</si>
  <si>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</si>
  <si>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</si>
  <si>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</si>
  <si>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</si>
  <si>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</si>
  <si>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</si>
  <si>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</si>
  <si>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</si>
  <si>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</si>
  <si>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</si>
  <si>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</si>
  <si>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</si>
  <si>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</si>
  <si>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</si>
  <si>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</si>
  <si>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</si>
  <si>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</si>
  <si>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</si>
  <si>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</si>
  <si>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</si>
  <si>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</si>
  <si>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</si>
  <si>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</si>
  <si>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</si>
  <si>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</si>
  <si>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</si>
  <si>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</si>
  <si>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</si>
  <si>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</si>
  <si>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</si>
  <si>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</si>
  <si>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</si>
  <si>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</si>
  <si>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</si>
  <si>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</si>
  <si>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</si>
  <si>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</si>
  <si>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</si>
  <si>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</si>
  <si>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</si>
  <si>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</si>
  <si>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</si>
  <si>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</si>
  <si>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</si>
  <si>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</si>
  <si>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</si>
  <si>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</si>
  <si>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</si>
  <si>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</si>
  <si>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</si>
  <si>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</si>
  <si>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</si>
  <si>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</si>
  <si>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</si>
  <si>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</si>
  <si>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</si>
  <si>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</si>
  <si>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</si>
  <si>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</si>
  <si>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</si>
  <si>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</si>
  <si>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</si>
  <si>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</si>
  <si>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</si>
  <si>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</si>
  <si>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</si>
  <si>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</si>
  <si>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</si>
  <si>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</si>
  <si>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</si>
  <si>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</si>
  <si>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</si>
  <si>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</si>
  <si>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</si>
  <si>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</si>
  <si>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</si>
  <si>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</si>
  <si>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</si>
  <si>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</si>
  <si>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</si>
  <si>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</si>
  <si>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</si>
  <si>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</si>
  <si>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</si>
  <si>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</si>
  <si>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</si>
  <si>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</si>
  <si>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</si>
  <si>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</si>
  <si>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</si>
  <si>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</si>
  <si>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</si>
  <si>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</si>
  <si>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</si>
  <si>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</si>
  <si>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</si>
  <si>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</si>
  <si>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</si>
  <si>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</si>
  <si>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</si>
  <si>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</si>
  <si>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</si>
  <si>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</si>
  <si>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</si>
  <si>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</si>
  <si>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</si>
  <si>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</si>
  <si>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</si>
  <si>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</si>
  <si>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</si>
  <si>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</si>
  <si>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</si>
  <si>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</si>
  <si>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</si>
  <si>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</si>
  <si>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</si>
  <si>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</si>
  <si>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</si>
  <si>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</si>
  <si>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</si>
  <si>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</si>
  <si>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</si>
  <si>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</si>
  <si>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</si>
  <si>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</si>
  <si>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</si>
  <si>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</si>
  <si>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</si>
  <si>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</si>
  <si>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</si>
  <si>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</si>
  <si>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</si>
  <si>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</si>
  <si>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</si>
  <si>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</si>
  <si>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</si>
  <si>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</si>
  <si>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</si>
  <si>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</si>
  <si>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</si>
  <si>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</si>
  <si>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</si>
  <si>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</si>
  <si>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</si>
  <si>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</si>
  <si>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</si>
  <si>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</si>
  <si>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</si>
  <si>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</si>
  <si>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</si>
  <si>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</si>
  <si>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</si>
  <si>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</si>
  <si>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</si>
  <si>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</si>
  <si>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</si>
  <si>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</si>
  <si>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</si>
  <si>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</si>
  <si>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</si>
  <si>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</si>
  <si>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</si>
  <si>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</si>
  <si>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</si>
  <si>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</si>
  <si>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</si>
  <si>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</si>
  <si>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</si>
  <si>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</si>
  <si>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</si>
  <si>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</si>
  <si>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</si>
  <si>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</si>
  <si>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</si>
  <si>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</si>
  <si>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</si>
  <si>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</si>
  <si>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</si>
  <si>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</si>
  <si>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</si>
  <si>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</si>
  <si>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</si>
  <si>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</si>
  <si>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</si>
  <si>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</si>
  <si>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</si>
  <si>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</si>
  <si>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</si>
  <si>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</si>
  <si>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</si>
  <si>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</si>
  <si>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</si>
  <si>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</si>
  <si>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</si>
  <si>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</si>
  <si>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</si>
  <si>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</si>
  <si>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</si>
  <si>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</si>
  <si>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</si>
  <si>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</si>
  <si>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</si>
  <si>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</si>
  <si>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</si>
  <si>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</si>
  <si>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</si>
  <si>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</si>
  <si>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</si>
  <si>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</si>
  <si>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</si>
  <si>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</si>
  <si>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</si>
  <si>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</si>
  <si>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</si>
  <si>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</si>
  <si>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</si>
  <si>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</si>
  <si>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</si>
  <si>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</si>
  <si>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</si>
  <si>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</si>
  <si>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</si>
  <si>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</si>
  <si>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</si>
  <si>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</si>
  <si>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</si>
  <si>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</si>
  <si>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</si>
  <si>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</si>
  <si>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</si>
  <si>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</si>
  <si>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</si>
  <si>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</si>
  <si>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</si>
  <si>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</si>
  <si>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</si>
  <si>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</si>
  <si>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</si>
  <si>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</si>
  <si>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</si>
  <si>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</si>
  <si>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</si>
  <si>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</si>
  <si>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</si>
  <si>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</si>
  <si>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</si>
  <si>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</si>
  <si>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</si>
  <si>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</si>
  <si>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</si>
  <si>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</si>
  <si>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</si>
  <si>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</si>
  <si>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</si>
  <si>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</si>
  <si>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</si>
  <si>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</si>
  <si>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</si>
  <si>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</si>
  <si>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</si>
  <si>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</si>
  <si>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</si>
  <si>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</si>
  <si>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</si>
  <si>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</si>
  <si>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</si>
  <si>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</si>
  <si>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</si>
  <si>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</si>
  <si>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</si>
  <si>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</si>
  <si>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</si>
  <si>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</si>
  <si>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</si>
  <si>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</si>
  <si>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</si>
  <si>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</si>
  <si>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</si>
  <si>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</si>
  <si>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</si>
  <si>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</si>
  <si>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</si>
  <si>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</si>
  <si>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</si>
  <si>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</si>
  <si>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</si>
  <si>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</si>
  <si>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</si>
  <si>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</si>
  <si>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</si>
  <si>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</si>
  <si>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</si>
  <si>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</si>
  <si>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</si>
  <si>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</si>
  <si>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</si>
  <si>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</si>
  <si>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</si>
  <si>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</si>
  <si>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</si>
  <si>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</si>
  <si>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</si>
  <si>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</si>
  <si>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</si>
  <si>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</si>
  <si>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</si>
  <si>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</si>
  <si>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</si>
  <si>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</si>
  <si>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</si>
  <si>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</si>
  <si>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</si>
  <si>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</si>
  <si>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</si>
  <si>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</si>
  <si>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</si>
  <si>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</si>
  <si>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</si>
  <si>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</si>
  <si>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</si>
  <si>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</si>
  <si>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</si>
  <si>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</si>
  <si>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</si>
  <si>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</si>
  <si>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</si>
  <si>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</si>
  <si>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</si>
  <si>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</si>
  <si>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</si>
  <si>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</si>
  <si>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</si>
  <si>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</si>
  <si>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</si>
  <si>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</si>
  <si>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</si>
  <si>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</si>
  <si>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</si>
  <si>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</si>
  <si>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</si>
  <si>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</si>
  <si>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</si>
  <si>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</si>
  <si>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</si>
  <si>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</si>
  <si>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</si>
  <si>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</si>
  <si>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</si>
  <si>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</si>
  <si>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</si>
  <si>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</si>
  <si>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</si>
  <si>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</si>
  <si>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</si>
  <si>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</si>
  <si>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</si>
  <si>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</si>
  <si>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</si>
  <si>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</si>
  <si>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</si>
  <si>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</si>
  <si>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</si>
  <si>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</si>
  <si>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</si>
  <si>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</si>
  <si>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</si>
  <si>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</si>
  <si>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</si>
  <si>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</si>
  <si>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</si>
  <si>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</si>
  <si>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</si>
  <si>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</si>
  <si>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</si>
  <si>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</si>
  <si>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</si>
  <si>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</si>
  <si>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</si>
  <si>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</si>
  <si>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</si>
  <si>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</si>
  <si>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</si>
  <si>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</si>
  <si>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</si>
  <si>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</si>
  <si>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</si>
  <si>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</si>
  <si>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</si>
  <si>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</si>
  <si>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</si>
  <si>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</si>
  <si>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</si>
  <si>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</si>
  <si>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</si>
  <si>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</si>
  <si>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</si>
  <si>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</si>
  <si>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</si>
  <si>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</si>
  <si>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</si>
  <si>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</si>
  <si>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</si>
  <si>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</si>
  <si>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</si>
  <si>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</si>
  <si>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</si>
  <si>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</si>
  <si>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</si>
  <si>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</si>
  <si>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</si>
  <si>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</si>
  <si>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</si>
  <si>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</si>
  <si>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</si>
  <si>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</si>
  <si>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</si>
  <si>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</si>
  <si>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</si>
  <si>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</si>
  <si>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</si>
  <si>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</si>
  <si>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</si>
  <si>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</si>
  <si>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</si>
  <si>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</si>
  <si>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</si>
  <si>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</si>
  <si>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</si>
  <si>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</si>
  <si>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</si>
  <si>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</si>
  <si>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</si>
  <si>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</si>
  <si>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</si>
  <si>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</si>
  <si>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</si>
  <si>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</si>
  <si>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</si>
  <si>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</si>
  <si>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</si>
  <si>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</si>
  <si>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</si>
  <si>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</si>
  <si>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</si>
  <si>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</si>
  <si>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</si>
  <si>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</si>
  <si>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</si>
  <si>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</si>
  <si>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</si>
  <si>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</si>
  <si>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</si>
  <si>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</si>
  <si>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</si>
  <si>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</si>
  <si>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</si>
  <si>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</si>
  <si>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</si>
  <si>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</si>
  <si>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</si>
  <si>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</si>
  <si>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</si>
  <si>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</si>
  <si>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</si>
  <si>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</si>
  <si>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</si>
  <si>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</si>
  <si>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</si>
  <si>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</si>
  <si>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</si>
  <si>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</si>
  <si>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</si>
  <si>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</si>
  <si>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</si>
  <si>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</si>
  <si>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</si>
  <si>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</si>
  <si>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</si>
  <si>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</si>
  <si>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</si>
  <si>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</si>
  <si>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</si>
  <si>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</si>
  <si>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</si>
  <si>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</si>
  <si>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</si>
  <si>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</si>
  <si>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</si>
  <si>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</si>
  <si>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</si>
  <si>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</si>
  <si>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</si>
  <si>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</si>
  <si>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</si>
  <si>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</si>
  <si>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</si>
  <si>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</si>
  <si>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</si>
  <si>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</si>
  <si>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</si>
  <si>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</si>
  <si>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</si>
  <si>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</si>
  <si>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</si>
  <si>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</si>
  <si>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</si>
  <si>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</si>
  <si>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</si>
  <si>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</si>
  <si>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</si>
  <si>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</si>
  <si>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</si>
  <si>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</si>
  <si>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</si>
  <si>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</si>
  <si>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</si>
  <si>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</si>
  <si>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</si>
  <si>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</si>
  <si>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</si>
  <si>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</si>
  <si>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</si>
  <si>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</si>
  <si>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</si>
  <si>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</si>
  <si>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</si>
  <si>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</si>
  <si>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</si>
  <si>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</si>
  <si>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</si>
  <si>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</si>
  <si>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</si>
  <si>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</si>
  <si>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</si>
  <si>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</si>
  <si>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</si>
  <si>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</si>
  <si>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</si>
  <si>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</si>
  <si>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</si>
  <si>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</si>
  <si>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</si>
  <si>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</si>
  <si>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</si>
  <si>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</si>
  <si>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</si>
  <si>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</si>
  <si>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</si>
  <si>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</si>
  <si>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</si>
  <si>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</si>
  <si>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</si>
  <si>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</si>
  <si>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</si>
  <si>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</si>
  <si>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</si>
  <si>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</si>
  <si>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</si>
  <si>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</si>
  <si>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</si>
  <si>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</si>
  <si>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</si>
  <si>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</si>
  <si>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</si>
  <si>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</si>
  <si>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</si>
  <si>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</si>
  <si>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</si>
  <si>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</si>
  <si>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</si>
  <si>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</si>
  <si>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</si>
  <si>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</si>
  <si>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</si>
  <si>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</si>
  <si>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</si>
  <si>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</si>
  <si>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</si>
  <si>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</si>
  <si>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</si>
  <si>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</si>
  <si>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</si>
  <si>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</si>
  <si>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</si>
  <si>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</si>
  <si>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</si>
  <si>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</si>
  <si>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</si>
  <si>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</si>
  <si>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</si>
  <si>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</si>
  <si>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</si>
  <si>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</si>
  <si>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</si>
  <si>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</si>
  <si>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</si>
  <si>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</si>
  <si>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</si>
  <si>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</si>
  <si>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</si>
  <si>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</si>
  <si>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</si>
  <si>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</si>
  <si>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</si>
  <si>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</si>
  <si>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</si>
  <si>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</si>
  <si>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</si>
  <si>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</si>
  <si>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</si>
  <si>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</si>
  <si>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</si>
  <si>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</si>
  <si>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</si>
  <si>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</si>
  <si>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</si>
  <si>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</si>
  <si>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</si>
  <si>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</si>
  <si>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</si>
  <si>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</si>
  <si>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</si>
  <si>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</si>
  <si>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</si>
  <si>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</si>
  <si>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</si>
  <si>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</si>
  <si>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</si>
  <si>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</si>
  <si>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</si>
  <si>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</si>
  <si>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</si>
  <si>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</si>
  <si>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</si>
  <si>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</si>
  <si>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</si>
  <si>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</si>
  <si>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</si>
  <si>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</si>
  <si>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</si>
  <si>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</si>
  <si>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</si>
  <si>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</si>
  <si>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</si>
  <si>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</si>
  <si>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</si>
  <si>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</si>
  <si>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</si>
  <si>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</si>
  <si>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</si>
  <si>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</si>
  <si>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</si>
  <si>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</si>
  <si>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</si>
  <si>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</si>
  <si>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</si>
  <si>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</si>
  <si>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</si>
  <si>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</si>
  <si>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</si>
  <si>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</si>
  <si>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</si>
  <si>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</si>
  <si>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</si>
  <si>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</si>
  <si>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</si>
  <si>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</si>
  <si>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</si>
  <si>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</si>
  <si>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</si>
  <si>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</si>
  <si>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</si>
  <si>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</si>
  <si>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</si>
  <si>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</si>
  <si>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</si>
  <si>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</si>
  <si>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</si>
  <si>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</si>
  <si>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</si>
  <si>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</si>
  <si>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</si>
  <si>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</si>
  <si>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</si>
  <si>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</si>
  <si>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</si>
  <si>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</si>
  <si>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</si>
  <si>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</si>
  <si>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</si>
  <si>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</si>
  <si>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</si>
  <si>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</si>
  <si>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</si>
  <si>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</si>
  <si>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</si>
  <si>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</si>
  <si>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</si>
  <si>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</si>
  <si>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</si>
  <si>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</si>
  <si>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</si>
  <si>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</si>
  <si>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</si>
  <si>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</si>
  <si>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</si>
  <si>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</si>
  <si>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</si>
  <si>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</si>
  <si>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</si>
  <si>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</si>
  <si>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</si>
  <si>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</si>
  <si>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</si>
  <si>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</si>
  <si>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</si>
  <si>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</si>
  <si>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</si>
  <si>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</si>
  <si>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</si>
  <si>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</si>
  <si>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</si>
  <si>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</si>
  <si>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</si>
  <si>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</si>
  <si>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</si>
  <si>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</si>
  <si>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</si>
  <si>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</si>
  <si>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</si>
  <si>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</si>
  <si>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</si>
  <si>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</si>
  <si>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</si>
  <si>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</si>
  <si>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</si>
  <si>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</si>
  <si>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</si>
  <si>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</si>
  <si>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</si>
  <si>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</si>
  <si>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</si>
  <si>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</si>
  <si>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</si>
  <si>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</si>
  <si>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</si>
  <si>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</si>
  <si>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</si>
  <si>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</si>
  <si>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</si>
  <si>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</si>
  <si>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</si>
  <si>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</si>
  <si>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</si>
  <si>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</si>
  <si>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</si>
  <si>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</si>
  <si>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</si>
  <si>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</si>
  <si>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</si>
  <si>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</si>
  <si>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</si>
  <si>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</si>
  <si>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</si>
  <si>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</si>
  <si>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</si>
  <si>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</si>
  <si>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</si>
  <si>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</si>
  <si>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</si>
  <si>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</si>
  <si>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</si>
  <si>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</si>
  <si>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</si>
  <si>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</si>
  <si>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</si>
  <si>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</si>
  <si>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</si>
  <si>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</si>
  <si>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</si>
  <si>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</si>
  <si>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</si>
  <si>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</si>
  <si>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</si>
  <si>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</si>
  <si>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</si>
  <si>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</si>
  <si>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</si>
  <si>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</si>
  <si>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</si>
  <si>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</si>
  <si>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</si>
  <si>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</si>
  <si>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</si>
  <si>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</si>
  <si>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</si>
  <si>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</si>
  <si>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</si>
  <si>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</si>
  <si>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</si>
  <si>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</si>
  <si>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</si>
  <si>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</si>
  <si>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</si>
  <si>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</si>
  <si>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</si>
  <si>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</si>
  <si>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</si>
  <si>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</si>
  <si>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</si>
  <si>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</si>
  <si>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</si>
  <si>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</si>
  <si>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</si>
  <si>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</si>
  <si>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</si>
  <si>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</si>
  <si>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</si>
  <si>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</si>
  <si>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</si>
  <si>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</si>
  <si>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</si>
  <si>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</si>
  <si>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</si>
  <si>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</si>
  <si>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</si>
  <si>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</si>
  <si>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</si>
  <si>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</si>
  <si>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</si>
  <si>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</si>
  <si>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</si>
  <si>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</si>
  <si>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</si>
  <si>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</si>
  <si>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</si>
  <si>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</si>
  <si>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</si>
  <si>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</si>
  <si>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</si>
  <si>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</si>
  <si>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</si>
  <si>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</si>
  <si>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</si>
  <si>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</si>
  <si>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</si>
  <si>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</si>
  <si>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</si>
  <si>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</si>
  <si>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</si>
  <si>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</si>
  <si>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</si>
  <si>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</si>
  <si>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</si>
  <si>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</si>
  <si>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</si>
  <si>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</si>
  <si>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</si>
  <si>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</si>
  <si>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</si>
  <si>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</si>
  <si>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</si>
  <si>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</si>
  <si>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</si>
  <si>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</si>
  <si>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</si>
  <si>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</si>
  <si>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</si>
  <si>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</si>
  <si>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</si>
  <si>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</si>
  <si>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</si>
  <si>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</si>
  <si>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</si>
  <si>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</si>
  <si>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</si>
  <si>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</si>
  <si>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</si>
  <si>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</si>
  <si>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</si>
  <si>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</si>
  <si>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</si>
  <si>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</si>
  <si>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</si>
  <si>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</si>
  <si>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</si>
  <si>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</si>
  <si>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</si>
  <si>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</si>
  <si>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</si>
  <si>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</si>
  <si>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</si>
  <si>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</si>
  <si>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</si>
  <si>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</si>
  <si>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</si>
  <si>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</si>
  <si>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</si>
  <si>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</si>
  <si>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</si>
  <si>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</si>
  <si>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</si>
  <si>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</si>
  <si>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</si>
  <si>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</si>
  <si>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</si>
  <si>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</si>
  <si>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</si>
  <si>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</si>
  <si>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</si>
  <si>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</si>
  <si>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</si>
  <si>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</si>
  <si>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</si>
  <si>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</si>
  <si>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</si>
  <si>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</si>
  <si>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</si>
  <si>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</si>
  <si>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</si>
  <si>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</si>
  <si>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</si>
  <si>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</si>
  <si>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</si>
  <si>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</si>
  <si>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</si>
  <si>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</si>
  <si>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</si>
  <si>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</si>
  <si>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</si>
  <si>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</si>
  <si>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</si>
  <si>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</si>
  <si>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</si>
  <si>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</si>
  <si>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</si>
  <si>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</si>
  <si>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</si>
  <si>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</si>
  <si>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</si>
  <si>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</si>
  <si>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</si>
  <si>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</si>
  <si>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</si>
  <si>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</si>
  <si>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</si>
  <si>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</si>
  <si>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</si>
  <si>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</si>
  <si>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</si>
  <si>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</si>
  <si>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</si>
  <si>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</si>
  <si>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</si>
  <si>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</si>
  <si>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</si>
  <si>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</si>
  <si>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</si>
  <si>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</si>
  <si>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</si>
  <si>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</si>
  <si>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</si>
  <si>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</si>
  <si>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</si>
  <si>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</si>
  <si>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</si>
  <si>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</si>
  <si>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</si>
  <si>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</si>
  <si>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</si>
  <si>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</si>
  <si>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</si>
  <si>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</si>
  <si>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</si>
  <si>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</si>
  <si>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</si>
  <si>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</si>
  <si>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</si>
  <si>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</si>
  <si>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</si>
  <si>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</si>
  <si>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</si>
  <si>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</si>
  <si>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</si>
  <si>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</si>
  <si>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</si>
  <si>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</si>
  <si>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</si>
  <si>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</si>
  <si>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</si>
  <si>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</si>
  <si>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</si>
  <si>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</si>
  <si>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</si>
  <si>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</si>
  <si>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</si>
  <si>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</si>
  <si>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</si>
  <si>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</si>
  <si>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</si>
  <si>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</si>
  <si>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</si>
  <si>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</si>
  <si>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</si>
  <si>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</si>
  <si>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</si>
  <si>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</si>
  <si>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</si>
  <si>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</si>
  <si>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</si>
  <si>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</si>
  <si>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</si>
  <si>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</si>
  <si>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</si>
  <si>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</si>
  <si>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</si>
  <si>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</si>
  <si>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</si>
  <si>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</si>
  <si>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</si>
  <si>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</si>
  <si>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</si>
  <si>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</si>
  <si>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</si>
  <si>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</si>
  <si>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</si>
  <si>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</si>
  <si>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</si>
  <si>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</si>
  <si>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</si>
  <si>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</si>
  <si>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</si>
  <si>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</si>
  <si>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</si>
  <si>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</si>
  <si>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</si>
  <si>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</si>
  <si>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</si>
  <si>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</si>
  <si>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</si>
  <si>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</si>
  <si>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</si>
  <si>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</si>
  <si>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</si>
  <si>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</si>
  <si>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</si>
  <si>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</si>
  <si>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</si>
  <si>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</si>
  <si>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</si>
  <si>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</si>
  <si>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</si>
  <si>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</si>
  <si>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</si>
  <si>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</si>
  <si>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</si>
  <si>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</si>
  <si>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</si>
  <si>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</si>
  <si>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</si>
  <si>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</si>
  <si>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</si>
  <si>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</si>
  <si>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</si>
  <si>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</si>
  <si>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</si>
  <si>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</si>
  <si>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</si>
  <si>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</si>
  <si>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</si>
  <si>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</si>
  <si>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</si>
  <si>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</si>
  <si>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</si>
  <si>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</si>
  <si>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</si>
  <si>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</si>
  <si>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</si>
  <si>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</si>
  <si>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</si>
  <si>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</si>
  <si>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</si>
  <si>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</si>
  <si>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</si>
  <si>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</si>
  <si>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</si>
  <si>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</si>
  <si>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</si>
  <si>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</si>
  <si>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</si>
  <si>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</si>
  <si>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</si>
  <si>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</si>
  <si>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</si>
  <si>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</si>
  <si>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</si>
  <si>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</si>
  <si>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</si>
  <si>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</si>
  <si>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</si>
  <si>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</si>
  <si>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</si>
  <si>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</si>
  <si>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</si>
  <si>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</si>
  <si>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</si>
  <si>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</si>
  <si>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</si>
  <si>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</si>
  <si>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</si>
  <si>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</si>
  <si>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</si>
  <si>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</si>
  <si>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</si>
  <si>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</si>
  <si>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</si>
  <si>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</si>
  <si>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</si>
  <si>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</si>
  <si>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</si>
  <si>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</si>
  <si>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</si>
  <si>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</si>
  <si>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</si>
  <si>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</si>
  <si>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</si>
  <si>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</si>
  <si>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</si>
  <si>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</si>
  <si>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</si>
  <si>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</si>
  <si>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</si>
  <si>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</si>
  <si>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</si>
  <si>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</si>
  <si>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</si>
  <si>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</si>
  <si>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</si>
  <si>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</si>
  <si>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</si>
  <si>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</si>
  <si>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</si>
  <si>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</si>
  <si>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</si>
  <si>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</si>
  <si>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</si>
  <si>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</si>
  <si>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</si>
  <si>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</si>
  <si>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</si>
  <si>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</si>
  <si>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</si>
  <si>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</si>
  <si>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</si>
  <si>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</si>
  <si>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</si>
  <si>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</si>
  <si>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</si>
  <si>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</si>
  <si>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</si>
  <si>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</si>
  <si>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</si>
  <si>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</si>
  <si>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</si>
  <si>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</si>
  <si>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</si>
  <si>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</si>
  <si>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</si>
  <si>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</si>
  <si>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</si>
  <si>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</si>
  <si>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</si>
  <si>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</si>
  <si>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</si>
  <si>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</si>
  <si>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</si>
  <si>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</si>
  <si>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</si>
  <si>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</si>
  <si>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</si>
  <si>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</si>
  <si>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National School Lunch Program (m)</t>
  </si>
  <si>
    <t>School Breakfast Program (m)</t>
  </si>
  <si>
    <t>Value of Food Commodities - Preferred meal service (m)</t>
  </si>
  <si>
    <t>Value of Food Commodities - Preferred meal service</t>
  </si>
  <si>
    <t>U.S. Department of Education:</t>
  </si>
  <si>
    <t>Flow-Through From the Illinois State Board of Education:</t>
  </si>
  <si>
    <t>Child Nutrition Cluster:</t>
  </si>
  <si>
    <t>Non-Cash Commodities Received:</t>
  </si>
  <si>
    <t>Total U.S. Department of Agriculture:</t>
  </si>
  <si>
    <t>Title I - Low Income (m)</t>
  </si>
  <si>
    <t>Title III - Immigrant education program (IEP)</t>
  </si>
  <si>
    <t>Title III - Lang. Inst. Progr. Limited Eng. (LIPLEP)</t>
  </si>
  <si>
    <t>Title IVA - Student Support &amp; Academic Enrich</t>
  </si>
  <si>
    <t xml:space="preserve">IDEA - Flow Through </t>
  </si>
  <si>
    <t>IDEA - Flow Through</t>
  </si>
  <si>
    <t>Flow-Through From the Morton College District 527</t>
  </si>
  <si>
    <t>Preschool Expansion Grant</t>
  </si>
  <si>
    <t>Total U.S. Department of Education:</t>
  </si>
  <si>
    <t>U.S. Department of Health and Human Services:</t>
  </si>
  <si>
    <t>Flow-Through From the Illinois Department of Healthcare &amp; Family Services</t>
  </si>
  <si>
    <t>Medicaid Administrative Outreach</t>
  </si>
  <si>
    <t>Total U.S. Department of Health and Human Services</t>
  </si>
  <si>
    <t>TOTAL FEDERAL AWARDS</t>
  </si>
  <si>
    <t>U.S.Department of Agriculture:</t>
  </si>
  <si>
    <t>84.010A</t>
  </si>
  <si>
    <t>84.365A</t>
  </si>
  <si>
    <t>84.424A</t>
  </si>
  <si>
    <t>84.367A</t>
  </si>
  <si>
    <t>84.173A</t>
  </si>
  <si>
    <t>84.027A</t>
  </si>
  <si>
    <t>84.419B</t>
  </si>
  <si>
    <t>19-4210-00</t>
  </si>
  <si>
    <t>18-4210-00</t>
  </si>
  <si>
    <t>19-4220-00</t>
  </si>
  <si>
    <t>18-4220-00</t>
  </si>
  <si>
    <t>19-4999-00</t>
  </si>
  <si>
    <t>18-4999-00</t>
  </si>
  <si>
    <t>19-4300</t>
  </si>
  <si>
    <t>18-4300</t>
  </si>
  <si>
    <t>18-4905-00</t>
  </si>
  <si>
    <t>19-4909-00</t>
  </si>
  <si>
    <t>18-4909-00</t>
  </si>
  <si>
    <t>19-4400</t>
  </si>
  <si>
    <t>19-4932-00</t>
  </si>
  <si>
    <t>18-4932-00</t>
  </si>
  <si>
    <t>19-4600-00</t>
  </si>
  <si>
    <t>18-4600-00</t>
  </si>
  <si>
    <t>19-4620-00</t>
  </si>
  <si>
    <t>18-4620-00</t>
  </si>
  <si>
    <t>19-4902-00</t>
  </si>
  <si>
    <t>19-4991</t>
  </si>
  <si>
    <t>18-4991</t>
  </si>
  <si>
    <t>BERWYN NORTH SD 98</t>
  </si>
  <si>
    <t>X</t>
  </si>
  <si>
    <t>06-016-0980-02</t>
  </si>
  <si>
    <t>N/A</t>
  </si>
  <si>
    <t>18-4400</t>
  </si>
  <si>
    <t>19-4331</t>
  </si>
  <si>
    <t>18-4399</t>
  </si>
  <si>
    <r>
      <t xml:space="preserve">The accompanying Schedule of Expenditures of Federal Awards includes the federal grant activity of the District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</si>
  <si>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</si>
  <si>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t>Unmodified</t>
  </si>
  <si>
    <t>Title I</t>
  </si>
  <si>
    <t xml:space="preserve">IDEA - Flow Through/Preschool </t>
  </si>
  <si>
    <t xml:space="preserve">IDEA - Room &amp; Board </t>
  </si>
  <si>
    <t>Special Education Cluster</t>
  </si>
  <si>
    <t>84.173A 84.027A</t>
  </si>
  <si>
    <t>6633 W. 16th Street</t>
  </si>
  <si>
    <t>JOLIET</t>
  </si>
  <si>
    <t>IL</t>
  </si>
  <si>
    <t>323 SPRINGFIELD AVE</t>
  </si>
  <si>
    <t>GASSENSMITH &amp; MICHALESKO, LTD.</t>
  </si>
  <si>
    <t>JILL GASSENSMITH</t>
  </si>
  <si>
    <t>COOK</t>
  </si>
  <si>
    <t xml:space="preserve">BERWYN  </t>
  </si>
  <si>
    <t>815-744-6200</t>
  </si>
  <si>
    <t>815-744-3822</t>
  </si>
  <si>
    <t>066-004945</t>
  </si>
  <si>
    <t>JILLE@GASSENSMITH.COM</t>
  </si>
  <si>
    <t>Michelle Smith</t>
  </si>
  <si>
    <t>NONE.</t>
  </si>
  <si>
    <t>None</t>
  </si>
  <si>
    <t>SSCIP COOP</t>
  </si>
  <si>
    <t>NEXTERA</t>
  </si>
  <si>
    <t>SELF COOP</t>
  </si>
  <si>
    <t>CITY OF BERWYN</t>
  </si>
  <si>
    <t>NORTH BERWYN PARK DISTRICT</t>
  </si>
  <si>
    <t>SASED</t>
  </si>
  <si>
    <t>Ed-Special Education Programs- Other</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</si>
  <si>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</si>
  <si>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NONE</t>
  </si>
  <si>
    <t>Title I - Low Income school improvement (m)</t>
  </si>
  <si>
    <t>18-4625-XC</t>
  </si>
  <si>
    <t>19-4902-PE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</si>
</sst>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s>
  <fonts count="1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8"/>
      <color theme="3"/>
      <name val="Cambria"/>
      <family val="2"/>
      <scheme val="major"/>
    </font>
    <font>
      <sz val="12"/>
      <name val="Arial"/>
      <family val="2"/>
    </font>
    <font>
      <b/>
      <sz val="12"/>
      <name val="Arial"/>
      <family val="2"/>
    </font>
    <font>
      <u/>
      <sz val="10"/>
      <color indexed="12"/>
      <name val="Arial"/>
      <family val="2"/>
    </font>
    <font>
      <b/>
      <sz val="10"/>
      <color theme="1"/>
      <name val="Arial"/>
      <family val="2"/>
    </font>
    <font>
      <sz val="10"/>
      <color theme="1"/>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2"/>
      <name val="Tms Rmn"/>
    </font>
    <font>
      <sz val="11"/>
      <color indexed="8"/>
      <name val="Calibri"/>
      <family val="2"/>
    </font>
    <font>
      <sz val="11"/>
      <color indexed="9"/>
      <name val="Calibri"/>
      <family val="2"/>
    </font>
    <font>
      <sz val="11"/>
      <color indexed="20"/>
      <name val="Calibri"/>
      <family val="2"/>
    </font>
    <font>
      <sz val="11"/>
      <name val="Times New Roman"/>
      <family val="1"/>
    </font>
    <font>
      <b/>
      <sz val="11"/>
      <color indexed="52"/>
      <name val="Calibri"/>
      <family val="2"/>
    </font>
    <font>
      <b/>
      <sz val="11"/>
      <color indexed="9"/>
      <name val="Calibri"/>
      <family val="2"/>
    </font>
    <font>
      <b/>
      <sz val="11"/>
      <name val="Times New Roman"/>
      <family val="1"/>
    </font>
    <font>
      <sz val="10"/>
      <color rgb="FF000000"/>
      <name val="Arial"/>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u/>
      <sz val="11"/>
      <name val="Times New Roman"/>
      <family val="1"/>
    </font>
    <font>
      <sz val="10"/>
      <color indexed="8"/>
      <name val="Arial"/>
      <family val="2"/>
    </font>
    <font>
      <b/>
      <sz val="10"/>
      <color indexed="8"/>
      <name val="Times New Roman"/>
      <family val="1"/>
    </font>
    <font>
      <b/>
      <sz val="18"/>
      <color indexed="62"/>
      <name val="Cambria"/>
      <family val="2"/>
    </font>
    <font>
      <b/>
      <sz val="11"/>
      <color indexed="8"/>
      <name val="Calibri"/>
      <family val="2"/>
    </font>
    <font>
      <sz val="11"/>
      <color indexed="10"/>
      <name val="Calibri"/>
      <family val="2"/>
    </font>
    <font>
      <b/>
      <sz val="8"/>
      <color theme="1"/>
      <name val="Arial"/>
      <family val="2"/>
    </font>
    <font>
      <b/>
      <sz val="9"/>
      <color theme="1"/>
      <name val="Arial"/>
      <family val="2"/>
    </font>
  </fonts>
  <fills count="7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49"/>
      </top>
      <bottom style="double">
        <color indexed="49"/>
      </bottom>
      <diagonal/>
    </border>
  </borders>
  <cellStyleXfs count="20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9" fillId="0" borderId="0" applyFont="0" applyFill="0" applyBorder="0" applyAlignment="0" applyProtection="0"/>
    <xf numFmtId="183" fontId="159" fillId="0" borderId="0" applyFont="0" applyFill="0" applyBorder="0" applyAlignment="0" applyProtection="0"/>
    <xf numFmtId="184" fontId="159" fillId="0" borderId="0" applyFont="0" applyFill="0" applyBorder="0" applyAlignment="0" applyProtection="0"/>
    <xf numFmtId="0" fontId="160" fillId="58" borderId="0" applyNumberFormat="0" applyBorder="0" applyAlignment="0" applyProtection="0"/>
    <xf numFmtId="0" fontId="144" fillId="35" borderId="0" applyNumberFormat="0" applyBorder="0" applyAlignment="0" applyProtection="0"/>
    <xf numFmtId="0" fontId="160" fillId="59" borderId="0" applyNumberFormat="0" applyBorder="0" applyAlignment="0" applyProtection="0"/>
    <xf numFmtId="0" fontId="144" fillId="39" borderId="0" applyNumberFormat="0" applyBorder="0" applyAlignment="0" applyProtection="0"/>
    <xf numFmtId="0" fontId="160" fillId="60" borderId="0" applyNumberFormat="0" applyBorder="0" applyAlignment="0" applyProtection="0"/>
    <xf numFmtId="0" fontId="144" fillId="43" borderId="0" applyNumberFormat="0" applyBorder="0" applyAlignment="0" applyProtection="0"/>
    <xf numFmtId="0" fontId="160" fillId="58" borderId="0" applyNumberFormat="0" applyBorder="0" applyAlignment="0" applyProtection="0"/>
    <xf numFmtId="0" fontId="144" fillId="47" borderId="0" applyNumberFormat="0" applyBorder="0" applyAlignment="0" applyProtection="0"/>
    <xf numFmtId="0" fontId="160" fillId="61" borderId="0" applyNumberFormat="0" applyBorder="0" applyAlignment="0" applyProtection="0"/>
    <xf numFmtId="0" fontId="144" fillId="51" borderId="0" applyNumberFormat="0" applyBorder="0" applyAlignment="0" applyProtection="0"/>
    <xf numFmtId="0" fontId="160" fillId="59" borderId="0" applyNumberFormat="0" applyBorder="0" applyAlignment="0" applyProtection="0"/>
    <xf numFmtId="0" fontId="144" fillId="55" borderId="0" applyNumberFormat="0" applyBorder="0" applyAlignment="0" applyProtection="0"/>
    <xf numFmtId="185" fontId="159" fillId="0" borderId="0" applyFont="0" applyFill="0" applyBorder="0" applyAlignment="0" applyProtection="0"/>
    <xf numFmtId="186" fontId="159" fillId="0" borderId="0" applyFont="0" applyFill="0" applyBorder="0" applyAlignment="0" applyProtection="0">
      <alignment horizontal="right"/>
    </xf>
    <xf numFmtId="0" fontId="160" fillId="62" borderId="0" applyNumberFormat="0" applyBorder="0" applyAlignment="0" applyProtection="0"/>
    <xf numFmtId="0" fontId="144" fillId="36" borderId="0" applyNumberFormat="0" applyBorder="0" applyAlignment="0" applyProtection="0"/>
    <xf numFmtId="0" fontId="160" fillId="63" borderId="0" applyNumberFormat="0" applyBorder="0" applyAlignment="0" applyProtection="0"/>
    <xf numFmtId="0" fontId="144" fillId="40" borderId="0" applyNumberFormat="0" applyBorder="0" applyAlignment="0" applyProtection="0"/>
    <xf numFmtId="0" fontId="160" fillId="60" borderId="0" applyNumberFormat="0" applyBorder="0" applyAlignment="0" applyProtection="0"/>
    <xf numFmtId="0" fontId="144" fillId="44" borderId="0" applyNumberFormat="0" applyBorder="0" applyAlignment="0" applyProtection="0"/>
    <xf numFmtId="0" fontId="160" fillId="62" borderId="0" applyNumberFormat="0" applyBorder="0" applyAlignment="0" applyProtection="0"/>
    <xf numFmtId="0" fontId="144" fillId="48" borderId="0" applyNumberFormat="0" applyBorder="0" applyAlignment="0" applyProtection="0"/>
    <xf numFmtId="0" fontId="160" fillId="64" borderId="0" applyNumberFormat="0" applyBorder="0" applyAlignment="0" applyProtection="0"/>
    <xf numFmtId="0" fontId="144" fillId="52" borderId="0" applyNumberFormat="0" applyBorder="0" applyAlignment="0" applyProtection="0"/>
    <xf numFmtId="0" fontId="160" fillId="59" borderId="0" applyNumberFormat="0" applyBorder="0" applyAlignment="0" applyProtection="0"/>
    <xf numFmtId="0" fontId="144" fillId="56" borderId="0" applyNumberFormat="0" applyBorder="0" applyAlignment="0" applyProtection="0"/>
    <xf numFmtId="187" fontId="159" fillId="0" borderId="0" applyFont="0" applyFill="0" applyBorder="0" applyAlignment="0" applyProtection="0"/>
    <xf numFmtId="188" fontId="159" fillId="0" borderId="0" applyFont="0" applyFill="0" applyBorder="0" applyAlignment="0" applyProtection="0">
      <alignment horizontal="right"/>
    </xf>
    <xf numFmtId="0" fontId="161" fillId="65" borderId="0" applyNumberFormat="0" applyBorder="0" applyAlignment="0" applyProtection="0"/>
    <xf numFmtId="0" fontId="145" fillId="37" borderId="0" applyNumberFormat="0" applyBorder="0" applyAlignment="0" applyProtection="0"/>
    <xf numFmtId="0" fontId="161" fillId="63" borderId="0" applyNumberFormat="0" applyBorder="0" applyAlignment="0" applyProtection="0"/>
    <xf numFmtId="0" fontId="145" fillId="41" borderId="0" applyNumberFormat="0" applyBorder="0" applyAlignment="0" applyProtection="0"/>
    <xf numFmtId="0" fontId="161" fillId="60" borderId="0" applyNumberFormat="0" applyBorder="0" applyAlignment="0" applyProtection="0"/>
    <xf numFmtId="0" fontId="145" fillId="45" borderId="0" applyNumberFormat="0" applyBorder="0" applyAlignment="0" applyProtection="0"/>
    <xf numFmtId="0" fontId="161" fillId="62" borderId="0" applyNumberFormat="0" applyBorder="0" applyAlignment="0" applyProtection="0"/>
    <xf numFmtId="0" fontId="145" fillId="49" borderId="0" applyNumberFormat="0" applyBorder="0" applyAlignment="0" applyProtection="0"/>
    <xf numFmtId="0" fontId="161" fillId="65" borderId="0" applyNumberFormat="0" applyBorder="0" applyAlignment="0" applyProtection="0"/>
    <xf numFmtId="0" fontId="145" fillId="53" borderId="0" applyNumberFormat="0" applyBorder="0" applyAlignment="0" applyProtection="0"/>
    <xf numFmtId="0" fontId="161" fillId="63" borderId="0" applyNumberFormat="0" applyBorder="0" applyAlignment="0" applyProtection="0"/>
    <xf numFmtId="0" fontId="145" fillId="57" borderId="0" applyNumberFormat="0" applyBorder="0" applyAlignment="0" applyProtection="0"/>
    <xf numFmtId="189" fontId="159" fillId="0" borderId="0" applyFont="0" applyFill="0" applyBorder="0" applyAlignment="0" applyProtection="0">
      <alignment horizontal="right"/>
    </xf>
    <xf numFmtId="190" fontId="159" fillId="0" borderId="0" applyFont="0" applyFill="0" applyBorder="0" applyAlignment="0" applyProtection="0">
      <alignment horizontal="right"/>
    </xf>
    <xf numFmtId="191" fontId="159" fillId="0" borderId="0" applyFont="0" applyFill="0" applyBorder="0" applyAlignment="0" applyProtection="0"/>
    <xf numFmtId="0" fontId="161" fillId="65" borderId="0" applyNumberFormat="0" applyBorder="0" applyAlignment="0" applyProtection="0"/>
    <xf numFmtId="0" fontId="145" fillId="34" borderId="0" applyNumberFormat="0" applyBorder="0" applyAlignment="0" applyProtection="0"/>
    <xf numFmtId="0" fontId="161" fillId="66" borderId="0" applyNumberFormat="0" applyBorder="0" applyAlignment="0" applyProtection="0"/>
    <xf numFmtId="0" fontId="145" fillId="38" borderId="0" applyNumberFormat="0" applyBorder="0" applyAlignment="0" applyProtection="0"/>
    <xf numFmtId="0" fontId="161" fillId="67" borderId="0" applyNumberFormat="0" applyBorder="0" applyAlignment="0" applyProtection="0"/>
    <xf numFmtId="0" fontId="145" fillId="42" borderId="0" applyNumberFormat="0" applyBorder="0" applyAlignment="0" applyProtection="0"/>
    <xf numFmtId="0" fontId="161" fillId="68" borderId="0" applyNumberFormat="0" applyBorder="0" applyAlignment="0" applyProtection="0"/>
    <xf numFmtId="0" fontId="145" fillId="46" borderId="0" applyNumberFormat="0" applyBorder="0" applyAlignment="0" applyProtection="0"/>
    <xf numFmtId="0" fontId="161" fillId="65" borderId="0" applyNumberFormat="0" applyBorder="0" applyAlignment="0" applyProtection="0"/>
    <xf numFmtId="0" fontId="145" fillId="50" borderId="0" applyNumberFormat="0" applyBorder="0" applyAlignment="0" applyProtection="0"/>
    <xf numFmtId="0" fontId="161" fillId="69" borderId="0" applyNumberFormat="0" applyBorder="0" applyAlignment="0" applyProtection="0"/>
    <xf numFmtId="0" fontId="145" fillId="54" borderId="0" applyNumberFormat="0" applyBorder="0" applyAlignment="0" applyProtection="0"/>
    <xf numFmtId="0" fontId="162" fillId="70" borderId="0" applyNumberFormat="0" applyBorder="0" applyAlignment="0" applyProtection="0"/>
    <xf numFmtId="0" fontId="150" fillId="28" borderId="0" applyNumberFormat="0" applyBorder="0" applyAlignment="0" applyProtection="0"/>
    <xf numFmtId="0" fontId="159" fillId="0" borderId="174" applyNumberFormat="0" applyFill="0" applyAlignment="0" applyProtection="0"/>
    <xf numFmtId="192" fontId="163" fillId="0" borderId="174" applyNumberFormat="0" applyFill="0" applyAlignment="0" applyProtection="0">
      <alignment horizontal="center"/>
    </xf>
    <xf numFmtId="192" fontId="163" fillId="0" borderId="78" applyFill="0" applyAlignment="0" applyProtection="0">
      <alignment horizontal="center"/>
    </xf>
    <xf numFmtId="0" fontId="164" fillId="71" borderId="1" applyNumberFormat="0" applyAlignment="0" applyProtection="0"/>
    <xf numFmtId="0" fontId="154" fillId="31" borderId="168" applyNumberFormat="0" applyAlignment="0" applyProtection="0"/>
    <xf numFmtId="0" fontId="165" fillId="72" borderId="175" applyNumberFormat="0" applyAlignment="0" applyProtection="0"/>
    <xf numFmtId="0" fontId="156" fillId="32" borderId="171" applyNumberFormat="0" applyAlignment="0" applyProtection="0"/>
    <xf numFmtId="0" fontId="166" fillId="0" borderId="0" applyProtection="0"/>
    <xf numFmtId="192"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67"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0" fontId="140" fillId="0" borderId="0" applyProtection="0"/>
    <xf numFmtId="193" fontId="159" fillId="0" borderId="0" applyFont="0" applyFill="0" applyBorder="0" applyAlignment="0" applyProtection="0"/>
    <xf numFmtId="192" fontId="163" fillId="0" borderId="176" applyNumberFormat="0" applyFill="0" applyAlignment="0" applyProtection="0"/>
    <xf numFmtId="0" fontId="159" fillId="0" borderId="176" applyNumberFormat="0" applyFill="0" applyAlignment="0" applyProtection="0"/>
    <xf numFmtId="0" fontId="168" fillId="0" borderId="0" applyNumberFormat="0" applyFill="0" applyBorder="0" applyAlignment="0" applyProtection="0"/>
    <xf numFmtId="0" fontId="158" fillId="0" borderId="0" applyNumberFormat="0" applyFill="0" applyBorder="0" applyAlignment="0" applyProtection="0"/>
    <xf numFmtId="0" fontId="169" fillId="0" borderId="0" applyProtection="0"/>
    <xf numFmtId="0" fontId="12" fillId="0" borderId="0" applyProtection="0"/>
    <xf numFmtId="0" fontId="170" fillId="0" borderId="0" applyProtection="0"/>
    <xf numFmtId="0" fontId="171" fillId="0" borderId="0" applyProtection="0"/>
    <xf numFmtId="0" fontId="172" fillId="0" borderId="0" applyProtection="0"/>
    <xf numFmtId="0" fontId="173" fillId="0" borderId="0" applyProtection="0"/>
    <xf numFmtId="0" fontId="174" fillId="0" borderId="0" applyProtection="0"/>
    <xf numFmtId="2" fontId="140" fillId="0" borderId="0" applyProtection="0"/>
    <xf numFmtId="0" fontId="175" fillId="73" borderId="0" applyNumberFormat="0" applyBorder="0" applyAlignment="0" applyProtection="0"/>
    <xf numFmtId="0" fontId="149" fillId="27" borderId="0" applyNumberFormat="0" applyBorder="0" applyAlignment="0" applyProtection="0"/>
    <xf numFmtId="0" fontId="176" fillId="0" borderId="177" applyNumberFormat="0" applyFill="0" applyAlignment="0" applyProtection="0"/>
    <xf numFmtId="0" fontId="146" fillId="0" borderId="165" applyNumberFormat="0" applyFill="0" applyAlignment="0" applyProtection="0"/>
    <xf numFmtId="0" fontId="177" fillId="0" borderId="178" applyNumberFormat="0" applyFill="0" applyAlignment="0" applyProtection="0"/>
    <xf numFmtId="0" fontId="147" fillId="0" borderId="166" applyNumberFormat="0" applyFill="0" applyAlignment="0" applyProtection="0"/>
    <xf numFmtId="0" fontId="178" fillId="0" borderId="179" applyNumberFormat="0" applyFill="0" applyAlignment="0" applyProtection="0"/>
    <xf numFmtId="0" fontId="148" fillId="0" borderId="167" applyNumberFormat="0" applyFill="0" applyAlignment="0" applyProtection="0"/>
    <xf numFmtId="0" fontId="178" fillId="0" borderId="0" applyNumberFormat="0" applyFill="0" applyBorder="0" applyAlignment="0" applyProtection="0"/>
    <xf numFmtId="0" fontId="148" fillId="0" borderId="0" applyNumberFormat="0" applyFill="0" applyBorder="0" applyAlignment="0" applyProtection="0"/>
    <xf numFmtId="0" fontId="179" fillId="0" borderId="0" applyProtection="0"/>
    <xf numFmtId="0" fontId="141" fillId="0" borderId="0" applyProtection="0"/>
    <xf numFmtId="0" fontId="142" fillId="0" borderId="0" applyNumberFormat="0" applyFill="0" applyBorder="0" applyAlignment="0" applyProtection="0">
      <alignment vertical="top"/>
      <protection locked="0"/>
    </xf>
    <xf numFmtId="194" fontId="159" fillId="0" borderId="0" applyFont="0" applyFill="0" applyBorder="0" applyAlignment="0" applyProtection="0"/>
    <xf numFmtId="0" fontId="180" fillId="59" borderId="1" applyNumberFormat="0" applyAlignment="0" applyProtection="0"/>
    <xf numFmtId="0" fontId="152" fillId="30" borderId="168" applyNumberFormat="0" applyAlignment="0" applyProtection="0"/>
    <xf numFmtId="0" fontId="181" fillId="0" borderId="180" applyNumberFormat="0" applyFill="0" applyAlignment="0" applyProtection="0"/>
    <xf numFmtId="0" fontId="155" fillId="0" borderId="170" applyNumberFormat="0" applyFill="0" applyAlignment="0" applyProtection="0"/>
    <xf numFmtId="0" fontId="182" fillId="59" borderId="0" applyNumberFormat="0" applyBorder="0" applyAlignment="0" applyProtection="0"/>
    <xf numFmtId="0" fontId="151" fillId="29" borderId="0" applyNumberFormat="0" applyBorder="0" applyAlignment="0" applyProtection="0"/>
    <xf numFmtId="0" fontId="163" fillId="0" borderId="0" applyNumberFormat="0" applyFill="0" applyAlignment="0" applyProtection="0"/>
    <xf numFmtId="0" fontId="11" fillId="60" borderId="2" applyNumberFormat="0" applyFont="0" applyAlignment="0" applyProtection="0"/>
    <xf numFmtId="0" fontId="144" fillId="33" borderId="172" applyNumberFormat="0" applyFont="0" applyAlignment="0" applyProtection="0"/>
    <xf numFmtId="195" fontId="163" fillId="0" borderId="0" applyFill="0" applyBorder="0" applyProtection="0">
      <alignment horizontal="right"/>
    </xf>
    <xf numFmtId="0" fontId="183" fillId="71" borderId="181" applyNumberFormat="0" applyAlignment="0" applyProtection="0"/>
    <xf numFmtId="0" fontId="153" fillId="31" borderId="169" applyNumberFormat="0" applyAlignment="0" applyProtection="0"/>
    <xf numFmtId="196" fontId="163" fillId="0" borderId="0" applyProtection="0"/>
    <xf numFmtId="0" fontId="163" fillId="0" borderId="78" applyNumberFormat="0" applyFill="0" applyAlignment="0" applyProtection="0"/>
    <xf numFmtId="8" fontId="184" fillId="0" borderId="0" applyNumberFormat="0" applyFill="0" applyBorder="0" applyAlignment="0" applyProtection="0"/>
    <xf numFmtId="0" fontId="185" fillId="0" borderId="0" applyNumberFormat="0" applyBorder="0" applyAlignment="0"/>
    <xf numFmtId="0" fontId="186" fillId="0" borderId="0" applyNumberFormat="0" applyBorder="0" applyAlignment="0"/>
    <xf numFmtId="0" fontId="187" fillId="0" borderId="0" applyNumberFormat="0" applyFill="0" applyBorder="0" applyAlignment="0" applyProtection="0"/>
    <xf numFmtId="0" fontId="139" fillId="0" borderId="0" applyNumberFormat="0" applyFill="0" applyBorder="0" applyAlignment="0" applyProtection="0"/>
    <xf numFmtId="0" fontId="159" fillId="0" borderId="182" applyNumberFormat="0" applyFont="0" applyFill="0" applyAlignment="0" applyProtection="0"/>
    <xf numFmtId="0" fontId="159" fillId="0" borderId="183" applyNumberFormat="0" applyFont="0" applyFill="0" applyAlignment="0" applyProtection="0"/>
    <xf numFmtId="0" fontId="159" fillId="0" borderId="141" applyNumberFormat="0" applyFont="0" applyFill="0" applyAlignment="0" applyProtection="0"/>
    <xf numFmtId="0" fontId="188" fillId="0" borderId="184" applyNumberFormat="0" applyFill="0" applyAlignment="0" applyProtection="0"/>
    <xf numFmtId="0" fontId="143" fillId="0" borderId="173" applyNumberFormat="0" applyFill="0" applyAlignment="0" applyProtection="0"/>
    <xf numFmtId="0" fontId="189" fillId="0" borderId="0" applyNumberFormat="0" applyFill="0" applyBorder="0" applyAlignment="0" applyProtection="0"/>
    <xf numFmtId="0" fontId="157" fillId="0" borderId="0" applyNumberFormat="0" applyFill="0" applyBorder="0" applyAlignment="0" applyProtection="0"/>
    <xf numFmtId="0" fontId="144" fillId="35" borderId="0" applyNumberFormat="0" applyBorder="0" applyAlignment="0" applyProtection="0"/>
    <xf numFmtId="0" fontId="144" fillId="39" borderId="0" applyNumberFormat="0" applyBorder="0" applyAlignment="0" applyProtection="0"/>
    <xf numFmtId="0" fontId="144" fillId="43" borderId="0" applyNumberFormat="0" applyBorder="0" applyAlignment="0" applyProtection="0"/>
    <xf numFmtId="0" fontId="144" fillId="47" borderId="0" applyNumberFormat="0" applyBorder="0" applyAlignment="0" applyProtection="0"/>
    <xf numFmtId="0" fontId="144" fillId="51" borderId="0" applyNumberFormat="0" applyBorder="0" applyAlignment="0" applyProtection="0"/>
    <xf numFmtId="0" fontId="144" fillId="55" borderId="0" applyNumberFormat="0" applyBorder="0" applyAlignment="0" applyProtection="0"/>
    <xf numFmtId="0" fontId="144" fillId="36" borderId="0" applyNumberFormat="0" applyBorder="0" applyAlignment="0" applyProtection="0"/>
    <xf numFmtId="0" fontId="144" fillId="40" borderId="0" applyNumberFormat="0" applyBorder="0" applyAlignment="0" applyProtection="0"/>
    <xf numFmtId="0" fontId="144" fillId="44" borderId="0" applyNumberFormat="0" applyBorder="0" applyAlignment="0" applyProtection="0"/>
    <xf numFmtId="0" fontId="144" fillId="48" borderId="0" applyNumberFormat="0" applyBorder="0" applyAlignment="0" applyProtection="0"/>
    <xf numFmtId="0" fontId="144" fillId="52" borderId="0" applyNumberFormat="0" applyBorder="0" applyAlignment="0" applyProtection="0"/>
    <xf numFmtId="0" fontId="144" fillId="56" borderId="0" applyNumberFormat="0" applyBorder="0" applyAlignment="0" applyProtection="0"/>
    <xf numFmtId="0" fontId="144" fillId="33" borderId="172" applyNumberFormat="0" applyFont="0" applyAlignment="0" applyProtection="0"/>
    <xf numFmtId="0" fontId="144" fillId="35" borderId="0" applyNumberFormat="0" applyBorder="0" applyAlignment="0" applyProtection="0"/>
    <xf numFmtId="0" fontId="144" fillId="39" borderId="0" applyNumberFormat="0" applyBorder="0" applyAlignment="0" applyProtection="0"/>
    <xf numFmtId="0" fontId="144" fillId="43" borderId="0" applyNumberFormat="0" applyBorder="0" applyAlignment="0" applyProtection="0"/>
    <xf numFmtId="0" fontId="144" fillId="47" borderId="0" applyNumberFormat="0" applyBorder="0" applyAlignment="0" applyProtection="0"/>
    <xf numFmtId="0" fontId="144" fillId="51" borderId="0" applyNumberFormat="0" applyBorder="0" applyAlignment="0" applyProtection="0"/>
    <xf numFmtId="0" fontId="144" fillId="55" borderId="0" applyNumberFormat="0" applyBorder="0" applyAlignment="0" applyProtection="0"/>
    <xf numFmtId="0" fontId="144" fillId="36" borderId="0" applyNumberFormat="0" applyBorder="0" applyAlignment="0" applyProtection="0"/>
    <xf numFmtId="0" fontId="144" fillId="40" borderId="0" applyNumberFormat="0" applyBorder="0" applyAlignment="0" applyProtection="0"/>
    <xf numFmtId="0" fontId="144" fillId="44" borderId="0" applyNumberFormat="0" applyBorder="0" applyAlignment="0" applyProtection="0"/>
    <xf numFmtId="0" fontId="144" fillId="48" borderId="0" applyNumberFormat="0" applyBorder="0" applyAlignment="0" applyProtection="0"/>
    <xf numFmtId="0" fontId="144" fillId="52" borderId="0" applyNumberFormat="0" applyBorder="0" applyAlignment="0" applyProtection="0"/>
    <xf numFmtId="0" fontId="144" fillId="56" borderId="0" applyNumberFormat="0" applyBorder="0" applyAlignment="0" applyProtection="0"/>
    <xf numFmtId="0" fontId="144" fillId="33" borderId="172" applyNumberFormat="0" applyFont="0" applyAlignment="0" applyProtection="0"/>
    <xf numFmtId="0" fontId="144" fillId="0" borderId="0"/>
    <xf numFmtId="44" fontId="11" fillId="0" borderId="0" applyFont="0" applyFill="0" applyBorder="0" applyAlignment="0" applyProtection="0"/>
    <xf numFmtId="0" fontId="144" fillId="0" borderId="0"/>
    <xf numFmtId="0" fontId="3" fillId="0" borderId="0"/>
    <xf numFmtId="0" fontId="3"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9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4" xfId="0" applyNumberFormat="1" applyFont="1" applyBorder="1" applyAlignment="1" applyProtection="1">
      <alignment horizontal="right" wrapText="1"/>
      <protection locked="0"/>
    </xf>
    <xf numFmtId="3" fontId="74" fillId="0" borderId="22" xfId="3" applyNumberFormat="1" applyFont="1" applyBorder="1" applyAlignment="1" applyProtection="1">
      <alignment horizontal="left" vertical="center" wrapText="1"/>
      <protection locked="0"/>
    </xf>
    <xf numFmtId="181" fontId="63" fillId="0" borderId="22" xfId="1" applyNumberFormat="1" applyFont="1" applyBorder="1" applyAlignment="1" applyProtection="1">
      <alignment horizontal="center"/>
      <protection locked="0"/>
    </xf>
    <xf numFmtId="181" fontId="63" fillId="0" borderId="8" xfId="1" applyNumberFormat="1" applyFont="1" applyBorder="1" applyAlignment="1" applyProtection="1">
      <alignment horizontal="center"/>
      <protection locked="0"/>
    </xf>
    <xf numFmtId="181" fontId="63" fillId="0" borderId="22" xfId="1" applyNumberFormat="1" applyFont="1" applyFill="1" applyBorder="1" applyAlignment="1" applyProtection="1">
      <alignment horizontal="center"/>
      <protection locked="0"/>
    </xf>
    <xf numFmtId="49" fontId="191" fillId="0" borderId="105" xfId="201" applyNumberFormat="1" applyFont="1" applyBorder="1" applyAlignment="1" applyProtection="1">
      <alignment horizontal="center" vertical="center"/>
      <protection locked="0"/>
    </xf>
    <xf numFmtId="0" fontId="144" fillId="0" borderId="105" xfId="201" applyFont="1" applyBorder="1" applyProtection="1">
      <protection locked="0"/>
    </xf>
    <xf numFmtId="49" fontId="190" fillId="0" borderId="107" xfId="201" applyNumberFormat="1" applyFont="1" applyFill="1" applyBorder="1" applyAlignment="1" applyProtection="1">
      <alignment horizontal="center" vertical="center"/>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02">
    <cellStyle name="1" xfId="32" xr:uid="{00000000-0005-0000-0000-000000000000}"/>
    <cellStyle name="10" xfId="33" xr:uid="{00000000-0005-0000-0000-000001000000}"/>
    <cellStyle name="2" xfId="34" xr:uid="{00000000-0005-0000-0000-000002000000}"/>
    <cellStyle name="20% - Accent1 2" xfId="35" xr:uid="{00000000-0005-0000-0000-000003000000}"/>
    <cellStyle name="20% - Accent1 3" xfId="36" xr:uid="{00000000-0005-0000-0000-000004000000}"/>
    <cellStyle name="20% - Accent1 3 2" xfId="160" xr:uid="{00000000-0005-0000-0000-000005000000}"/>
    <cellStyle name="20% - Accent1 3 3" xfId="173" xr:uid="{00000000-0005-0000-0000-000006000000}"/>
    <cellStyle name="20% - Accent2 2" xfId="37" xr:uid="{00000000-0005-0000-0000-000007000000}"/>
    <cellStyle name="20% - Accent2 3" xfId="38" xr:uid="{00000000-0005-0000-0000-000008000000}"/>
    <cellStyle name="20% - Accent2 3 2" xfId="161" xr:uid="{00000000-0005-0000-0000-000009000000}"/>
    <cellStyle name="20% - Accent2 3 3" xfId="174" xr:uid="{00000000-0005-0000-0000-00000A000000}"/>
    <cellStyle name="20% - Accent3 2" xfId="39" xr:uid="{00000000-0005-0000-0000-00000B000000}"/>
    <cellStyle name="20% - Accent3 3" xfId="40" xr:uid="{00000000-0005-0000-0000-00000C000000}"/>
    <cellStyle name="20% - Accent3 3 2" xfId="162" xr:uid="{00000000-0005-0000-0000-00000D000000}"/>
    <cellStyle name="20% - Accent3 3 3" xfId="175" xr:uid="{00000000-0005-0000-0000-00000E000000}"/>
    <cellStyle name="20% - Accent4 2" xfId="41" xr:uid="{00000000-0005-0000-0000-00000F000000}"/>
    <cellStyle name="20% - Accent4 3" xfId="42" xr:uid="{00000000-0005-0000-0000-000010000000}"/>
    <cellStyle name="20% - Accent4 3 2" xfId="163" xr:uid="{00000000-0005-0000-0000-000011000000}"/>
    <cellStyle name="20% - Accent4 3 3" xfId="176" xr:uid="{00000000-0005-0000-0000-000012000000}"/>
    <cellStyle name="20% - Accent5 2" xfId="43" xr:uid="{00000000-0005-0000-0000-000013000000}"/>
    <cellStyle name="20% - Accent5 3" xfId="44" xr:uid="{00000000-0005-0000-0000-000014000000}"/>
    <cellStyle name="20% - Accent5 3 2" xfId="164" xr:uid="{00000000-0005-0000-0000-000015000000}"/>
    <cellStyle name="20% - Accent5 3 3" xfId="177" xr:uid="{00000000-0005-0000-0000-000016000000}"/>
    <cellStyle name="20% - Accent6 2" xfId="45" xr:uid="{00000000-0005-0000-0000-000017000000}"/>
    <cellStyle name="20% - Accent6 3" xfId="46" xr:uid="{00000000-0005-0000-0000-000018000000}"/>
    <cellStyle name="20% - Accent6 3 2" xfId="165" xr:uid="{00000000-0005-0000-0000-000019000000}"/>
    <cellStyle name="20% - Accent6 3 3" xfId="178" xr:uid="{00000000-0005-0000-0000-00001A000000}"/>
    <cellStyle name="3" xfId="47" xr:uid="{00000000-0005-0000-0000-00001B000000}"/>
    <cellStyle name="4" xfId="48" xr:uid="{00000000-0005-0000-0000-00001C000000}"/>
    <cellStyle name="40% - Accent1 2" xfId="49" xr:uid="{00000000-0005-0000-0000-00001D000000}"/>
    <cellStyle name="40% - Accent1 3" xfId="50" xr:uid="{00000000-0005-0000-0000-00001E000000}"/>
    <cellStyle name="40% - Accent1 3 2" xfId="166" xr:uid="{00000000-0005-0000-0000-00001F000000}"/>
    <cellStyle name="40% - Accent1 3 3" xfId="179" xr:uid="{00000000-0005-0000-0000-000020000000}"/>
    <cellStyle name="40% - Accent2 2" xfId="51" xr:uid="{00000000-0005-0000-0000-000021000000}"/>
    <cellStyle name="40% - Accent2 3" xfId="52" xr:uid="{00000000-0005-0000-0000-000022000000}"/>
    <cellStyle name="40% - Accent2 3 2" xfId="167" xr:uid="{00000000-0005-0000-0000-000023000000}"/>
    <cellStyle name="40% - Accent2 3 3" xfId="180" xr:uid="{00000000-0005-0000-0000-000024000000}"/>
    <cellStyle name="40% - Accent3 2" xfId="53" xr:uid="{00000000-0005-0000-0000-000025000000}"/>
    <cellStyle name="40% - Accent3 3" xfId="54" xr:uid="{00000000-0005-0000-0000-000026000000}"/>
    <cellStyle name="40% - Accent3 3 2" xfId="168" xr:uid="{00000000-0005-0000-0000-000027000000}"/>
    <cellStyle name="40% - Accent3 3 3" xfId="181" xr:uid="{00000000-0005-0000-0000-000028000000}"/>
    <cellStyle name="40% - Accent4 2" xfId="55" xr:uid="{00000000-0005-0000-0000-000029000000}"/>
    <cellStyle name="40% - Accent4 3" xfId="56" xr:uid="{00000000-0005-0000-0000-00002A000000}"/>
    <cellStyle name="40% - Accent4 3 2" xfId="169" xr:uid="{00000000-0005-0000-0000-00002B000000}"/>
    <cellStyle name="40% - Accent4 3 3" xfId="182" xr:uid="{00000000-0005-0000-0000-00002C000000}"/>
    <cellStyle name="40% - Accent5 2" xfId="57" xr:uid="{00000000-0005-0000-0000-00002D000000}"/>
    <cellStyle name="40% - Accent5 3" xfId="58" xr:uid="{00000000-0005-0000-0000-00002E000000}"/>
    <cellStyle name="40% - Accent5 3 2" xfId="170" xr:uid="{00000000-0005-0000-0000-00002F000000}"/>
    <cellStyle name="40% - Accent5 3 3" xfId="183" xr:uid="{00000000-0005-0000-0000-000030000000}"/>
    <cellStyle name="40% - Accent6 2" xfId="59" xr:uid="{00000000-0005-0000-0000-000031000000}"/>
    <cellStyle name="40% - Accent6 3" xfId="60" xr:uid="{00000000-0005-0000-0000-000032000000}"/>
    <cellStyle name="40% - Accent6 3 2" xfId="171" xr:uid="{00000000-0005-0000-0000-000033000000}"/>
    <cellStyle name="40% - Accent6 3 3" xfId="184" xr:uid="{00000000-0005-0000-0000-000034000000}"/>
    <cellStyle name="5" xfId="61" xr:uid="{00000000-0005-0000-0000-000035000000}"/>
    <cellStyle name="6" xfId="62" xr:uid="{00000000-0005-0000-0000-000036000000}"/>
    <cellStyle name="60% - Accent1 2" xfId="63" xr:uid="{00000000-0005-0000-0000-000037000000}"/>
    <cellStyle name="60% - Accent1 3" xfId="64" xr:uid="{00000000-0005-0000-0000-000038000000}"/>
    <cellStyle name="60% - Accent2 2" xfId="65" xr:uid="{00000000-0005-0000-0000-000039000000}"/>
    <cellStyle name="60% - Accent2 3" xfId="66" xr:uid="{00000000-0005-0000-0000-00003A000000}"/>
    <cellStyle name="60% - Accent3 2" xfId="67" xr:uid="{00000000-0005-0000-0000-00003B000000}"/>
    <cellStyle name="60% - Accent3 3" xfId="68" xr:uid="{00000000-0005-0000-0000-00003C000000}"/>
    <cellStyle name="60% - Accent4 2" xfId="69" xr:uid="{00000000-0005-0000-0000-00003D000000}"/>
    <cellStyle name="60% - Accent4 3" xfId="70" xr:uid="{00000000-0005-0000-0000-00003E000000}"/>
    <cellStyle name="60% - Accent5 2" xfId="71" xr:uid="{00000000-0005-0000-0000-00003F000000}"/>
    <cellStyle name="60% - Accent5 3" xfId="72" xr:uid="{00000000-0005-0000-0000-000040000000}"/>
    <cellStyle name="60% - Accent6 2" xfId="73" xr:uid="{00000000-0005-0000-0000-000041000000}"/>
    <cellStyle name="60% - Accent6 3" xfId="74" xr:uid="{00000000-0005-0000-0000-000042000000}"/>
    <cellStyle name="7" xfId="75" xr:uid="{00000000-0005-0000-0000-000043000000}"/>
    <cellStyle name="8" xfId="76" xr:uid="{00000000-0005-0000-0000-000044000000}"/>
    <cellStyle name="9" xfId="77" xr:uid="{00000000-0005-0000-0000-000045000000}"/>
    <cellStyle name="Accent1 2" xfId="78" xr:uid="{00000000-0005-0000-0000-000046000000}"/>
    <cellStyle name="Accent1 3" xfId="79" xr:uid="{00000000-0005-0000-0000-000047000000}"/>
    <cellStyle name="Accent2 2" xfId="80" xr:uid="{00000000-0005-0000-0000-000048000000}"/>
    <cellStyle name="Accent2 3" xfId="81" xr:uid="{00000000-0005-0000-0000-000049000000}"/>
    <cellStyle name="Accent3 2" xfId="82" xr:uid="{00000000-0005-0000-0000-00004A000000}"/>
    <cellStyle name="Accent3 3" xfId="83" xr:uid="{00000000-0005-0000-0000-00004B000000}"/>
    <cellStyle name="Accent4 2" xfId="84" xr:uid="{00000000-0005-0000-0000-00004C000000}"/>
    <cellStyle name="Accent4 3" xfId="85" xr:uid="{00000000-0005-0000-0000-00004D000000}"/>
    <cellStyle name="Accent5 2" xfId="86" xr:uid="{00000000-0005-0000-0000-00004E000000}"/>
    <cellStyle name="Accent5 3" xfId="87" xr:uid="{00000000-0005-0000-0000-00004F000000}"/>
    <cellStyle name="Accent6 2" xfId="88" xr:uid="{00000000-0005-0000-0000-000050000000}"/>
    <cellStyle name="Accent6 3" xfId="89" xr:uid="{00000000-0005-0000-0000-000051000000}"/>
    <cellStyle name="Bad 2" xfId="90" xr:uid="{00000000-0005-0000-0000-000052000000}"/>
    <cellStyle name="Bad 3" xfId="91" xr:uid="{00000000-0005-0000-0000-000053000000}"/>
    <cellStyle name="Bold Border" xfId="92" xr:uid="{00000000-0005-0000-0000-000054000000}"/>
    <cellStyle name="Bottom bold border" xfId="93" xr:uid="{00000000-0005-0000-0000-000055000000}"/>
    <cellStyle name="Bottom single border" xfId="94" xr:uid="{00000000-0005-0000-0000-000056000000}"/>
    <cellStyle name="Calculation 2" xfId="95" xr:uid="{00000000-0005-0000-0000-000057000000}"/>
    <cellStyle name="Calculation 3" xfId="96" xr:uid="{00000000-0005-0000-0000-000058000000}"/>
    <cellStyle name="Check Cell 2" xfId="97" xr:uid="{00000000-0005-0000-0000-000059000000}"/>
    <cellStyle name="Check Cell 3" xfId="98" xr:uid="{00000000-0005-0000-0000-00005A000000}"/>
    <cellStyle name="Client Name" xfId="99" xr:uid="{00000000-0005-0000-0000-00005B000000}"/>
    <cellStyle name="Column Headings" xfId="100" xr:uid="{00000000-0005-0000-0000-00005C000000}"/>
    <cellStyle name="Comma" xfId="1" builtinId="3"/>
    <cellStyle name="Comma 2" xfId="101" xr:uid="{00000000-0005-0000-0000-00005E000000}"/>
    <cellStyle name="Comma 3" xfId="102" xr:uid="{00000000-0005-0000-0000-00005F000000}"/>
    <cellStyle name="Comma 4" xfId="103" xr:uid="{00000000-0005-0000-0000-000060000000}"/>
    <cellStyle name="Comma0" xfId="104" xr:uid="{00000000-0005-0000-0000-000061000000}"/>
    <cellStyle name="Currency 2" xfId="187" xr:uid="{00000000-0005-0000-0000-000062000000}"/>
    <cellStyle name="Currency0" xfId="105" xr:uid="{00000000-0005-0000-0000-000063000000}"/>
    <cellStyle name="Date" xfId="106" xr:uid="{00000000-0005-0000-0000-000064000000}"/>
    <cellStyle name="Decimal 2 (e.g. 1,000.00)" xfId="107" xr:uid="{00000000-0005-0000-0000-000065000000}"/>
    <cellStyle name="Double Underline" xfId="108" xr:uid="{00000000-0005-0000-0000-000066000000}"/>
    <cellStyle name="Double Underscore" xfId="109" xr:uid="{00000000-0005-0000-0000-000067000000}"/>
    <cellStyle name="Explanatory Text 2" xfId="110" xr:uid="{00000000-0005-0000-0000-000068000000}"/>
    <cellStyle name="Explanatory Text 3" xfId="111" xr:uid="{00000000-0005-0000-0000-000069000000}"/>
    <cellStyle name="F2" xfId="112" xr:uid="{00000000-0005-0000-0000-00006A000000}"/>
    <cellStyle name="F3" xfId="113" xr:uid="{00000000-0005-0000-0000-00006B000000}"/>
    <cellStyle name="F4" xfId="114" xr:uid="{00000000-0005-0000-0000-00006C000000}"/>
    <cellStyle name="F5" xfId="115" xr:uid="{00000000-0005-0000-0000-00006D000000}"/>
    <cellStyle name="F6" xfId="116" xr:uid="{00000000-0005-0000-0000-00006E000000}"/>
    <cellStyle name="F7" xfId="117" xr:uid="{00000000-0005-0000-0000-00006F000000}"/>
    <cellStyle name="F8" xfId="118" xr:uid="{00000000-0005-0000-0000-000070000000}"/>
    <cellStyle name="Fixed" xfId="119" xr:uid="{00000000-0005-0000-0000-000071000000}"/>
    <cellStyle name="Good 2" xfId="120" xr:uid="{00000000-0005-0000-0000-000072000000}"/>
    <cellStyle name="Good 3" xfId="121" xr:uid="{00000000-0005-0000-0000-000073000000}"/>
    <cellStyle name="Heading 1 2" xfId="122" xr:uid="{00000000-0005-0000-0000-000074000000}"/>
    <cellStyle name="Heading 1 3" xfId="123" xr:uid="{00000000-0005-0000-0000-000075000000}"/>
    <cellStyle name="Heading 2 2" xfId="124" xr:uid="{00000000-0005-0000-0000-000076000000}"/>
    <cellStyle name="Heading 2 3" xfId="125" xr:uid="{00000000-0005-0000-0000-000077000000}"/>
    <cellStyle name="Heading 3 2" xfId="126" xr:uid="{00000000-0005-0000-0000-000078000000}"/>
    <cellStyle name="Heading 3 3" xfId="127" xr:uid="{00000000-0005-0000-0000-000079000000}"/>
    <cellStyle name="Heading 4 2" xfId="128" xr:uid="{00000000-0005-0000-0000-00007A000000}"/>
    <cellStyle name="Heading 4 3" xfId="129" xr:uid="{00000000-0005-0000-0000-00007B000000}"/>
    <cellStyle name="HEADING1" xfId="130" xr:uid="{00000000-0005-0000-0000-00007C000000}"/>
    <cellStyle name="HEADING2" xfId="131" xr:uid="{00000000-0005-0000-0000-00007D000000}"/>
    <cellStyle name="Hyperlink" xfId="2" builtinId="8"/>
    <cellStyle name="Hyperlink 2" xfId="15" xr:uid="{00000000-0005-0000-0000-00007F000000}"/>
    <cellStyle name="Hyperlink 2 2" xfId="132" xr:uid="{00000000-0005-0000-0000-000080000000}"/>
    <cellStyle name="In 000s (Convert to 000s)" xfId="133" xr:uid="{00000000-0005-0000-0000-000081000000}"/>
    <cellStyle name="Input 2" xfId="134" xr:uid="{00000000-0005-0000-0000-000082000000}"/>
    <cellStyle name="Input 3" xfId="135" xr:uid="{00000000-0005-0000-0000-000083000000}"/>
    <cellStyle name="Linked Cell 2" xfId="136" xr:uid="{00000000-0005-0000-0000-000084000000}"/>
    <cellStyle name="Linked Cell 3" xfId="137" xr:uid="{00000000-0005-0000-0000-000085000000}"/>
    <cellStyle name="Neutral 2" xfId="138" xr:uid="{00000000-0005-0000-0000-000086000000}"/>
    <cellStyle name="Neutral 3" xfId="139" xr:uid="{00000000-0005-0000-0000-000087000000}"/>
    <cellStyle name="No Border" xfId="140" xr:uid="{00000000-0005-0000-0000-000088000000}"/>
    <cellStyle name="Normal" xfId="0" builtinId="0"/>
    <cellStyle name="Normal 2" xfId="3" xr:uid="{00000000-0005-0000-0000-00008A000000}"/>
    <cellStyle name="Normal 3" xfId="4" xr:uid="{00000000-0005-0000-0000-00008B000000}"/>
    <cellStyle name="Normal 3 2" xfId="14" xr:uid="{00000000-0005-0000-0000-00008C000000}"/>
    <cellStyle name="Normal 3 2 2" xfId="18" xr:uid="{00000000-0005-0000-0000-00008D000000}"/>
    <cellStyle name="Normal 3 2 2 2" xfId="31" xr:uid="{00000000-0005-0000-0000-00008E000000}"/>
    <cellStyle name="Normal 3 2 2 3" xfId="199" xr:uid="{00000000-0005-0000-0000-00008F000000}"/>
    <cellStyle name="Normal 3 2 2 4" xfId="23" xr:uid="{00000000-0005-0000-0000-000090000000}"/>
    <cellStyle name="Normal 3 2 3" xfId="28" xr:uid="{00000000-0005-0000-0000-000091000000}"/>
    <cellStyle name="Normal 3 2 3 2" xfId="196" xr:uid="{00000000-0005-0000-0000-000092000000}"/>
    <cellStyle name="Normal 3 2 4" xfId="190" xr:uid="{00000000-0005-0000-0000-000093000000}"/>
    <cellStyle name="Normal 3 2 4 2" xfId="201" xr:uid="{00000000-0005-0000-0000-000094000000}"/>
    <cellStyle name="Normal 3 2 5" xfId="25" xr:uid="{00000000-0005-0000-0000-000095000000}"/>
    <cellStyle name="Normal 3 2 6" xfId="193" xr:uid="{00000000-0005-0000-0000-000096000000}"/>
    <cellStyle name="Normal 3 2 7" xfId="20" xr:uid="{00000000-0005-0000-0000-000097000000}"/>
    <cellStyle name="Normal 3 3" xfId="30" xr:uid="{00000000-0005-0000-0000-000098000000}"/>
    <cellStyle name="Normal 3 3 2" xfId="198" xr:uid="{00000000-0005-0000-0000-000099000000}"/>
    <cellStyle name="Normal 3 4" xfId="27" xr:uid="{00000000-0005-0000-0000-00009A000000}"/>
    <cellStyle name="Normal 3 4 2" xfId="195" xr:uid="{00000000-0005-0000-0000-00009B000000}"/>
    <cellStyle name="Normal 3 5" xfId="189" xr:uid="{00000000-0005-0000-0000-00009C000000}"/>
    <cellStyle name="Normal 3 5 2" xfId="200" xr:uid="{00000000-0005-0000-0000-00009D000000}"/>
    <cellStyle name="Normal 3 6" xfId="24" xr:uid="{00000000-0005-0000-0000-00009E000000}"/>
    <cellStyle name="Normal 3 7" xfId="192" xr:uid="{00000000-0005-0000-0000-00009F000000}"/>
    <cellStyle name="Normal 3 8" xfId="19" xr:uid="{00000000-0005-0000-0000-0000A0000000}"/>
    <cellStyle name="Normal 4" xfId="16" xr:uid="{00000000-0005-0000-0000-0000A1000000}"/>
    <cellStyle name="Normal 4 2" xfId="188" xr:uid="{00000000-0005-0000-0000-0000A2000000}"/>
    <cellStyle name="Normal 4 3" xfId="186" xr:uid="{00000000-0005-0000-0000-0000A3000000}"/>
    <cellStyle name="Normal 4 4" xfId="29" xr:uid="{00000000-0005-0000-0000-0000A4000000}"/>
    <cellStyle name="Normal 4 4 2" xfId="197" xr:uid="{00000000-0005-0000-0000-0000A5000000}"/>
    <cellStyle name="Normal 4 5" xfId="191" xr:uid="{00000000-0005-0000-0000-0000A6000000}"/>
    <cellStyle name="Normal 4 6" xfId="26" xr:uid="{00000000-0005-0000-0000-0000A7000000}"/>
    <cellStyle name="Normal 4 7" xfId="194" xr:uid="{00000000-0005-0000-0000-0000A8000000}"/>
    <cellStyle name="Normal 4 8" xfId="21" xr:uid="{00000000-0005-0000-0000-0000A9000000}"/>
    <cellStyle name="Normal 5" xfId="17" xr:uid="{00000000-0005-0000-0000-0000AA000000}"/>
    <cellStyle name="Normal 5 2" xfId="22" xr:uid="{00000000-0005-0000-0000-0000AB000000}"/>
    <cellStyle name="Normal_AFRPG3" xfId="5" xr:uid="{00000000-0005-0000-0000-0000AC000000}"/>
    <cellStyle name="Normal_AFRPG41" xfId="6" xr:uid="{00000000-0005-0000-0000-0000AD000000}"/>
    <cellStyle name="Normal_AFRPG47" xfId="7" xr:uid="{00000000-0005-0000-0000-0000AE000000}"/>
    <cellStyle name="Normal_AFRPG56" xfId="8" xr:uid="{00000000-0005-0000-0000-0000AF000000}"/>
    <cellStyle name="Normal_AFRPG59" xfId="9" xr:uid="{00000000-0005-0000-0000-0000B0000000}"/>
    <cellStyle name="Normal_AFRPG63" xfId="10" xr:uid="{00000000-0005-0000-0000-0000B1000000}"/>
    <cellStyle name="Normal_AFRPG64" xfId="11" xr:uid="{00000000-0005-0000-0000-0000B2000000}"/>
    <cellStyle name="Normal_COVER" xfId="12" xr:uid="{00000000-0005-0000-0000-0000B3000000}"/>
    <cellStyle name="Normal_THRESHOLD CALCULATOR v3" xfId="13" xr:uid="{00000000-0005-0000-0000-0000B4000000}"/>
    <cellStyle name="Note 2" xfId="141" xr:uid="{00000000-0005-0000-0000-0000B5000000}"/>
    <cellStyle name="Note 3" xfId="142" xr:uid="{00000000-0005-0000-0000-0000B6000000}"/>
    <cellStyle name="Note 3 2" xfId="172" xr:uid="{00000000-0005-0000-0000-0000B7000000}"/>
    <cellStyle name="Note 3 3" xfId="185" xr:uid="{00000000-0005-0000-0000-0000B8000000}"/>
    <cellStyle name="Number" xfId="143" xr:uid="{00000000-0005-0000-0000-0000B9000000}"/>
    <cellStyle name="Output 2" xfId="144" xr:uid="{00000000-0005-0000-0000-0000BA000000}"/>
    <cellStyle name="Output 3" xfId="145" xr:uid="{00000000-0005-0000-0000-0000BB000000}"/>
    <cellStyle name="Rounding" xfId="146" xr:uid="{00000000-0005-0000-0000-0000BC000000}"/>
    <cellStyle name="Single Border" xfId="147" xr:uid="{00000000-0005-0000-0000-0000BD000000}"/>
    <cellStyle name="Single Underline" xfId="148" xr:uid="{00000000-0005-0000-0000-0000BE000000}"/>
    <cellStyle name="STYLE1" xfId="149" xr:uid="{00000000-0005-0000-0000-0000BF000000}"/>
    <cellStyle name="STYLE2" xfId="150" xr:uid="{00000000-0005-0000-0000-0000C0000000}"/>
    <cellStyle name="Title 2" xfId="151" xr:uid="{00000000-0005-0000-0000-0000C1000000}"/>
    <cellStyle name="Title 3" xfId="152" xr:uid="{00000000-0005-0000-0000-0000C2000000}"/>
    <cellStyle name="Top Bold Border" xfId="153" xr:uid="{00000000-0005-0000-0000-0000C3000000}"/>
    <cellStyle name="Top Double Border" xfId="154" xr:uid="{00000000-0005-0000-0000-0000C4000000}"/>
    <cellStyle name="Top Single Border" xfId="155" xr:uid="{00000000-0005-0000-0000-0000C5000000}"/>
    <cellStyle name="Total 2" xfId="156" xr:uid="{00000000-0005-0000-0000-0000C6000000}"/>
    <cellStyle name="Total 3" xfId="157" xr:uid="{00000000-0005-0000-0000-0000C7000000}"/>
    <cellStyle name="Warning Text 2" xfId="158" xr:uid="{00000000-0005-0000-0000-0000C8000000}"/>
    <cellStyle name="Warning Text 3" xfId="159" xr:uid="{00000000-0005-0000-0000-0000C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I22" sqref="I22:S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0" t="s">
        <v>405</v>
      </c>
      <c r="J1" s="2021"/>
      <c r="K1" s="2021"/>
      <c r="L1" s="2021"/>
      <c r="M1" s="2021"/>
      <c r="N1" s="2021"/>
      <c r="O1" s="2021"/>
      <c r="P1" s="2021"/>
      <c r="Q1" s="2021"/>
      <c r="R1" s="2021"/>
      <c r="S1" s="2021"/>
    </row>
    <row r="2" spans="1:28" ht="12" customHeight="1" x14ac:dyDescent="0.2">
      <c r="A2" s="47" t="s">
        <v>1990</v>
      </c>
      <c r="D2" s="48"/>
      <c r="I2" s="2022" t="s">
        <v>979</v>
      </c>
      <c r="J2" s="2021"/>
      <c r="K2" s="2021"/>
      <c r="L2" s="2021"/>
      <c r="M2" s="2021"/>
      <c r="N2" s="2021"/>
      <c r="O2" s="2021"/>
      <c r="P2" s="2021"/>
      <c r="Q2" s="2021"/>
      <c r="R2" s="2021"/>
      <c r="S2" s="2021"/>
    </row>
    <row r="3" spans="1:28" ht="12" customHeight="1" x14ac:dyDescent="0.2">
      <c r="A3" s="155" t="s">
        <v>1942</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2115</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t="s">
        <v>2061</v>
      </c>
      <c r="P12" s="100" t="s">
        <v>202</v>
      </c>
      <c r="Q12" s="74"/>
      <c r="R12" s="30"/>
      <c r="S12" s="30"/>
      <c r="T12" s="85" t="s">
        <v>265</v>
      </c>
      <c r="U12" s="51"/>
      <c r="V12" s="51"/>
      <c r="W12" s="51"/>
      <c r="X12" s="51"/>
      <c r="Y12" s="45"/>
      <c r="Z12" s="45"/>
      <c r="AA12" s="46"/>
    </row>
    <row r="13" spans="1:28" ht="13.5" customHeight="1" x14ac:dyDescent="0.2">
      <c r="A13" s="1989" t="s">
        <v>2116</v>
      </c>
      <c r="B13" s="1990"/>
      <c r="C13" s="1990"/>
      <c r="D13" s="1990"/>
      <c r="E13" s="1990"/>
      <c r="F13" s="1990"/>
      <c r="G13" s="1990"/>
      <c r="H13" s="1991"/>
      <c r="I13" s="31"/>
      <c r="J13" s="30"/>
      <c r="K13" s="28"/>
      <c r="L13" s="30"/>
      <c r="M13" s="30"/>
      <c r="N13" s="30"/>
      <c r="O13" s="30"/>
      <c r="P13" s="30"/>
      <c r="Q13" s="30"/>
      <c r="R13" s="30"/>
      <c r="S13" s="30"/>
      <c r="T13" s="1994" t="s">
        <v>2133</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2135</v>
      </c>
      <c r="B15" s="1992"/>
      <c r="C15" s="1992"/>
      <c r="D15" s="1992"/>
      <c r="E15" s="1992"/>
      <c r="F15" s="1992"/>
      <c r="G15" s="1992"/>
      <c r="H15" s="1993"/>
      <c r="T15" s="1955" t="s">
        <v>2134</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2114</v>
      </c>
      <c r="B17" s="2018"/>
      <c r="C17" s="2018"/>
      <c r="D17" s="2018"/>
      <c r="E17" s="2018"/>
      <c r="F17" s="2018"/>
      <c r="G17" s="2018"/>
      <c r="H17" s="2019"/>
      <c r="T17" s="2004" t="s">
        <v>2132</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2129</v>
      </c>
      <c r="B19" s="1988"/>
      <c r="C19" s="1988"/>
      <c r="D19" s="1988"/>
      <c r="E19" s="1988"/>
      <c r="F19" s="1988"/>
      <c r="G19" s="1988"/>
      <c r="H19" s="1986"/>
      <c r="I19" s="30"/>
      <c r="J19" s="99"/>
      <c r="K19" s="40"/>
      <c r="L19" s="38"/>
      <c r="M19" s="112" t="s">
        <v>315</v>
      </c>
      <c r="P19" s="27"/>
      <c r="Q19" s="27"/>
      <c r="R19" s="27"/>
      <c r="S19" s="31"/>
      <c r="T19" s="1987" t="s">
        <v>2130</v>
      </c>
      <c r="U19" s="1985"/>
      <c r="V19" s="1985"/>
      <c r="W19" s="1986"/>
      <c r="X19" s="2002" t="s">
        <v>2131</v>
      </c>
      <c r="Y19" s="2003"/>
      <c r="Z19" s="2000">
        <v>60435</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2136</v>
      </c>
      <c r="B21" s="1985"/>
      <c r="C21" s="1985"/>
      <c r="D21" s="1985"/>
      <c r="E21" s="1985"/>
      <c r="F21" s="1985"/>
      <c r="G21" s="1985"/>
      <c r="H21" s="1986"/>
      <c r="I21" s="2010" t="s">
        <v>678</v>
      </c>
      <c r="J21" s="1973"/>
      <c r="K21" s="1973"/>
      <c r="L21" s="1973"/>
      <c r="M21" s="1973"/>
      <c r="N21" s="1973"/>
      <c r="O21" s="1973"/>
      <c r="P21" s="1973"/>
      <c r="Q21" s="1973"/>
      <c r="R21" s="1973"/>
      <c r="S21" s="1974"/>
      <c r="T21" s="1952" t="s">
        <v>2137</v>
      </c>
      <c r="U21" s="1953"/>
      <c r="V21" s="1953"/>
      <c r="W21" s="1953"/>
      <c r="X21" s="1966" t="s">
        <v>2138</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2139</v>
      </c>
      <c r="U23" s="1948"/>
      <c r="V23" s="1948"/>
      <c r="W23" s="1948"/>
      <c r="X23" s="1963">
        <v>44530</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60402</v>
      </c>
      <c r="B25" s="1985"/>
      <c r="C25" s="1985"/>
      <c r="D25" s="1985"/>
      <c r="E25" s="1985"/>
      <c r="F25" s="1985"/>
      <c r="G25" s="1985"/>
      <c r="H25" s="1986"/>
      <c r="I25" s="113"/>
      <c r="J25" s="2052"/>
      <c r="K25" s="2052"/>
      <c r="L25" s="2052"/>
      <c r="M25" s="2052"/>
      <c r="N25" s="2052"/>
      <c r="O25" s="2052"/>
      <c r="P25" s="2052"/>
      <c r="Q25" s="2052"/>
      <c r="R25" s="2052"/>
      <c r="S25" s="2053"/>
      <c r="T25" s="1944" t="s">
        <v>2140</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2115</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2115</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2115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2141</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c r="B42" s="2035"/>
      <c r="C42" s="2036"/>
      <c r="D42" s="2049"/>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2" t="s">
        <v>1611</v>
      </c>
    </row>
    <row r="23" spans="1:5" x14ac:dyDescent="0.2">
      <c r="A23" s="168"/>
      <c r="B23" s="162" t="s">
        <v>1854</v>
      </c>
      <c r="D23" s="167" t="s">
        <v>637</v>
      </c>
      <c r="E23" s="1832"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1" t="s">
        <v>1773</v>
      </c>
    </row>
    <row r="60" spans="1:3" x14ac:dyDescent="0.2">
      <c r="A60" s="196"/>
      <c r="B60" s="1481"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3"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2"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8" colorId="8" zoomScale="110" zoomScaleNormal="110" workbookViewId="0">
      <selection activeCell="F88" sqref="F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4"/>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v>206798</v>
      </c>
      <c r="H88" s="276">
        <v>150967</v>
      </c>
      <c r="I88" s="276"/>
      <c r="J88" s="277">
        <f>SUM(E88:I88)</f>
        <v>357765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357765</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2133</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1903</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258531397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2.0875999999999999E-2</v>
      </c>
      <c r="E10" s="356" t="s">
        <v>1005</v>
      </c>
      <c r="F10" s="355">
        <v>4.6839999999999998E-3</v>
      </c>
      <c r="G10" s="356" t="s">
        <v>1005</v>
      </c>
      <c r="H10" s="355">
        <v>2.957E-3</v>
      </c>
      <c r="I10" s="356" t="s">
        <v>1006</v>
      </c>
      <c r="J10" s="1728">
        <f>ROUND(D10+F10+H10,5)</f>
        <v>2.852E-2</v>
      </c>
      <c r="K10" s="222"/>
      <c r="L10" s="355">
        <v>0</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41205243</v>
      </c>
      <c r="E16" s="356"/>
      <c r="F16" s="1729">
        <f>SUM('Acct Summary 7-8'!C17,'Acct Summary 7-8'!D17,'Acct Summary 7-8'!F17)</f>
        <v>36934494</v>
      </c>
      <c r="G16" s="356"/>
      <c r="H16" s="1729">
        <f>SUM(D16-F16)</f>
        <v>4270749</v>
      </c>
      <c r="I16" s="222"/>
      <c r="J16" s="1729">
        <f>SUM('Acct Summary 7-8'!C81,'Acct Summary 7-8'!D81,'Acct Summary 7-8'!F81,'Acct Summary 7-8'!I81)</f>
        <v>51339292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2115</v>
      </c>
      <c r="C31" s="367" t="s">
        <v>586</v>
      </c>
      <c r="D31" s="237" t="s">
        <v>1072</v>
      </c>
      <c r="E31" s="222"/>
      <c r="F31" s="222"/>
      <c r="G31" s="363"/>
      <c r="H31" s="1731">
        <f>IF(B31="X",(J7*0.069),IF(B32="X",(J7*0.138),"Enter x in a.or b."))</f>
        <v>17838666.393000003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2" sqref="D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BERWYN NORTH SD 98</v>
      </c>
      <c r="E7" s="391"/>
      <c r="G7" s="252"/>
      <c r="H7" s="387"/>
      <c r="I7" s="387"/>
      <c r="J7" s="387"/>
      <c r="K7" s="387"/>
      <c r="L7" s="329"/>
      <c r="M7" s="329"/>
      <c r="N7" s="329"/>
      <c r="O7" s="329"/>
      <c r="P7" s="329"/>
    </row>
    <row r="8" spans="1:18" ht="12.75" x14ac:dyDescent="0.2">
      <c r="A8" s="329"/>
      <c r="B8" s="329"/>
      <c r="C8" s="389" t="s">
        <v>1125</v>
      </c>
      <c r="D8" s="392" t="str">
        <f>COVER!A13</f>
        <v>06-016-0980-02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51339292</v>
      </c>
      <c r="I12" s="404"/>
      <c r="J12" s="404"/>
      <c r="K12" s="405">
        <f>TRUNC((H12/H13*100000),5)/100000</f>
        <v>1.2459407653000001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41205243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36934494</v>
      </c>
      <c r="I17" s="404"/>
      <c r="J17" s="416"/>
      <c r="K17" s="405">
        <f>TRUNC((H17/H18*100000),5)/100000</f>
        <v>0.89635423330000008</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41205243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50347279</v>
      </c>
      <c r="I24" s="422"/>
      <c r="J24" s="422"/>
      <c r="K24" s="423">
        <f>TRUNC(((H24/H25*100000)/100000),2)</f>
        <v>490.73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102595.81667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6267318.1260700002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17838666.393000003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6" sqref="C6:K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5"/>
      <c r="D3" s="1556"/>
      <c r="E3" s="1556"/>
      <c r="F3" s="1556"/>
      <c r="G3" s="1556"/>
      <c r="H3" s="1556"/>
      <c r="I3" s="1556"/>
      <c r="J3" s="1556"/>
      <c r="K3" s="1556"/>
      <c r="L3" s="1556"/>
      <c r="M3" s="1557"/>
      <c r="N3" s="1558"/>
    </row>
    <row r="4" spans="1:14" ht="13.5" customHeight="1" x14ac:dyDescent="0.2">
      <c r="A4" s="463" t="s">
        <v>1651</v>
      </c>
      <c r="B4" s="464"/>
      <c r="C4" s="465">
        <v>44981983</v>
      </c>
      <c r="D4" s="466">
        <v>4863219</v>
      </c>
      <c r="E4" s="466">
        <v>2485</v>
      </c>
      <c r="F4" s="466">
        <v>125554</v>
      </c>
      <c r="G4" s="466">
        <v>223419</v>
      </c>
      <c r="H4" s="466"/>
      <c r="I4" s="466">
        <v>376523</v>
      </c>
      <c r="J4" s="467">
        <v>247696</v>
      </c>
      <c r="K4" s="466">
        <v>117651</v>
      </c>
      <c r="L4" s="466">
        <v>67912</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f>20510+2562051</f>
        <v>2582561</v>
      </c>
      <c r="D6" s="466">
        <v>568510</v>
      </c>
      <c r="E6" s="466"/>
      <c r="F6" s="466">
        <v>358933</v>
      </c>
      <c r="G6" s="471">
        <v>658677</v>
      </c>
      <c r="H6" s="471"/>
      <c r="I6" s="466"/>
      <c r="J6" s="474">
        <v>141108</v>
      </c>
      <c r="K6" s="471">
        <v>7339</v>
      </c>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765872</v>
      </c>
      <c r="D8" s="467"/>
      <c r="E8" s="467"/>
      <c r="F8" s="467">
        <v>206798</v>
      </c>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v>43429</v>
      </c>
      <c r="E11" s="467"/>
      <c r="F11" s="467">
        <v>4537</v>
      </c>
      <c r="G11" s="467"/>
      <c r="H11" s="467"/>
      <c r="I11" s="478"/>
      <c r="J11" s="478">
        <v>9074</v>
      </c>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2" t="s">
        <v>644</v>
      </c>
      <c r="B13" s="1705"/>
      <c r="C13" s="1733">
        <f>SUM(C4:C12)</f>
        <v>48330416</v>
      </c>
      <c r="D13" s="1733">
        <f t="shared" ref="D13:L13" si="0">SUM(D4:D12)</f>
        <v>5475158</v>
      </c>
      <c r="E13" s="1733">
        <f t="shared" si="0"/>
        <v>2485</v>
      </c>
      <c r="F13" s="1733">
        <f t="shared" si="0"/>
        <v>695822</v>
      </c>
      <c r="G13" s="1733">
        <f t="shared" si="0"/>
        <v>882096</v>
      </c>
      <c r="H13" s="1733">
        <f t="shared" si="0"/>
        <v>0</v>
      </c>
      <c r="I13" s="1733">
        <f t="shared" si="0"/>
        <v>376523</v>
      </c>
      <c r="J13" s="1733">
        <f t="shared" si="0"/>
        <v>397878</v>
      </c>
      <c r="K13" s="1733">
        <f t="shared" si="0"/>
        <v>124990</v>
      </c>
      <c r="L13" s="1733">
        <f t="shared" si="0"/>
        <v>67912</v>
      </c>
      <c r="M13" s="468"/>
      <c r="N13" s="469"/>
    </row>
    <row r="14" spans="1:14" ht="18" customHeight="1" thickTop="1" x14ac:dyDescent="0.2">
      <c r="A14" s="2114" t="s">
        <v>147</v>
      </c>
      <c r="B14" s="2115"/>
      <c r="C14" s="1559"/>
      <c r="D14" s="1560"/>
      <c r="E14" s="1560"/>
      <c r="F14" s="1560"/>
      <c r="G14" s="1560"/>
      <c r="H14" s="1560"/>
      <c r="I14" s="1560"/>
      <c r="J14" s="1560"/>
      <c r="K14" s="1560"/>
      <c r="L14" s="1560"/>
      <c r="M14" s="1561"/>
      <c r="N14" s="1562"/>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255810</v>
      </c>
      <c r="N16" s="484"/>
    </row>
    <row r="17" spans="1:14" s="485" customFormat="1" ht="12.75" customHeight="1" x14ac:dyDescent="0.2">
      <c r="A17" s="482" t="s">
        <v>1403</v>
      </c>
      <c r="B17" s="483">
        <v>230</v>
      </c>
      <c r="C17" s="477"/>
      <c r="D17" s="477"/>
      <c r="E17" s="477"/>
      <c r="F17" s="477"/>
      <c r="G17" s="477"/>
      <c r="H17" s="477"/>
      <c r="I17" s="477"/>
      <c r="J17" s="477"/>
      <c r="K17" s="477"/>
      <c r="L17" s="477"/>
      <c r="M17" s="467">
        <v>45437339</v>
      </c>
      <c r="N17" s="484"/>
    </row>
    <row r="18" spans="1:14" s="485" customFormat="1" ht="12.75" customHeight="1" x14ac:dyDescent="0.2">
      <c r="A18" s="482" t="s">
        <v>1404</v>
      </c>
      <c r="B18" s="483">
        <v>240</v>
      </c>
      <c r="C18" s="477"/>
      <c r="D18" s="477"/>
      <c r="E18" s="477"/>
      <c r="F18" s="477"/>
      <c r="G18" s="477"/>
      <c r="H18" s="477"/>
      <c r="I18" s="477"/>
      <c r="J18" s="477"/>
      <c r="K18" s="477"/>
      <c r="L18" s="477"/>
      <c r="M18" s="467">
        <v>606699</v>
      </c>
      <c r="N18" s="484"/>
    </row>
    <row r="19" spans="1:14" s="485" customFormat="1" ht="12.75" customHeight="1" x14ac:dyDescent="0.2">
      <c r="A19" s="482" t="s">
        <v>1405</v>
      </c>
      <c r="B19" s="483">
        <v>250</v>
      </c>
      <c r="C19" s="477"/>
      <c r="D19" s="477"/>
      <c r="E19" s="477"/>
      <c r="F19" s="477"/>
      <c r="G19" s="477"/>
      <c r="H19" s="477"/>
      <c r="I19" s="477"/>
      <c r="J19" s="477"/>
      <c r="K19" s="477"/>
      <c r="L19" s="477"/>
      <c r="M19" s="467">
        <f>661631+3532294</f>
        <v>4193925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2" t="s">
        <v>643</v>
      </c>
      <c r="B23" s="1737"/>
      <c r="C23" s="468"/>
      <c r="D23" s="468"/>
      <c r="E23" s="468"/>
      <c r="F23" s="468"/>
      <c r="G23" s="468"/>
      <c r="H23" s="468"/>
      <c r="I23" s="468"/>
      <c r="J23" s="468"/>
      <c r="K23" s="468"/>
      <c r="L23" s="468"/>
      <c r="M23" s="1684">
        <f>SUM(M15:M22)</f>
        <v>50493773</v>
      </c>
      <c r="N23" s="1684">
        <f>SUM(N21:N22)</f>
        <v>0</v>
      </c>
    </row>
    <row r="24" spans="1:14" ht="18" customHeight="1" thickTop="1" x14ac:dyDescent="0.2">
      <c r="A24" s="2116" t="s">
        <v>598</v>
      </c>
      <c r="B24" s="2117"/>
      <c r="C24" s="1564"/>
      <c r="D24" s="1561"/>
      <c r="E24" s="1561"/>
      <c r="F24" s="1561"/>
      <c r="G24" s="1561"/>
      <c r="H24" s="1561"/>
      <c r="I24" s="1561"/>
      <c r="J24" s="1561"/>
      <c r="K24" s="1561"/>
      <c r="L24" s="1561"/>
      <c r="M24" s="1560"/>
      <c r="N24" s="1565"/>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30752</v>
      </c>
      <c r="D27" s="467">
        <v>27908</v>
      </c>
      <c r="E27" s="467"/>
      <c r="F27" s="467">
        <v>23916</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2534693</v>
      </c>
      <c r="D32" s="492">
        <v>563348</v>
      </c>
      <c r="E32" s="474"/>
      <c r="F32" s="474">
        <v>358010</v>
      </c>
      <c r="G32" s="474">
        <v>654257</v>
      </c>
      <c r="H32" s="474"/>
      <c r="I32" s="474"/>
      <c r="J32" s="474">
        <v>139892</v>
      </c>
      <c r="K32" s="479">
        <v>7339</v>
      </c>
      <c r="L32" s="468"/>
      <c r="M32" s="468"/>
      <c r="N32" s="468"/>
    </row>
    <row r="33" spans="1:14" ht="13.5" customHeight="1" x14ac:dyDescent="0.2">
      <c r="A33" s="493" t="s">
        <v>303</v>
      </c>
      <c r="B33" s="491">
        <v>493</v>
      </c>
      <c r="C33" s="467"/>
      <c r="D33" s="467"/>
      <c r="E33" s="467"/>
      <c r="F33" s="467"/>
      <c r="G33" s="467"/>
      <c r="H33" s="467"/>
      <c r="I33" s="467"/>
      <c r="J33" s="467"/>
      <c r="K33" s="467"/>
      <c r="L33" s="467">
        <v>67912</v>
      </c>
      <c r="M33" s="468"/>
      <c r="N33" s="469"/>
    </row>
    <row r="34" spans="1:14" ht="13.5" customHeight="1" thickBot="1" x14ac:dyDescent="0.25">
      <c r="A34" s="1734" t="s">
        <v>654</v>
      </c>
      <c r="B34" s="1735"/>
      <c r="C34" s="1736">
        <f>SUM(C25:C33)</f>
        <v>2565445</v>
      </c>
      <c r="D34" s="1736">
        <f t="shared" ref="D34:K34" si="1">SUM(D25:D33)</f>
        <v>591256</v>
      </c>
      <c r="E34" s="1736">
        <f t="shared" si="1"/>
        <v>0</v>
      </c>
      <c r="F34" s="1736">
        <f t="shared" si="1"/>
        <v>381926</v>
      </c>
      <c r="G34" s="1736">
        <f t="shared" si="1"/>
        <v>654257</v>
      </c>
      <c r="H34" s="1736">
        <f t="shared" si="1"/>
        <v>0</v>
      </c>
      <c r="I34" s="1736">
        <f t="shared" si="1"/>
        <v>0</v>
      </c>
      <c r="J34" s="1736">
        <f t="shared" si="1"/>
        <v>139892</v>
      </c>
      <c r="K34" s="1736">
        <f t="shared" si="1"/>
        <v>7339</v>
      </c>
      <c r="L34" s="1717">
        <f>SUM(L33)</f>
        <v>67912</v>
      </c>
      <c r="M34" s="468"/>
      <c r="N34" s="480"/>
    </row>
    <row r="35" spans="1:14" ht="18" customHeight="1" thickTop="1" x14ac:dyDescent="0.2">
      <c r="A35" s="2118" t="s">
        <v>529</v>
      </c>
      <c r="B35" s="2119"/>
      <c r="C35" s="1566"/>
      <c r="D35" s="1567"/>
      <c r="E35" s="1567"/>
      <c r="F35" s="1567"/>
      <c r="G35" s="1567"/>
      <c r="H35" s="1567"/>
      <c r="I35" s="1567"/>
      <c r="J35" s="1567"/>
      <c r="K35" s="1567"/>
      <c r="L35" s="1567"/>
      <c r="M35" s="1561"/>
      <c r="N35" s="1565"/>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2" t="s">
        <v>653</v>
      </c>
      <c r="B37" s="1737"/>
      <c r="C37" s="477"/>
      <c r="D37" s="477"/>
      <c r="E37" s="477"/>
      <c r="F37" s="477"/>
      <c r="G37" s="477"/>
      <c r="H37" s="477"/>
      <c r="I37" s="477"/>
      <c r="J37" s="477"/>
      <c r="K37" s="477"/>
      <c r="L37" s="480"/>
      <c r="M37" s="468"/>
      <c r="N37" s="1684">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45764971</v>
      </c>
      <c r="D39" s="466">
        <v>4883902</v>
      </c>
      <c r="E39" s="466">
        <v>2485</v>
      </c>
      <c r="F39" s="466">
        <v>313896</v>
      </c>
      <c r="G39" s="466">
        <v>227839</v>
      </c>
      <c r="H39" s="466"/>
      <c r="I39" s="466">
        <v>376523</v>
      </c>
      <c r="J39" s="467">
        <v>257986</v>
      </c>
      <c r="K39" s="466">
        <v>117651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255810+50237963</f>
        <v>50493773</v>
      </c>
      <c r="N40" s="497"/>
    </row>
    <row r="41" spans="1:14" ht="13.5" customHeight="1" thickBot="1" x14ac:dyDescent="0.25">
      <c r="A41" s="1732" t="s">
        <v>655</v>
      </c>
      <c r="B41" s="1702"/>
      <c r="C41" s="1684">
        <f>(SUM(C34,C37,C38,C39))</f>
        <v>48330416</v>
      </c>
      <c r="D41" s="1684">
        <f t="shared" ref="D41:L41" si="2">SUM(D34,D37,D38:D39)</f>
        <v>5475158</v>
      </c>
      <c r="E41" s="1684">
        <f t="shared" si="2"/>
        <v>2485</v>
      </c>
      <c r="F41" s="1684">
        <f t="shared" si="2"/>
        <v>695822</v>
      </c>
      <c r="G41" s="1684">
        <f t="shared" si="2"/>
        <v>882096</v>
      </c>
      <c r="H41" s="1684">
        <f t="shared" si="2"/>
        <v>0</v>
      </c>
      <c r="I41" s="1684">
        <f t="shared" si="2"/>
        <v>376523</v>
      </c>
      <c r="J41" s="1684">
        <f t="shared" si="2"/>
        <v>397878</v>
      </c>
      <c r="K41" s="1684">
        <f t="shared" si="2"/>
        <v>124990</v>
      </c>
      <c r="L41" s="1684">
        <f t="shared" si="2"/>
        <v>67912</v>
      </c>
      <c r="M41" s="1684">
        <f>SUM(M40)</f>
        <v>50493773</v>
      </c>
      <c r="N41" s="1684">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5" activeCellId="1" sqref="C7 C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69"/>
      <c r="D3" s="1570"/>
      <c r="E3" s="1570"/>
      <c r="F3" s="1570"/>
      <c r="G3" s="1570"/>
      <c r="H3" s="1570"/>
      <c r="I3" s="1570"/>
      <c r="J3" s="1570"/>
      <c r="K3" s="1571"/>
      <c r="L3" s="506"/>
    </row>
    <row r="4" spans="1:13" ht="15.75" customHeight="1" x14ac:dyDescent="0.2">
      <c r="A4" s="1924" t="s">
        <v>1499</v>
      </c>
      <c r="B4" s="1925">
        <v>1000</v>
      </c>
      <c r="C4" s="1738">
        <f>'Revenues 9-14'!C109</f>
        <v>5902469</v>
      </c>
      <c r="D4" s="1738">
        <f>'Revenues 9-14'!D109</f>
        <v>1315293</v>
      </c>
      <c r="E4" s="1738">
        <f>'Revenues 9-14'!E109</f>
        <v>0</v>
      </c>
      <c r="F4" s="1738">
        <f>'Revenues 9-14'!F109</f>
        <v>702029</v>
      </c>
      <c r="G4" s="1738">
        <f>'Revenues 9-14'!G109</f>
        <v>1325934</v>
      </c>
      <c r="H4" s="1738">
        <f>'Revenues 9-14'!H109</f>
        <v>0</v>
      </c>
      <c r="I4" s="1738">
        <f>'Revenues 9-14'!I109</f>
        <v>5655</v>
      </c>
      <c r="J4" s="1738">
        <f>'Revenues 9-14'!J109</f>
        <v>281250</v>
      </c>
      <c r="K4" s="1738">
        <f>'Revenues 9-14'!K109</f>
        <v>15450</v>
      </c>
      <c r="L4" s="347"/>
    </row>
    <row r="5" spans="1:13" ht="15.75" customHeight="1" x14ac:dyDescent="0.2">
      <c r="A5" s="1572" t="s">
        <v>1500</v>
      </c>
      <c r="B5" s="1573">
        <v>2000</v>
      </c>
      <c r="C5" s="1739">
        <f>'Revenues 9-14'!C114</f>
        <v>101836</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2" t="s">
        <v>1501</v>
      </c>
      <c r="B6" s="1574">
        <v>3000</v>
      </c>
      <c r="C6" s="1739">
        <f>'Revenues 9-14'!C170</f>
        <v>24215132</v>
      </c>
      <c r="D6" s="1739">
        <f>'Revenues 9-14'!D170</f>
        <v>2998681</v>
      </c>
      <c r="E6" s="1739">
        <f>'Revenues 9-14'!E170</f>
        <v>0</v>
      </c>
      <c r="F6" s="1739">
        <f>'Revenues 9-14'!F170</f>
        <v>1037941</v>
      </c>
      <c r="G6" s="1739">
        <f>'Revenues 9-14'!G170</f>
        <v>0</v>
      </c>
      <c r="H6" s="1739">
        <f>'Revenues 9-14'!H170</f>
        <v>0</v>
      </c>
      <c r="I6" s="1739">
        <f>'Revenues 9-14'!I170</f>
        <v>0</v>
      </c>
      <c r="J6" s="1739">
        <f>'Revenues 9-14'!J170</f>
        <v>0</v>
      </c>
      <c r="K6" s="1739">
        <f>'Revenues 9-14'!K170</f>
        <v>0</v>
      </c>
      <c r="L6" s="347"/>
      <c r="M6" s="513"/>
    </row>
    <row r="7" spans="1:13" ht="15.75" customHeight="1" x14ac:dyDescent="0.2">
      <c r="A7" s="1572" t="s">
        <v>1502</v>
      </c>
      <c r="B7" s="1574">
        <v>4000</v>
      </c>
      <c r="C7" s="1739">
        <f>'Revenues 9-14'!C267</f>
        <v>4926207</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35145644</v>
      </c>
      <c r="D8" s="1684">
        <f t="shared" ref="D8:K8" si="0">SUM(D4:D7)</f>
        <v>4313974</v>
      </c>
      <c r="E8" s="1684">
        <f t="shared" si="0"/>
        <v>0</v>
      </c>
      <c r="F8" s="1684">
        <f t="shared" si="0"/>
        <v>1739970</v>
      </c>
      <c r="G8" s="1684">
        <f t="shared" si="0"/>
        <v>1325934</v>
      </c>
      <c r="H8" s="1684">
        <f t="shared" si="0"/>
        <v>0</v>
      </c>
      <c r="I8" s="1684">
        <f t="shared" si="0"/>
        <v>5655</v>
      </c>
      <c r="J8" s="1684">
        <f t="shared" si="0"/>
        <v>281250</v>
      </c>
      <c r="K8" s="1684">
        <f t="shared" si="0"/>
        <v>15450</v>
      </c>
      <c r="L8" s="347"/>
    </row>
    <row r="9" spans="1:13" ht="15.75" thickTop="1" x14ac:dyDescent="0.2">
      <c r="A9" s="514" t="s">
        <v>1653</v>
      </c>
      <c r="B9" s="515">
        <v>3998</v>
      </c>
      <c r="C9" s="481">
        <v>12929014</v>
      </c>
      <c r="D9" s="516"/>
      <c r="E9" s="481"/>
      <c r="F9" s="481"/>
      <c r="G9" s="517"/>
      <c r="H9" s="481"/>
      <c r="I9" s="509" t="s">
        <v>1169</v>
      </c>
      <c r="J9" s="478"/>
      <c r="K9" s="481"/>
      <c r="L9" s="347"/>
    </row>
    <row r="10" spans="1:13" s="519" customFormat="1" ht="13.5" thickBot="1" x14ac:dyDescent="0.25">
      <c r="A10" s="1732" t="s">
        <v>1173</v>
      </c>
      <c r="B10" s="1705"/>
      <c r="C10" s="1684">
        <f>SUM(C8:C9)</f>
        <v>48074658</v>
      </c>
      <c r="D10" s="1684">
        <f t="shared" ref="D10:K10" si="1">SUM(D8:D9)</f>
        <v>4313974</v>
      </c>
      <c r="E10" s="1684">
        <f t="shared" si="1"/>
        <v>0</v>
      </c>
      <c r="F10" s="1684">
        <f t="shared" si="1"/>
        <v>1739970</v>
      </c>
      <c r="G10" s="1684">
        <f t="shared" si="1"/>
        <v>1325934</v>
      </c>
      <c r="H10" s="1684">
        <f t="shared" si="1"/>
        <v>0</v>
      </c>
      <c r="I10" s="1684">
        <f t="shared" si="1"/>
        <v>5655</v>
      </c>
      <c r="J10" s="1684">
        <f t="shared" si="1"/>
        <v>281250</v>
      </c>
      <c r="K10" s="1684">
        <f t="shared" si="1"/>
        <v>15450</v>
      </c>
      <c r="L10" s="518"/>
    </row>
    <row r="11" spans="1:13" s="519" customFormat="1" ht="16.7" customHeight="1" thickTop="1" x14ac:dyDescent="0.2">
      <c r="A11" s="2114" t="s">
        <v>1176</v>
      </c>
      <c r="B11" s="2115"/>
      <c r="C11" s="1566"/>
      <c r="D11" s="1567"/>
      <c r="E11" s="1567"/>
      <c r="F11" s="1567"/>
      <c r="G11" s="1567"/>
      <c r="H11" s="1567"/>
      <c r="I11" s="1567"/>
      <c r="J11" s="1567"/>
      <c r="K11" s="1568"/>
      <c r="L11" s="518"/>
    </row>
    <row r="12" spans="1:13" ht="15.75" customHeight="1" x14ac:dyDescent="0.2">
      <c r="A12" s="1572" t="s">
        <v>456</v>
      </c>
      <c r="B12" s="1574">
        <v>1000</v>
      </c>
      <c r="C12" s="1738">
        <f>'Expenditures 15-22'!K33</f>
        <v>22132682</v>
      </c>
      <c r="D12" s="520" t="s">
        <v>1169</v>
      </c>
      <c r="E12" s="468" t="s">
        <v>1169</v>
      </c>
      <c r="F12" s="468" t="s">
        <v>1169</v>
      </c>
      <c r="G12" s="1738">
        <f>'Expenditures 15-22'!K229</f>
        <v>410994</v>
      </c>
      <c r="H12" s="521"/>
      <c r="I12" s="468" t="s">
        <v>1169</v>
      </c>
      <c r="J12" s="468" t="s">
        <v>1169</v>
      </c>
      <c r="K12" s="521" t="s">
        <v>1169</v>
      </c>
      <c r="L12" s="347"/>
    </row>
    <row r="13" spans="1:13" ht="15.75" customHeight="1" x14ac:dyDescent="0.2">
      <c r="A13" s="1572" t="s">
        <v>457</v>
      </c>
      <c r="B13" s="1574">
        <v>2000</v>
      </c>
      <c r="C13" s="1739">
        <f>'Expenditures 15-22'!K74</f>
        <v>9649282</v>
      </c>
      <c r="D13" s="1739">
        <f>'Expenditures 15-22'!K129</f>
        <v>3266478</v>
      </c>
      <c r="E13" s="469" t="s">
        <v>1169</v>
      </c>
      <c r="F13" s="1739">
        <f>'Expenditures 15-22'!K184</f>
        <v>1615132</v>
      </c>
      <c r="G13" s="1739">
        <f>'Expenditures 15-22'!K279</f>
        <v>717330</v>
      </c>
      <c r="H13" s="1739">
        <f>'Expenditures 15-22'!K303</f>
        <v>0</v>
      </c>
      <c r="I13" s="468" t="s">
        <v>1169</v>
      </c>
      <c r="J13" s="1739">
        <f>'Expenditures 15-22'!K330</f>
        <v>305112</v>
      </c>
      <c r="K13" s="1743">
        <f>'Expenditures 15-22'!K352</f>
        <v>1525</v>
      </c>
      <c r="L13" s="347"/>
    </row>
    <row r="14" spans="1:13" ht="15.75" customHeight="1" x14ac:dyDescent="0.2">
      <c r="A14" s="1572" t="s">
        <v>449</v>
      </c>
      <c r="B14" s="1574">
        <v>3000</v>
      </c>
      <c r="C14" s="1739">
        <f>'Expenditures 15-22'!K75</f>
        <v>264257</v>
      </c>
      <c r="D14" s="1739">
        <f>'Expenditures 15-22'!K130</f>
        <v>0</v>
      </c>
      <c r="E14" s="520" t="s">
        <v>1169</v>
      </c>
      <c r="F14" s="1739">
        <f>'Expenditures 15-22'!K185</f>
        <v>0</v>
      </c>
      <c r="G14" s="1739">
        <f>'Expenditures 15-22'!K280</f>
        <v>10709</v>
      </c>
      <c r="H14" s="512"/>
      <c r="I14" s="468" t="s">
        <v>1169</v>
      </c>
      <c r="J14" s="468" t="s">
        <v>1169</v>
      </c>
      <c r="K14" s="512" t="s">
        <v>1169</v>
      </c>
      <c r="L14" s="347"/>
    </row>
    <row r="15" spans="1:13" ht="15.75" customHeight="1" x14ac:dyDescent="0.2">
      <c r="A15" s="1572" t="s">
        <v>107</v>
      </c>
      <c r="B15" s="1574">
        <v>4000</v>
      </c>
      <c r="C15" s="1739">
        <f>'Expenditures 15-22'!K102</f>
        <v>6663</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0</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32052884</v>
      </c>
      <c r="D17" s="1684">
        <f t="shared" si="2"/>
        <v>3266478</v>
      </c>
      <c r="E17" s="1684">
        <f t="shared" si="2"/>
        <v>0</v>
      </c>
      <c r="F17" s="1684">
        <f t="shared" si="2"/>
        <v>1615132</v>
      </c>
      <c r="G17" s="1684">
        <f t="shared" si="2"/>
        <v>1139033</v>
      </c>
      <c r="H17" s="1684">
        <f t="shared" si="2"/>
        <v>0</v>
      </c>
      <c r="I17" s="468"/>
      <c r="J17" s="1684">
        <f>SUM(J12:J16)</f>
        <v>305112</v>
      </c>
      <c r="K17" s="1684">
        <f>SUM(K12:K16)</f>
        <v>1525</v>
      </c>
      <c r="L17" s="347"/>
    </row>
    <row r="18" spans="1:12" ht="15" customHeight="1" thickTop="1" x14ac:dyDescent="0.2">
      <c r="A18" s="1740" t="s">
        <v>1654</v>
      </c>
      <c r="B18" s="1741">
        <v>4180</v>
      </c>
      <c r="C18" s="1738">
        <f t="shared" ref="C18:H18" si="3">C9</f>
        <v>12929014</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44981898</v>
      </c>
      <c r="D19" s="1684">
        <f t="shared" si="4"/>
        <v>3266478</v>
      </c>
      <c r="E19" s="1684">
        <f t="shared" si="4"/>
        <v>0</v>
      </c>
      <c r="F19" s="1684">
        <f t="shared" si="4"/>
        <v>1615132</v>
      </c>
      <c r="G19" s="1684">
        <f t="shared" si="4"/>
        <v>1139033</v>
      </c>
      <c r="H19" s="1684">
        <f t="shared" si="4"/>
        <v>0</v>
      </c>
      <c r="I19" s="468"/>
      <c r="J19" s="1684">
        <f>SUM(J17:J18)</f>
        <v>305112</v>
      </c>
      <c r="K19" s="1684">
        <f>SUM(K17:K18)</f>
        <v>1525</v>
      </c>
      <c r="L19" s="347"/>
    </row>
    <row r="20" spans="1:12" ht="16.5" thickTop="1" thickBot="1" x14ac:dyDescent="0.25">
      <c r="A20" s="2130" t="s">
        <v>1655</v>
      </c>
      <c r="B20" s="2131"/>
      <c r="C20" s="1742">
        <f>C8-C17</f>
        <v>3092760</v>
      </c>
      <c r="D20" s="1742">
        <f t="shared" ref="D20:K20" si="5">D8-D17</f>
        <v>1047496</v>
      </c>
      <c r="E20" s="1742">
        <f t="shared" si="5"/>
        <v>0</v>
      </c>
      <c r="F20" s="1742">
        <f t="shared" si="5"/>
        <v>124838</v>
      </c>
      <c r="G20" s="1742">
        <f t="shared" si="5"/>
        <v>186901</v>
      </c>
      <c r="H20" s="1742">
        <f t="shared" si="5"/>
        <v>0</v>
      </c>
      <c r="I20" s="1742">
        <f t="shared" si="5"/>
        <v>5655</v>
      </c>
      <c r="J20" s="1742">
        <f t="shared" si="5"/>
        <v>-23862</v>
      </c>
      <c r="K20" s="1742">
        <f t="shared" si="5"/>
        <v>13925</v>
      </c>
      <c r="L20" s="347"/>
    </row>
    <row r="21" spans="1:12" ht="16.7" customHeight="1" thickTop="1" x14ac:dyDescent="0.2">
      <c r="A21" s="2142" t="s">
        <v>595</v>
      </c>
      <c r="B21" s="2143"/>
      <c r="C21" s="1566"/>
      <c r="D21" s="1567"/>
      <c r="E21" s="1567"/>
      <c r="F21" s="1567"/>
      <c r="G21" s="1567"/>
      <c r="H21" s="1567"/>
      <c r="I21" s="1567"/>
      <c r="J21" s="1567"/>
      <c r="K21" s="1568"/>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5" t="s">
        <v>1656</v>
      </c>
      <c r="B24" s="525">
        <v>7110</v>
      </c>
      <c r="C24" s="467"/>
      <c r="D24" s="477"/>
      <c r="E24" s="477"/>
      <c r="F24" s="477"/>
      <c r="G24" s="477"/>
      <c r="H24" s="477"/>
      <c r="I24" s="477"/>
      <c r="J24" s="477"/>
      <c r="K24" s="477"/>
      <c r="L24" s="524"/>
    </row>
    <row r="25" spans="1:12" s="485" customFormat="1" ht="13.5" customHeight="1" x14ac:dyDescent="0.2">
      <c r="A25" s="1485" t="s">
        <v>1657</v>
      </c>
      <c r="B25" s="525">
        <v>7110</v>
      </c>
      <c r="C25" s="467"/>
      <c r="D25" s="467"/>
      <c r="E25" s="467"/>
      <c r="F25" s="467"/>
      <c r="G25" s="467"/>
      <c r="H25" s="467"/>
      <c r="I25" s="477"/>
      <c r="J25" s="467"/>
      <c r="K25" s="467"/>
      <c r="L25" s="524"/>
    </row>
    <row r="26" spans="1:12" s="485" customFormat="1" ht="13.5" customHeight="1" x14ac:dyDescent="0.2">
      <c r="A26" s="1485" t="s">
        <v>184</v>
      </c>
      <c r="B26" s="483">
        <v>7120</v>
      </c>
      <c r="C26" s="467"/>
      <c r="D26" s="467"/>
      <c r="E26" s="467"/>
      <c r="F26" s="467"/>
      <c r="G26" s="467"/>
      <c r="H26" s="467"/>
      <c r="I26" s="477"/>
      <c r="J26" s="467"/>
      <c r="K26" s="467"/>
      <c r="L26" s="524"/>
    </row>
    <row r="27" spans="1:12" s="485" customFormat="1" ht="13.5" customHeight="1" x14ac:dyDescent="0.2">
      <c r="A27" s="1485" t="s">
        <v>185</v>
      </c>
      <c r="B27" s="483">
        <v>7130</v>
      </c>
      <c r="C27" s="467"/>
      <c r="D27" s="467"/>
      <c r="E27" s="526"/>
      <c r="F27" s="467"/>
      <c r="G27" s="480"/>
      <c r="H27" s="480"/>
      <c r="I27" s="480"/>
      <c r="J27" s="480"/>
      <c r="K27" s="480"/>
      <c r="L27" s="524"/>
    </row>
    <row r="28" spans="1:12" s="485" customFormat="1" ht="13.5" customHeight="1" x14ac:dyDescent="0.2">
      <c r="A28" s="1485" t="s">
        <v>1398</v>
      </c>
      <c r="B28" s="483">
        <v>7140</v>
      </c>
      <c r="C28" s="467"/>
      <c r="D28" s="467"/>
      <c r="E28" s="467"/>
      <c r="F28" s="467"/>
      <c r="G28" s="467"/>
      <c r="H28" s="467"/>
      <c r="I28" s="467"/>
      <c r="J28" s="467"/>
      <c r="K28" s="467"/>
      <c r="L28" s="524"/>
    </row>
    <row r="29" spans="1:12" s="485" customFormat="1" ht="13.5" customHeight="1" x14ac:dyDescent="0.2">
      <c r="A29" s="1485" t="s">
        <v>294</v>
      </c>
      <c r="B29" s="483">
        <v>7150</v>
      </c>
      <c r="C29" s="475"/>
      <c r="D29" s="467"/>
      <c r="E29" s="475"/>
      <c r="F29" s="475"/>
      <c r="G29" s="475"/>
      <c r="H29" s="475"/>
      <c r="I29" s="475"/>
      <c r="J29" s="475"/>
      <c r="K29" s="475"/>
      <c r="L29" s="524"/>
    </row>
    <row r="30" spans="1:12" s="485" customFormat="1" ht="26.25" x14ac:dyDescent="0.2">
      <c r="A30" s="1485" t="s">
        <v>1791</v>
      </c>
      <c r="B30" s="527">
        <v>7160</v>
      </c>
      <c r="C30" s="477"/>
      <c r="D30" s="467"/>
      <c r="E30" s="477"/>
      <c r="F30" s="477"/>
      <c r="G30" s="477"/>
      <c r="H30" s="477"/>
      <c r="I30" s="477"/>
      <c r="J30" s="477"/>
      <c r="K30" s="477"/>
      <c r="L30" s="524"/>
    </row>
    <row r="31" spans="1:12" s="485" customFormat="1" ht="26.25" x14ac:dyDescent="0.2">
      <c r="A31" s="1485" t="s">
        <v>1795</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5" t="s">
        <v>412</v>
      </c>
      <c r="B33" s="525">
        <v>7210</v>
      </c>
      <c r="C33" s="467"/>
      <c r="D33" s="467"/>
      <c r="E33" s="467"/>
      <c r="F33" s="467"/>
      <c r="G33" s="477"/>
      <c r="H33" s="467"/>
      <c r="I33" s="467"/>
      <c r="J33" s="467"/>
      <c r="K33" s="467"/>
      <c r="L33" s="524"/>
    </row>
    <row r="34" spans="1:12" s="485" customFormat="1" x14ac:dyDescent="0.2">
      <c r="A34" s="1485" t="s">
        <v>1001</v>
      </c>
      <c r="B34" s="525">
        <v>7220</v>
      </c>
      <c r="C34" s="467"/>
      <c r="D34" s="467"/>
      <c r="E34" s="467"/>
      <c r="F34" s="467"/>
      <c r="G34" s="477"/>
      <c r="H34" s="478"/>
      <c r="I34" s="478"/>
      <c r="J34" s="478"/>
      <c r="K34" s="478"/>
      <c r="L34" s="524"/>
    </row>
    <row r="35" spans="1:12" s="485" customFormat="1" x14ac:dyDescent="0.2">
      <c r="A35" s="1485" t="s">
        <v>990</v>
      </c>
      <c r="B35" s="525">
        <v>7230</v>
      </c>
      <c r="C35" s="467"/>
      <c r="D35" s="467"/>
      <c r="E35" s="467"/>
      <c r="F35" s="467"/>
      <c r="G35" s="480"/>
      <c r="H35" s="467"/>
      <c r="I35" s="467"/>
      <c r="J35" s="467"/>
      <c r="K35" s="467"/>
      <c r="L35" s="524"/>
    </row>
    <row r="36" spans="1:12" s="485" customFormat="1" ht="15" x14ac:dyDescent="0.2">
      <c r="A36" s="1485" t="s">
        <v>1658</v>
      </c>
      <c r="B36" s="525">
        <v>7300</v>
      </c>
      <c r="C36" s="467">
        <v>12395</v>
      </c>
      <c r="D36" s="467"/>
      <c r="E36" s="467"/>
      <c r="F36" s="467">
        <v>2600</v>
      </c>
      <c r="G36" s="467"/>
      <c r="H36" s="467"/>
      <c r="I36" s="475"/>
      <c r="J36" s="467"/>
      <c r="K36" s="467"/>
      <c r="L36" s="524"/>
    </row>
    <row r="37" spans="1:12" s="485" customFormat="1" x14ac:dyDescent="0.2">
      <c r="A37" s="1485" t="s">
        <v>441</v>
      </c>
      <c r="B37" s="525">
        <v>7400</v>
      </c>
      <c r="C37" s="475"/>
      <c r="D37" s="475"/>
      <c r="E37" s="1739">
        <f>SUM(C54:D57,H54:H57)</f>
        <v>0</v>
      </c>
      <c r="F37" s="475"/>
      <c r="G37" s="475"/>
      <c r="H37" s="475"/>
      <c r="I37" s="477"/>
      <c r="J37" s="475"/>
      <c r="K37" s="475"/>
      <c r="L37" s="524"/>
    </row>
    <row r="38" spans="1:12" s="485" customFormat="1" x14ac:dyDescent="0.2">
      <c r="A38" s="1485" t="s">
        <v>442</v>
      </c>
      <c r="B38" s="525">
        <v>7500</v>
      </c>
      <c r="C38" s="477"/>
      <c r="D38" s="477"/>
      <c r="E38" s="1739">
        <f>SUM(C58:D61,H58:H61)</f>
        <v>0</v>
      </c>
      <c r="F38" s="477"/>
      <c r="G38" s="477"/>
      <c r="H38" s="477"/>
      <c r="I38" s="477"/>
      <c r="J38" s="477"/>
      <c r="K38" s="477"/>
      <c r="L38" s="524"/>
    </row>
    <row r="39" spans="1:12" s="485" customFormat="1" x14ac:dyDescent="0.2">
      <c r="A39" s="1485" t="s">
        <v>443</v>
      </c>
      <c r="B39" s="525">
        <v>7600</v>
      </c>
      <c r="C39" s="477"/>
      <c r="D39" s="477"/>
      <c r="E39" s="1739">
        <f>SUM(C62:D65)</f>
        <v>0</v>
      </c>
      <c r="F39" s="477"/>
      <c r="G39" s="477"/>
      <c r="H39" s="477"/>
      <c r="I39" s="477"/>
      <c r="J39" s="477"/>
      <c r="K39" s="477"/>
      <c r="L39" s="524"/>
    </row>
    <row r="40" spans="1:12" s="485" customFormat="1" ht="13.5" customHeight="1" x14ac:dyDescent="0.2">
      <c r="A40" s="1485" t="s">
        <v>642</v>
      </c>
      <c r="B40" s="483">
        <v>7700</v>
      </c>
      <c r="C40" s="477"/>
      <c r="D40" s="477"/>
      <c r="E40" s="1739">
        <f>SUM(C66:D69)</f>
        <v>0</v>
      </c>
      <c r="F40" s="477"/>
      <c r="G40" s="477"/>
      <c r="H40" s="480"/>
      <c r="I40" s="477"/>
      <c r="J40" s="477"/>
      <c r="K40" s="477"/>
      <c r="L40" s="524"/>
    </row>
    <row r="41" spans="1:12" s="485" customFormat="1" ht="13.5" customHeight="1" x14ac:dyDescent="0.2">
      <c r="A41" s="1485" t="s">
        <v>640</v>
      </c>
      <c r="B41" s="483">
        <v>7800</v>
      </c>
      <c r="C41" s="480"/>
      <c r="D41" s="480"/>
      <c r="E41" s="526"/>
      <c r="F41" s="480"/>
      <c r="G41" s="480"/>
      <c r="H41" s="1739">
        <f>SUM(C70:D73)</f>
        <v>0</v>
      </c>
      <c r="I41" s="477"/>
      <c r="J41" s="477"/>
      <c r="K41" s="480"/>
      <c r="L41" s="524"/>
    </row>
    <row r="42" spans="1:12" s="485" customFormat="1" ht="13.5" customHeight="1" x14ac:dyDescent="0.2">
      <c r="A42" s="1485" t="s">
        <v>641</v>
      </c>
      <c r="B42" s="483">
        <v>7900</v>
      </c>
      <c r="C42" s="467"/>
      <c r="D42" s="467"/>
      <c r="E42" s="467"/>
      <c r="F42" s="467"/>
      <c r="G42" s="467"/>
      <c r="H42" s="467"/>
      <c r="I42" s="480"/>
      <c r="J42" s="480"/>
      <c r="K42" s="467"/>
      <c r="L42" s="524"/>
    </row>
    <row r="43" spans="1:12" s="485" customFormat="1" ht="13.5" customHeight="1" x14ac:dyDescent="0.2">
      <c r="A43" s="1485"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699">
        <f>SUM(C24:C43)</f>
        <v>12395</v>
      </c>
      <c r="D44" s="1699">
        <f t="shared" ref="D44:K44" si="6">SUM(D24:D43)</f>
        <v>0</v>
      </c>
      <c r="E44" s="1699">
        <f t="shared" si="6"/>
        <v>0</v>
      </c>
      <c r="F44" s="1699">
        <f t="shared" si="6"/>
        <v>2600</v>
      </c>
      <c r="G44" s="1699">
        <f t="shared" si="6"/>
        <v>0</v>
      </c>
      <c r="H44" s="1699">
        <f t="shared" si="6"/>
        <v>0</v>
      </c>
      <c r="I44" s="1699">
        <f t="shared" si="6"/>
        <v>0</v>
      </c>
      <c r="J44" s="1699">
        <f t="shared" si="6"/>
        <v>0</v>
      </c>
      <c r="K44" s="1699">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6" t="s">
        <v>1659</v>
      </c>
      <c r="B47" s="483">
        <v>8110</v>
      </c>
      <c r="C47" s="477"/>
      <c r="D47" s="477"/>
      <c r="E47" s="477"/>
      <c r="F47" s="477"/>
      <c r="G47" s="477"/>
      <c r="H47" s="477"/>
      <c r="I47" s="1739">
        <f>SUM(C24,C25:H25,J25:K25)</f>
        <v>0</v>
      </c>
      <c r="J47" s="477"/>
      <c r="K47" s="477"/>
      <c r="L47" s="529"/>
    </row>
    <row r="48" spans="1:12" s="485" customFormat="1" ht="15" x14ac:dyDescent="0.2">
      <c r="A48" s="1486" t="s">
        <v>1660</v>
      </c>
      <c r="B48" s="483">
        <v>8120</v>
      </c>
      <c r="C48" s="480"/>
      <c r="D48" s="480"/>
      <c r="E48" s="477"/>
      <c r="F48" s="480"/>
      <c r="G48" s="477"/>
      <c r="H48" s="477"/>
      <c r="I48" s="1739">
        <f>SUM(C26:H26,J26,K26)</f>
        <v>0</v>
      </c>
      <c r="J48" s="477"/>
      <c r="K48" s="477"/>
      <c r="L48" s="529"/>
    </row>
    <row r="49" spans="1:12" s="485" customFormat="1" x14ac:dyDescent="0.2">
      <c r="A49" s="1486" t="s">
        <v>185</v>
      </c>
      <c r="B49" s="483">
        <v>8130</v>
      </c>
      <c r="C49" s="467"/>
      <c r="D49" s="467"/>
      <c r="E49" s="480"/>
      <c r="F49" s="467"/>
      <c r="G49" s="480"/>
      <c r="H49" s="480"/>
      <c r="I49" s="477"/>
      <c r="J49" s="480"/>
      <c r="K49" s="477"/>
      <c r="L49" s="524"/>
    </row>
    <row r="50" spans="1:12" s="485" customFormat="1" x14ac:dyDescent="0.2">
      <c r="A50" s="1486" t="s">
        <v>1398</v>
      </c>
      <c r="B50" s="483">
        <v>8140</v>
      </c>
      <c r="C50" s="467"/>
      <c r="D50" s="467"/>
      <c r="E50" s="467"/>
      <c r="F50" s="467"/>
      <c r="G50" s="467"/>
      <c r="H50" s="467"/>
      <c r="I50" s="477"/>
      <c r="J50" s="467">
        <v>0</v>
      </c>
      <c r="K50" s="477"/>
      <c r="L50" s="524"/>
    </row>
    <row r="51" spans="1:12" s="485" customFormat="1" x14ac:dyDescent="0.2">
      <c r="A51" s="1486" t="s">
        <v>294</v>
      </c>
      <c r="B51" s="483">
        <v>8150</v>
      </c>
      <c r="C51" s="475"/>
      <c r="D51" s="475"/>
      <c r="E51" s="475"/>
      <c r="F51" s="475"/>
      <c r="G51" s="475"/>
      <c r="H51" s="1739">
        <f>SUM(D29)</f>
        <v>0</v>
      </c>
      <c r="I51" s="477"/>
      <c r="J51" s="475"/>
      <c r="K51" s="480"/>
      <c r="L51" s="524"/>
    </row>
    <row r="52" spans="1:12" s="485" customFormat="1" ht="26.25" x14ac:dyDescent="0.2">
      <c r="A52" s="1486" t="s">
        <v>1794</v>
      </c>
      <c r="B52" s="483">
        <v>8160</v>
      </c>
      <c r="C52" s="477"/>
      <c r="D52" s="477"/>
      <c r="E52" s="477"/>
      <c r="F52" s="477"/>
      <c r="G52" s="477"/>
      <c r="H52" s="477"/>
      <c r="I52" s="477"/>
      <c r="J52" s="477"/>
      <c r="K52" s="1739">
        <f>D30</f>
        <v>0</v>
      </c>
      <c r="L52" s="524"/>
    </row>
    <row r="53" spans="1:12" s="485" customFormat="1" ht="26.25" x14ac:dyDescent="0.2">
      <c r="A53" s="1486" t="s">
        <v>1793</v>
      </c>
      <c r="B53" s="483">
        <v>8170</v>
      </c>
      <c r="C53" s="480"/>
      <c r="D53" s="480"/>
      <c r="E53" s="477"/>
      <c r="F53" s="477"/>
      <c r="G53" s="477"/>
      <c r="H53" s="480"/>
      <c r="I53" s="477"/>
      <c r="J53" s="477"/>
      <c r="K53" s="1739">
        <f>E31</f>
        <v>0</v>
      </c>
      <c r="L53" s="524"/>
    </row>
    <row r="54" spans="1:12" s="485" customFormat="1" ht="13.5" thickBot="1" x14ac:dyDescent="0.25">
      <c r="A54" s="1486" t="s">
        <v>692</v>
      </c>
      <c r="B54" s="483">
        <v>8410</v>
      </c>
      <c r="C54" s="530"/>
      <c r="D54" s="530"/>
      <c r="E54" s="477"/>
      <c r="F54" s="477"/>
      <c r="G54" s="477"/>
      <c r="H54" s="530"/>
      <c r="I54" s="477"/>
      <c r="J54" s="477"/>
      <c r="K54" s="475"/>
      <c r="L54" s="524"/>
    </row>
    <row r="55" spans="1:12" s="485" customFormat="1" ht="14.25" thickTop="1" thickBot="1" x14ac:dyDescent="0.25">
      <c r="A55" s="1487" t="s">
        <v>693</v>
      </c>
      <c r="B55" s="483">
        <v>8420</v>
      </c>
      <c r="C55" s="531"/>
      <c r="D55" s="531"/>
      <c r="E55" s="477"/>
      <c r="F55" s="477"/>
      <c r="G55" s="477"/>
      <c r="H55" s="530"/>
      <c r="I55" s="477"/>
      <c r="J55" s="477"/>
      <c r="K55" s="477"/>
      <c r="L55" s="524"/>
    </row>
    <row r="56" spans="1:12" s="485" customFormat="1" ht="14.25" thickTop="1" thickBot="1" x14ac:dyDescent="0.25">
      <c r="A56" s="1486" t="s">
        <v>581</v>
      </c>
      <c r="B56" s="483">
        <v>8430</v>
      </c>
      <c r="C56" s="531"/>
      <c r="D56" s="531"/>
      <c r="E56" s="477"/>
      <c r="F56" s="477"/>
      <c r="G56" s="477"/>
      <c r="H56" s="530"/>
      <c r="I56" s="477"/>
      <c r="J56" s="477"/>
      <c r="K56" s="477"/>
      <c r="L56" s="524"/>
    </row>
    <row r="57" spans="1:12" s="485" customFormat="1" ht="14.25" thickTop="1" thickBot="1" x14ac:dyDescent="0.25">
      <c r="A57" s="1487" t="s">
        <v>578</v>
      </c>
      <c r="B57" s="483">
        <v>8440</v>
      </c>
      <c r="C57" s="531"/>
      <c r="D57" s="531"/>
      <c r="E57" s="477"/>
      <c r="F57" s="477"/>
      <c r="G57" s="477"/>
      <c r="H57" s="530"/>
      <c r="I57" s="477"/>
      <c r="J57" s="477"/>
      <c r="K57" s="477"/>
      <c r="L57" s="524"/>
    </row>
    <row r="58" spans="1:12" s="485" customFormat="1" ht="14.25" thickTop="1" thickBot="1" x14ac:dyDescent="0.25">
      <c r="A58" s="1486" t="s">
        <v>579</v>
      </c>
      <c r="B58" s="483">
        <v>8510</v>
      </c>
      <c r="C58" s="531"/>
      <c r="D58" s="531"/>
      <c r="E58" s="477"/>
      <c r="F58" s="477"/>
      <c r="G58" s="477"/>
      <c r="H58" s="530"/>
      <c r="I58" s="477"/>
      <c r="J58" s="477"/>
      <c r="K58" s="477"/>
      <c r="L58" s="524"/>
    </row>
    <row r="59" spans="1:12" s="485" customFormat="1" ht="14.25" thickTop="1" thickBot="1" x14ac:dyDescent="0.25">
      <c r="A59" s="1488" t="s">
        <v>694</v>
      </c>
      <c r="B59" s="483">
        <v>8520</v>
      </c>
      <c r="C59" s="531"/>
      <c r="D59" s="531"/>
      <c r="E59" s="477"/>
      <c r="F59" s="477"/>
      <c r="G59" s="477"/>
      <c r="H59" s="530"/>
      <c r="I59" s="477"/>
      <c r="J59" s="477"/>
      <c r="K59" s="477"/>
      <c r="L59" s="524"/>
    </row>
    <row r="60" spans="1:12" s="485" customFormat="1" ht="14.25" thickTop="1" thickBot="1" x14ac:dyDescent="0.25">
      <c r="A60" s="1486" t="s">
        <v>580</v>
      </c>
      <c r="B60" s="483">
        <v>8530</v>
      </c>
      <c r="C60" s="531"/>
      <c r="D60" s="531"/>
      <c r="E60" s="477"/>
      <c r="F60" s="477"/>
      <c r="G60" s="477"/>
      <c r="H60" s="530"/>
      <c r="I60" s="477"/>
      <c r="J60" s="477"/>
      <c r="K60" s="477"/>
      <c r="L60" s="524"/>
    </row>
    <row r="61" spans="1:12" s="485" customFormat="1" ht="14.25" thickTop="1" thickBot="1" x14ac:dyDescent="0.25">
      <c r="A61" s="1487" t="s">
        <v>743</v>
      </c>
      <c r="B61" s="483">
        <v>8540</v>
      </c>
      <c r="C61" s="531"/>
      <c r="D61" s="531"/>
      <c r="E61" s="477"/>
      <c r="F61" s="477"/>
      <c r="G61" s="477"/>
      <c r="H61" s="530"/>
      <c r="I61" s="477"/>
      <c r="J61" s="477"/>
      <c r="K61" s="477"/>
      <c r="L61" s="524"/>
    </row>
    <row r="62" spans="1:12" s="485" customFormat="1" ht="13.5" customHeight="1" thickTop="1" thickBot="1" x14ac:dyDescent="0.25">
      <c r="A62" s="1486" t="s">
        <v>744</v>
      </c>
      <c r="B62" s="483">
        <v>8610</v>
      </c>
      <c r="C62" s="531"/>
      <c r="D62" s="531"/>
      <c r="E62" s="477"/>
      <c r="F62" s="477"/>
      <c r="G62" s="477"/>
      <c r="H62" s="477"/>
      <c r="I62" s="477"/>
      <c r="J62" s="477"/>
      <c r="K62" s="477"/>
      <c r="L62" s="524"/>
    </row>
    <row r="63" spans="1:12" s="485" customFormat="1" ht="14.25" thickTop="1" thickBot="1" x14ac:dyDescent="0.25">
      <c r="A63" s="1487" t="s">
        <v>695</v>
      </c>
      <c r="B63" s="483">
        <v>8620</v>
      </c>
      <c r="C63" s="531"/>
      <c r="D63" s="531"/>
      <c r="E63" s="477"/>
      <c r="F63" s="477"/>
      <c r="G63" s="477"/>
      <c r="H63" s="477"/>
      <c r="I63" s="477"/>
      <c r="J63" s="477"/>
      <c r="K63" s="477"/>
      <c r="L63" s="524"/>
    </row>
    <row r="64" spans="1:12" s="485" customFormat="1" ht="13.5" customHeight="1" thickTop="1" thickBot="1" x14ac:dyDescent="0.25">
      <c r="A64" s="1486" t="s">
        <v>745</v>
      </c>
      <c r="B64" s="483">
        <v>8630</v>
      </c>
      <c r="C64" s="531"/>
      <c r="D64" s="531"/>
      <c r="E64" s="477"/>
      <c r="F64" s="477"/>
      <c r="G64" s="477"/>
      <c r="H64" s="477"/>
      <c r="I64" s="477"/>
      <c r="J64" s="477"/>
      <c r="K64" s="477"/>
      <c r="L64" s="524"/>
    </row>
    <row r="65" spans="1:12" s="485" customFormat="1" ht="14.25" thickTop="1" thickBot="1" x14ac:dyDescent="0.25">
      <c r="A65" s="1487" t="s">
        <v>746</v>
      </c>
      <c r="B65" s="483">
        <v>8640</v>
      </c>
      <c r="C65" s="531"/>
      <c r="D65" s="531"/>
      <c r="E65" s="477"/>
      <c r="F65" s="477"/>
      <c r="G65" s="477"/>
      <c r="H65" s="477"/>
      <c r="I65" s="477"/>
      <c r="J65" s="477"/>
      <c r="K65" s="477"/>
      <c r="L65" s="524"/>
    </row>
    <row r="66" spans="1:12" s="485" customFormat="1" ht="14.25" thickTop="1" thickBot="1" x14ac:dyDescent="0.25">
      <c r="A66" s="1486" t="s">
        <v>747</v>
      </c>
      <c r="B66" s="483">
        <v>8710</v>
      </c>
      <c r="C66" s="531"/>
      <c r="D66" s="531"/>
      <c r="E66" s="477"/>
      <c r="F66" s="477"/>
      <c r="G66" s="477"/>
      <c r="H66" s="477"/>
      <c r="I66" s="477"/>
      <c r="J66" s="477"/>
      <c r="K66" s="477"/>
      <c r="L66" s="524"/>
    </row>
    <row r="67" spans="1:12" s="485" customFormat="1" ht="14.25" thickTop="1" thickBot="1" x14ac:dyDescent="0.25">
      <c r="A67" s="1487" t="s">
        <v>696</v>
      </c>
      <c r="B67" s="483">
        <v>8720</v>
      </c>
      <c r="C67" s="531"/>
      <c r="D67" s="531"/>
      <c r="E67" s="477"/>
      <c r="F67" s="477"/>
      <c r="G67" s="477"/>
      <c r="H67" s="477"/>
      <c r="I67" s="477"/>
      <c r="J67" s="477"/>
      <c r="K67" s="477"/>
      <c r="L67" s="524"/>
    </row>
    <row r="68" spans="1:12" s="485" customFormat="1" ht="14.25" thickTop="1" thickBot="1" x14ac:dyDescent="0.25">
      <c r="A68" s="1488" t="s">
        <v>748</v>
      </c>
      <c r="B68" s="483">
        <v>8730</v>
      </c>
      <c r="C68" s="531"/>
      <c r="D68" s="531"/>
      <c r="E68" s="477"/>
      <c r="F68" s="477"/>
      <c r="G68" s="477"/>
      <c r="H68" s="477"/>
      <c r="I68" s="477"/>
      <c r="J68" s="477"/>
      <c r="K68" s="477"/>
      <c r="L68" s="524"/>
    </row>
    <row r="69" spans="1:12" s="485" customFormat="1" ht="14.25" thickTop="1" thickBot="1" x14ac:dyDescent="0.25">
      <c r="A69" s="1487" t="s">
        <v>749</v>
      </c>
      <c r="B69" s="483">
        <v>8740</v>
      </c>
      <c r="C69" s="531"/>
      <c r="D69" s="531"/>
      <c r="E69" s="477"/>
      <c r="F69" s="477"/>
      <c r="G69" s="477"/>
      <c r="H69" s="477"/>
      <c r="I69" s="477"/>
      <c r="J69" s="477"/>
      <c r="K69" s="477"/>
      <c r="L69" s="524"/>
    </row>
    <row r="70" spans="1:12" s="485" customFormat="1" ht="14.25" thickTop="1" thickBot="1" x14ac:dyDescent="0.25">
      <c r="A70" s="1486" t="s">
        <v>750</v>
      </c>
      <c r="B70" s="483">
        <v>8810</v>
      </c>
      <c r="C70" s="531"/>
      <c r="D70" s="531"/>
      <c r="E70" s="477"/>
      <c r="F70" s="477"/>
      <c r="G70" s="477"/>
      <c r="H70" s="477"/>
      <c r="I70" s="477"/>
      <c r="J70" s="477"/>
      <c r="K70" s="477"/>
      <c r="L70" s="524"/>
    </row>
    <row r="71" spans="1:12" s="485" customFormat="1" ht="14.25" thickTop="1" thickBot="1" x14ac:dyDescent="0.25">
      <c r="A71" s="1486" t="s">
        <v>754</v>
      </c>
      <c r="B71" s="483">
        <v>8820</v>
      </c>
      <c r="C71" s="531"/>
      <c r="D71" s="531"/>
      <c r="E71" s="477"/>
      <c r="F71" s="477"/>
      <c r="G71" s="477"/>
      <c r="H71" s="477"/>
      <c r="I71" s="477"/>
      <c r="J71" s="477"/>
      <c r="K71" s="477"/>
      <c r="L71" s="524"/>
    </row>
    <row r="72" spans="1:12" s="485" customFormat="1" ht="14.25" thickTop="1" thickBot="1" x14ac:dyDescent="0.25">
      <c r="A72" s="1486" t="s">
        <v>751</v>
      </c>
      <c r="B72" s="483">
        <v>8830</v>
      </c>
      <c r="C72" s="531"/>
      <c r="D72" s="531"/>
      <c r="E72" s="477"/>
      <c r="F72" s="477"/>
      <c r="G72" s="477"/>
      <c r="H72" s="477"/>
      <c r="I72" s="477"/>
      <c r="J72" s="477"/>
      <c r="K72" s="477"/>
      <c r="L72" s="524"/>
    </row>
    <row r="73" spans="1:12" s="485" customFormat="1" ht="14.25" thickTop="1" thickBot="1" x14ac:dyDescent="0.25">
      <c r="A73" s="1486" t="s">
        <v>752</v>
      </c>
      <c r="B73" s="483">
        <v>8840</v>
      </c>
      <c r="C73" s="531"/>
      <c r="D73" s="531"/>
      <c r="E73" s="477"/>
      <c r="F73" s="477"/>
      <c r="G73" s="477"/>
      <c r="H73" s="477"/>
      <c r="I73" s="477"/>
      <c r="J73" s="477"/>
      <c r="K73" s="480"/>
      <c r="L73" s="524"/>
    </row>
    <row r="74" spans="1:12" s="485" customFormat="1" ht="14.25" thickTop="1" thickBot="1" x14ac:dyDescent="0.25">
      <c r="A74" s="1486" t="s">
        <v>375</v>
      </c>
      <c r="B74" s="483">
        <v>8910</v>
      </c>
      <c r="C74" s="531"/>
      <c r="D74" s="531"/>
      <c r="E74" s="480"/>
      <c r="F74" s="530"/>
      <c r="G74" s="530"/>
      <c r="H74" s="530"/>
      <c r="I74" s="480"/>
      <c r="J74" s="480"/>
      <c r="K74" s="530"/>
      <c r="L74" s="524"/>
    </row>
    <row r="75" spans="1:12" s="485" customFormat="1" ht="14.25" thickTop="1" thickBot="1" x14ac:dyDescent="0.25">
      <c r="A75" s="1489" t="s">
        <v>439</v>
      </c>
      <c r="B75" s="483">
        <v>8990</v>
      </c>
      <c r="C75" s="531"/>
      <c r="D75" s="531"/>
      <c r="E75" s="530">
        <v>4899</v>
      </c>
      <c r="F75" s="532"/>
      <c r="G75" s="532"/>
      <c r="H75" s="532"/>
      <c r="I75" s="530"/>
      <c r="J75" s="530"/>
      <c r="K75" s="532"/>
      <c r="L75" s="524"/>
    </row>
    <row r="76" spans="1:12" s="485" customFormat="1" ht="14.25" thickTop="1" thickBot="1" x14ac:dyDescent="0.25">
      <c r="A76" s="2120" t="s">
        <v>440</v>
      </c>
      <c r="B76" s="2121"/>
      <c r="C76" s="1699">
        <f t="shared" ref="C76:K76" si="7">SUM(C47:C75)</f>
        <v>0</v>
      </c>
      <c r="D76" s="1699">
        <f t="shared" si="7"/>
        <v>0</v>
      </c>
      <c r="E76" s="1699">
        <f t="shared" si="7"/>
        <v>4899</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22" t="s">
        <v>1177</v>
      </c>
      <c r="B77" s="2123"/>
      <c r="C77" s="1699">
        <f t="shared" ref="C77:K77" si="8">C44-C76</f>
        <v>12395</v>
      </c>
      <c r="D77" s="1699">
        <f t="shared" si="8"/>
        <v>0</v>
      </c>
      <c r="E77" s="1699">
        <f t="shared" si="8"/>
        <v>-4899</v>
      </c>
      <c r="F77" s="1699">
        <f t="shared" si="8"/>
        <v>2600</v>
      </c>
      <c r="G77" s="1699">
        <f t="shared" si="8"/>
        <v>0</v>
      </c>
      <c r="H77" s="1699">
        <f t="shared" si="8"/>
        <v>0</v>
      </c>
      <c r="I77" s="1699">
        <f t="shared" si="8"/>
        <v>0</v>
      </c>
      <c r="J77" s="1699">
        <f t="shared" si="8"/>
        <v>0</v>
      </c>
      <c r="K77" s="1699">
        <f t="shared" si="8"/>
        <v>0</v>
      </c>
      <c r="L77" s="347"/>
    </row>
    <row r="78" spans="1:12" ht="21.75" customHeight="1" thickTop="1" thickBot="1" x14ac:dyDescent="0.25">
      <c r="A78" s="2126" t="s">
        <v>597</v>
      </c>
      <c r="B78" s="2127"/>
      <c r="C78" s="1698">
        <f t="shared" ref="C78:K78" si="9">C20+C77</f>
        <v>3105155</v>
      </c>
      <c r="D78" s="1698">
        <f t="shared" si="9"/>
        <v>1047496</v>
      </c>
      <c r="E78" s="1698">
        <f t="shared" si="9"/>
        <v>-4899</v>
      </c>
      <c r="F78" s="1698">
        <f t="shared" si="9"/>
        <v>127438</v>
      </c>
      <c r="G78" s="1698">
        <f t="shared" si="9"/>
        <v>186901</v>
      </c>
      <c r="H78" s="1698">
        <f t="shared" si="9"/>
        <v>0</v>
      </c>
      <c r="I78" s="1698">
        <f t="shared" si="9"/>
        <v>5655</v>
      </c>
      <c r="J78" s="1698">
        <f t="shared" si="9"/>
        <v>-23862</v>
      </c>
      <c r="K78" s="1698">
        <f t="shared" si="9"/>
        <v>13925</v>
      </c>
      <c r="L78" s="533"/>
    </row>
    <row r="79" spans="1:12" ht="13.5" thickTop="1" x14ac:dyDescent="0.2">
      <c r="A79" s="1490" t="s">
        <v>1946</v>
      </c>
      <c r="B79" s="534"/>
      <c r="C79" s="478">
        <v>42659816</v>
      </c>
      <c r="D79" s="535">
        <v>3836406</v>
      </c>
      <c r="E79" s="535">
        <v>7384</v>
      </c>
      <c r="F79" s="535">
        <v>186458</v>
      </c>
      <c r="G79" s="535">
        <v>40938</v>
      </c>
      <c r="H79" s="535"/>
      <c r="I79" s="535">
        <v>370868</v>
      </c>
      <c r="J79" s="535">
        <v>281848</v>
      </c>
      <c r="K79" s="535">
        <v>103726</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1947</v>
      </c>
      <c r="B81" s="2125"/>
      <c r="C81" s="1684">
        <f>(SUM(C78:C80))</f>
        <v>45764971</v>
      </c>
      <c r="D81" s="1684">
        <f>SUM(D78:D80)</f>
        <v>4883902</v>
      </c>
      <c r="E81" s="1684">
        <f t="shared" ref="E81:K81" si="10">SUM(E78:E80)</f>
        <v>2485</v>
      </c>
      <c r="F81" s="1684">
        <f t="shared" si="10"/>
        <v>313896</v>
      </c>
      <c r="G81" s="1684">
        <f t="shared" si="10"/>
        <v>227839</v>
      </c>
      <c r="H81" s="1684">
        <f t="shared" si="10"/>
        <v>0</v>
      </c>
      <c r="I81" s="1684">
        <f t="shared" si="10"/>
        <v>376523</v>
      </c>
      <c r="J81" s="1684">
        <f t="shared" si="10"/>
        <v>257986</v>
      </c>
      <c r="K81" s="1684">
        <f t="shared" si="10"/>
        <v>117651</v>
      </c>
      <c r="L81" s="347"/>
    </row>
    <row r="82" spans="1:12" ht="0.75" customHeight="1" thickTop="1" thickBot="1" x14ac:dyDescent="0.25">
      <c r="A82" s="536" t="s">
        <v>343</v>
      </c>
      <c r="B82" s="537"/>
      <c r="C82" s="538">
        <f>(C81-C79)</f>
        <v>3105155</v>
      </c>
      <c r="D82" s="538">
        <f t="shared" ref="D82:K82" si="11">(D81-D79)</f>
        <v>1047496</v>
      </c>
      <c r="E82" s="538">
        <f t="shared" si="11"/>
        <v>-4899</v>
      </c>
      <c r="F82" s="538">
        <f t="shared" si="11"/>
        <v>127438</v>
      </c>
      <c r="G82" s="538">
        <f t="shared" si="11"/>
        <v>186901</v>
      </c>
      <c r="H82" s="538">
        <f t="shared" si="11"/>
        <v>0</v>
      </c>
      <c r="I82" s="538">
        <f t="shared" si="11"/>
        <v>5655</v>
      </c>
      <c r="J82" s="538">
        <f t="shared" si="11"/>
        <v>-23862</v>
      </c>
      <c r="K82" s="538">
        <f t="shared" si="11"/>
        <v>13925</v>
      </c>
    </row>
    <row r="83" spans="1:12" ht="14.25" hidden="1" thickTop="1" thickBot="1" x14ac:dyDescent="0.25">
      <c r="A83" s="539" t="s">
        <v>344</v>
      </c>
      <c r="B83" s="464"/>
      <c r="C83" s="540">
        <f>C82/C81</f>
        <v>6.7850037531980517E-2</v>
      </c>
      <c r="D83" s="540">
        <f t="shared" ref="D83:K83" si="12">D82/D81</f>
        <v>0.21447932411420212</v>
      </c>
      <c r="E83" s="540">
        <f t="shared" si="12"/>
        <v>-1.9714285714285715</v>
      </c>
      <c r="F83" s="540">
        <f t="shared" si="12"/>
        <v>0.40598797053801261</v>
      </c>
      <c r="G83" s="540">
        <f t="shared" si="12"/>
        <v>0.82032048946844038</v>
      </c>
      <c r="H83" s="540" t="e">
        <f t="shared" si="12"/>
        <v>#DIV/0!</v>
      </c>
      <c r="I83" s="540">
        <f t="shared" si="12"/>
        <v>1.5019002823200707E-2</v>
      </c>
      <c r="J83" s="540">
        <f t="shared" si="12"/>
        <v>-9.2493391114246509E-2</v>
      </c>
      <c r="K83" s="540">
        <f t="shared" si="12"/>
        <v>0.11835853498907786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3"/>
      <c r="D4" s="543"/>
      <c r="E4" s="543"/>
      <c r="F4" s="544"/>
      <c r="G4" s="545"/>
      <c r="H4" s="546"/>
      <c r="I4" s="546"/>
      <c r="J4" s="546"/>
      <c r="K4" s="546"/>
    </row>
    <row r="5" spans="1:12" ht="15" x14ac:dyDescent="0.2">
      <c r="A5" s="493" t="s">
        <v>1661</v>
      </c>
      <c r="B5" s="547"/>
      <c r="C5" s="1933">
        <v>5228426</v>
      </c>
      <c r="D5" s="481">
        <v>1156664</v>
      </c>
      <c r="E5" s="466">
        <v>0</v>
      </c>
      <c r="F5" s="548">
        <v>697529</v>
      </c>
      <c r="G5" s="466">
        <v>634379</v>
      </c>
      <c r="H5" s="466">
        <v>0</v>
      </c>
      <c r="I5" s="466">
        <v>0</v>
      </c>
      <c r="J5" s="467">
        <v>279569</v>
      </c>
      <c r="K5" s="466">
        <v>14209</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57599</v>
      </c>
      <c r="D7" s="466">
        <v>0</v>
      </c>
      <c r="E7" s="468"/>
      <c r="F7" s="467">
        <v>0</v>
      </c>
      <c r="G7" s="467">
        <v>0</v>
      </c>
      <c r="H7" s="467">
        <v>0</v>
      </c>
      <c r="I7" s="468"/>
      <c r="J7" s="468"/>
      <c r="K7" s="468"/>
    </row>
    <row r="8" spans="1:12" x14ac:dyDescent="0.2">
      <c r="A8" s="463" t="s">
        <v>413</v>
      </c>
      <c r="B8" s="470">
        <v>1150</v>
      </c>
      <c r="C8" s="475"/>
      <c r="D8" s="475"/>
      <c r="E8" s="477"/>
      <c r="F8" s="477"/>
      <c r="G8" s="481">
        <v>671096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1" t="s">
        <v>29</v>
      </c>
      <c r="B12" s="1702"/>
      <c r="C12" s="1703">
        <f t="shared" ref="C12:K12" si="0">SUM(C5:C11)</f>
        <v>5286025</v>
      </c>
      <c r="D12" s="1703">
        <f t="shared" si="0"/>
        <v>1156664</v>
      </c>
      <c r="E12" s="1703">
        <f t="shared" si="0"/>
        <v>0</v>
      </c>
      <c r="F12" s="1703">
        <f t="shared" si="0"/>
        <v>697529</v>
      </c>
      <c r="G12" s="1703">
        <f t="shared" si="0"/>
        <v>1305475</v>
      </c>
      <c r="H12" s="1703">
        <f t="shared" si="0"/>
        <v>0</v>
      </c>
      <c r="I12" s="1703">
        <f t="shared" si="0"/>
        <v>0</v>
      </c>
      <c r="J12" s="1703">
        <f t="shared" si="0"/>
        <v>279569</v>
      </c>
      <c r="K12" s="1684">
        <f t="shared" si="0"/>
        <v>14209</v>
      </c>
    </row>
    <row r="13" spans="1:12" ht="15.75" customHeight="1" thickTop="1" x14ac:dyDescent="0.2">
      <c r="A13" s="1588" t="s">
        <v>451</v>
      </c>
      <c r="B13" s="1589">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94885</v>
      </c>
      <c r="D16" s="466">
        <v>0</v>
      </c>
      <c r="E16" s="466">
        <v>0</v>
      </c>
      <c r="F16" s="466">
        <v>0</v>
      </c>
      <c r="G16" s="466">
        <v>20000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94885</v>
      </c>
      <c r="D18" s="1706">
        <f t="shared" ref="D18:K18" si="1">SUM(D14:D17)</f>
        <v>0</v>
      </c>
      <c r="E18" s="1706">
        <f t="shared" si="1"/>
        <v>0</v>
      </c>
      <c r="F18" s="1706">
        <f t="shared" si="1"/>
        <v>0</v>
      </c>
      <c r="G18" s="1706">
        <f t="shared" si="1"/>
        <v>20000</v>
      </c>
      <c r="H18" s="1706">
        <f t="shared" si="1"/>
        <v>0</v>
      </c>
      <c r="I18" s="1706">
        <f t="shared" si="1"/>
        <v>0</v>
      </c>
      <c r="J18" s="1706">
        <f t="shared" si="1"/>
        <v>0</v>
      </c>
      <c r="K18" s="1707">
        <f t="shared" si="1"/>
        <v>0</v>
      </c>
    </row>
    <row r="19" spans="1:11" ht="15.75" customHeight="1" thickTop="1" x14ac:dyDescent="0.2">
      <c r="A19" s="1588" t="s">
        <v>452</v>
      </c>
      <c r="B19" s="1589">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1" t="s">
        <v>594</v>
      </c>
      <c r="B39" s="556">
        <v>1354</v>
      </c>
      <c r="C39" s="489">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7">
        <v>1431</v>
      </c>
      <c r="C51" s="468"/>
      <c r="D51" s="468"/>
      <c r="E51" s="468"/>
      <c r="F51" s="466">
        <v>0</v>
      </c>
      <c r="G51" s="468"/>
      <c r="H51" s="468"/>
      <c r="I51" s="468"/>
      <c r="J51" s="468"/>
      <c r="K51" s="468"/>
    </row>
    <row r="52" spans="1:11" ht="12.75" customHeight="1" x14ac:dyDescent="0.2">
      <c r="A52" s="1492" t="s">
        <v>1106</v>
      </c>
      <c r="B52" s="557">
        <v>1432</v>
      </c>
      <c r="C52" s="468"/>
      <c r="D52" s="468"/>
      <c r="E52" s="468"/>
      <c r="F52" s="466">
        <v>0</v>
      </c>
      <c r="G52" s="468"/>
      <c r="H52" s="468"/>
      <c r="I52" s="468"/>
      <c r="J52" s="468"/>
      <c r="K52" s="468"/>
    </row>
    <row r="53" spans="1:11" ht="12.75" customHeight="1" x14ac:dyDescent="0.2">
      <c r="A53" s="1492" t="s">
        <v>61</v>
      </c>
      <c r="B53" s="557">
        <v>1433</v>
      </c>
      <c r="C53" s="468"/>
      <c r="D53" s="468"/>
      <c r="E53" s="468"/>
      <c r="F53" s="466">
        <v>0</v>
      </c>
      <c r="G53" s="468"/>
      <c r="H53" s="468"/>
      <c r="I53" s="468"/>
      <c r="J53" s="468"/>
      <c r="K53" s="468"/>
    </row>
    <row r="54" spans="1:11" ht="12.75" customHeight="1" x14ac:dyDescent="0.2">
      <c r="A54" s="1492" t="s">
        <v>62</v>
      </c>
      <c r="B54" s="557">
        <v>1434</v>
      </c>
      <c r="C54" s="468"/>
      <c r="D54" s="468"/>
      <c r="E54" s="468"/>
      <c r="F54" s="467">
        <v>0</v>
      </c>
      <c r="G54" s="468"/>
      <c r="H54" s="468"/>
      <c r="I54" s="468"/>
      <c r="J54" s="468"/>
      <c r="K54" s="468"/>
    </row>
    <row r="55" spans="1:11" ht="12.75" customHeight="1" x14ac:dyDescent="0.2">
      <c r="A55" s="1492" t="s">
        <v>63</v>
      </c>
      <c r="B55" s="557">
        <v>1441</v>
      </c>
      <c r="C55" s="468"/>
      <c r="D55" s="468"/>
      <c r="E55" s="468"/>
      <c r="F55" s="466">
        <v>0</v>
      </c>
      <c r="G55" s="468"/>
      <c r="H55" s="468"/>
      <c r="I55" s="468"/>
      <c r="J55" s="468"/>
      <c r="K55" s="468"/>
    </row>
    <row r="56" spans="1:11" ht="12.75" customHeight="1" x14ac:dyDescent="0.2">
      <c r="A56" s="1492" t="s">
        <v>1107</v>
      </c>
      <c r="B56" s="557">
        <v>1442</v>
      </c>
      <c r="C56" s="468"/>
      <c r="D56" s="468"/>
      <c r="E56" s="468"/>
      <c r="F56" s="466">
        <v>0</v>
      </c>
      <c r="G56" s="468"/>
      <c r="H56" s="468"/>
      <c r="I56" s="468"/>
      <c r="J56" s="468"/>
      <c r="K56" s="468"/>
    </row>
    <row r="57" spans="1:11" ht="12.75" customHeight="1" x14ac:dyDescent="0.2">
      <c r="A57" s="1492" t="s">
        <v>489</v>
      </c>
      <c r="B57" s="557">
        <v>1443</v>
      </c>
      <c r="C57" s="468"/>
      <c r="D57" s="468"/>
      <c r="E57" s="468"/>
      <c r="F57" s="466">
        <v>0</v>
      </c>
      <c r="G57" s="468"/>
      <c r="H57" s="468"/>
      <c r="I57" s="468"/>
      <c r="J57" s="468"/>
      <c r="K57" s="468"/>
    </row>
    <row r="58" spans="1:11" ht="12.75" customHeight="1" x14ac:dyDescent="0.2">
      <c r="A58" s="1492" t="s">
        <v>65</v>
      </c>
      <c r="B58" s="557">
        <v>1444</v>
      </c>
      <c r="C58" s="468"/>
      <c r="D58" s="468"/>
      <c r="E58" s="468"/>
      <c r="F58" s="466">
        <v>0</v>
      </c>
      <c r="G58" s="468"/>
      <c r="H58" s="468"/>
      <c r="I58" s="468"/>
      <c r="J58" s="468"/>
      <c r="K58" s="468"/>
    </row>
    <row r="59" spans="1:11" ht="12.75" customHeight="1" x14ac:dyDescent="0.2">
      <c r="A59" s="1492" t="s">
        <v>878</v>
      </c>
      <c r="B59" s="557">
        <v>1451</v>
      </c>
      <c r="C59" s="468"/>
      <c r="D59" s="468"/>
      <c r="E59" s="468"/>
      <c r="F59" s="466">
        <v>0</v>
      </c>
      <c r="G59" s="468"/>
      <c r="H59" s="468"/>
      <c r="I59" s="468"/>
      <c r="J59" s="468"/>
      <c r="K59" s="468"/>
    </row>
    <row r="60" spans="1:11" ht="12.75" customHeight="1" x14ac:dyDescent="0.2">
      <c r="A60" s="1492"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3" t="s">
        <v>880</v>
      </c>
      <c r="B62" s="558">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398096</v>
      </c>
      <c r="D65" s="466">
        <v>26919</v>
      </c>
      <c r="E65" s="466">
        <v>0</v>
      </c>
      <c r="F65" s="467">
        <v>1979</v>
      </c>
      <c r="G65" s="466">
        <v>459</v>
      </c>
      <c r="H65" s="466">
        <v>0</v>
      </c>
      <c r="I65" s="466">
        <v>5655</v>
      </c>
      <c r="J65" s="467">
        <v>1681</v>
      </c>
      <c r="K65" s="466">
        <v>1241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398096</v>
      </c>
      <c r="D67" s="1684">
        <f t="shared" ref="D67:K67" si="2">SUM(D65:D66)</f>
        <v>26919</v>
      </c>
      <c r="E67" s="1684">
        <f t="shared" si="2"/>
        <v>0</v>
      </c>
      <c r="F67" s="1684">
        <f t="shared" si="2"/>
        <v>1979</v>
      </c>
      <c r="G67" s="1684">
        <f t="shared" si="2"/>
        <v>459</v>
      </c>
      <c r="H67" s="1684">
        <f t="shared" si="2"/>
        <v>0</v>
      </c>
      <c r="I67" s="1684">
        <f t="shared" si="2"/>
        <v>5655</v>
      </c>
      <c r="J67" s="1684">
        <f t="shared" si="2"/>
        <v>1681</v>
      </c>
      <c r="K67" s="1684">
        <f t="shared" si="2"/>
        <v>1241</v>
      </c>
    </row>
    <row r="68" spans="1:11" ht="15.75" customHeight="1" thickTop="1" x14ac:dyDescent="0.2">
      <c r="A68" s="1588" t="s">
        <v>455</v>
      </c>
      <c r="B68" s="1590">
        <v>1600</v>
      </c>
      <c r="C68" s="553"/>
      <c r="D68" s="468"/>
      <c r="E68" s="468"/>
      <c r="F68" s="468"/>
      <c r="G68" s="468"/>
      <c r="H68" s="468"/>
      <c r="I68" s="468"/>
      <c r="J68" s="468"/>
      <c r="K68" s="468"/>
    </row>
    <row r="69" spans="1:11" ht="12.75" customHeight="1" x14ac:dyDescent="0.2">
      <c r="A69" s="463" t="s">
        <v>666</v>
      </c>
      <c r="B69" s="470">
        <v>1611</v>
      </c>
      <c r="C69" s="466">
        <v>55650</v>
      </c>
      <c r="D69" s="468"/>
      <c r="E69" s="468"/>
      <c r="F69" s="468"/>
      <c r="G69" s="468"/>
      <c r="H69" s="468"/>
      <c r="I69" s="468"/>
      <c r="J69" s="468"/>
      <c r="K69" s="468"/>
    </row>
    <row r="70" spans="1:11" ht="12.75" customHeight="1" x14ac:dyDescent="0.2">
      <c r="A70" s="463" t="s">
        <v>997</v>
      </c>
      <c r="B70" s="470">
        <v>1612</v>
      </c>
      <c r="C70" s="551">
        <v>7413</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4" t="s">
        <v>548</v>
      </c>
      <c r="B75" s="1705"/>
      <c r="C75" s="1684">
        <f>SUM(C69:C74)</f>
        <v>63063</v>
      </c>
      <c r="D75" s="468"/>
      <c r="E75" s="468"/>
      <c r="F75" s="468"/>
      <c r="G75" s="468"/>
      <c r="H75" s="468"/>
      <c r="I75" s="468"/>
      <c r="J75" s="468"/>
      <c r="K75" s="468"/>
    </row>
    <row r="76" spans="1:11" ht="15.75" customHeight="1" thickTop="1" x14ac:dyDescent="0.2">
      <c r="A76" s="1588" t="s">
        <v>881</v>
      </c>
      <c r="B76" s="1590">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4" t="s">
        <v>241</v>
      </c>
      <c r="B82" s="1705"/>
      <c r="C82" s="1703">
        <f>SUM(C77:C81)</f>
        <v>0</v>
      </c>
      <c r="D82" s="1684">
        <f>SUM(D77:D81)</f>
        <v>0</v>
      </c>
      <c r="E82" s="468"/>
      <c r="F82" s="468"/>
      <c r="G82" s="468"/>
      <c r="H82" s="468"/>
      <c r="I82" s="468"/>
      <c r="J82" s="468"/>
      <c r="K82" s="468"/>
    </row>
    <row r="83" spans="1:11" ht="15.75" customHeight="1" thickTop="1" x14ac:dyDescent="0.2">
      <c r="A83" s="1588" t="s">
        <v>242</v>
      </c>
      <c r="B83" s="1590">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8" t="s">
        <v>1137</v>
      </c>
      <c r="B94" s="1590">
        <v>1900</v>
      </c>
      <c r="C94" s="553"/>
      <c r="D94" s="521"/>
      <c r="E94" s="468"/>
      <c r="F94" s="468"/>
      <c r="G94" s="468"/>
      <c r="H94" s="468"/>
      <c r="I94" s="468"/>
      <c r="J94" s="468"/>
      <c r="K94" s="468"/>
    </row>
    <row r="95" spans="1:11" ht="12.75" customHeight="1" x14ac:dyDescent="0.2">
      <c r="A95" s="463" t="s">
        <v>1064</v>
      </c>
      <c r="B95" s="470">
        <v>1910</v>
      </c>
      <c r="C95" s="466">
        <v>0</v>
      </c>
      <c r="D95" s="551">
        <v>450</v>
      </c>
      <c r="E95" s="521"/>
      <c r="F95" s="521"/>
      <c r="G95" s="521"/>
      <c r="H95" s="521"/>
      <c r="I95" s="521"/>
      <c r="J95" s="521"/>
      <c r="K95" s="521"/>
    </row>
    <row r="96" spans="1:11" ht="12.75" customHeight="1" x14ac:dyDescent="0.2">
      <c r="A96" s="463" t="s">
        <v>391</v>
      </c>
      <c r="B96" s="470">
        <v>1920</v>
      </c>
      <c r="C96" s="551">
        <v>743</v>
      </c>
      <c r="D96" s="551">
        <v>0</v>
      </c>
      <c r="E96" s="479">
        <v>0</v>
      </c>
      <c r="F96" s="478">
        <v>0</v>
      </c>
      <c r="G96" s="478">
        <v>0</v>
      </c>
      <c r="H96" s="478">
        <v>0</v>
      </c>
      <c r="I96" s="478">
        <v>0</v>
      </c>
      <c r="J96" s="478">
        <v>0</v>
      </c>
      <c r="K96" s="478">
        <v>0</v>
      </c>
    </row>
    <row r="97" spans="1:12" ht="12.75" customHeight="1" x14ac:dyDescent="0.2">
      <c r="A97" s="1491"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23077</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44664</v>
      </c>
      <c r="D106" s="489">
        <v>0</v>
      </c>
      <c r="E106" s="467">
        <v>0</v>
      </c>
      <c r="F106" s="467">
        <v>0</v>
      </c>
      <c r="G106" s="467">
        <v>0</v>
      </c>
      <c r="H106" s="467">
        <v>0</v>
      </c>
      <c r="I106" s="521"/>
      <c r="J106" s="467">
        <v>0</v>
      </c>
      <c r="K106" s="467">
        <v>0</v>
      </c>
    </row>
    <row r="107" spans="1:12" ht="12.75" customHeight="1" x14ac:dyDescent="0.2">
      <c r="A107" s="463" t="s">
        <v>78</v>
      </c>
      <c r="B107" s="470">
        <v>1999</v>
      </c>
      <c r="C107" s="551">
        <v>14993</v>
      </c>
      <c r="D107" s="466">
        <v>108183</v>
      </c>
      <c r="E107" s="466">
        <v>0</v>
      </c>
      <c r="F107" s="466">
        <v>2521</v>
      </c>
      <c r="G107" s="466">
        <v>0</v>
      </c>
      <c r="H107" s="466">
        <v>0</v>
      </c>
      <c r="I107" s="466">
        <v>0</v>
      </c>
      <c r="J107" s="467">
        <v>0</v>
      </c>
      <c r="K107" s="466">
        <v>0</v>
      </c>
    </row>
    <row r="108" spans="1:12" ht="12.75" customHeight="1" thickBot="1" x14ac:dyDescent="0.25">
      <c r="A108" s="1704" t="s">
        <v>487</v>
      </c>
      <c r="B108" s="1708"/>
      <c r="C108" s="1703">
        <f>SUM(C95:C107)</f>
        <v>60400</v>
      </c>
      <c r="D108" s="1703">
        <f t="shared" ref="D108:K108" si="3">SUM(D95:D107)</f>
        <v>131710</v>
      </c>
      <c r="E108" s="1703">
        <f t="shared" si="3"/>
        <v>0</v>
      </c>
      <c r="F108" s="1703">
        <f t="shared" si="3"/>
        <v>2521</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5902469</v>
      </c>
      <c r="D109" s="1711">
        <f t="shared" si="4"/>
        <v>1315293</v>
      </c>
      <c r="E109" s="1711">
        <f t="shared" si="4"/>
        <v>0</v>
      </c>
      <c r="F109" s="1711">
        <f t="shared" si="4"/>
        <v>702029</v>
      </c>
      <c r="G109" s="1711">
        <f t="shared" si="4"/>
        <v>1325934</v>
      </c>
      <c r="H109" s="1711">
        <f t="shared" si="4"/>
        <v>0</v>
      </c>
      <c r="I109" s="1711">
        <f t="shared" si="4"/>
        <v>5655</v>
      </c>
      <c r="J109" s="1711">
        <f t="shared" si="4"/>
        <v>281250</v>
      </c>
      <c r="K109" s="1698">
        <f t="shared" si="4"/>
        <v>15450</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101836</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2" t="s">
        <v>806</v>
      </c>
      <c r="B114" s="1713" t="s">
        <v>569</v>
      </c>
      <c r="C114" s="1714">
        <f>SUM(C111:C113)</f>
        <v>101836</v>
      </c>
      <c r="D114" s="1714">
        <f>SUM(D111:D113)</f>
        <v>0</v>
      </c>
      <c r="E114" s="561" t="s">
        <v>1169</v>
      </c>
      <c r="F114" s="1714">
        <f>SUM(F111:F113)</f>
        <v>0</v>
      </c>
      <c r="G114" s="1714">
        <f>SUM(G111:G113)</f>
        <v>0</v>
      </c>
      <c r="H114" s="561"/>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22"/>
      <c r="D116" s="521"/>
      <c r="E116" s="561"/>
      <c r="F116" s="521"/>
      <c r="G116" s="521"/>
      <c r="H116" s="561"/>
      <c r="I116" s="468"/>
      <c r="J116" s="521"/>
      <c r="K116" s="521"/>
    </row>
    <row r="117" spans="1:11" ht="12.75" customHeight="1" x14ac:dyDescent="0.2">
      <c r="A117" s="463" t="s">
        <v>1667</v>
      </c>
      <c r="B117" s="562">
        <v>3001</v>
      </c>
      <c r="C117" s="516">
        <v>22792738</v>
      </c>
      <c r="D117" s="481">
        <v>2998681</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6" t="s">
        <v>1933</v>
      </c>
      <c r="B120" s="562">
        <v>3030</v>
      </c>
      <c r="C120" s="551">
        <v>0</v>
      </c>
      <c r="D120" s="466">
        <v>0</v>
      </c>
      <c r="E120" s="466">
        <v>0</v>
      </c>
      <c r="F120" s="466">
        <v>0</v>
      </c>
      <c r="G120" s="466">
        <v>0</v>
      </c>
      <c r="H120" s="466">
        <v>0</v>
      </c>
      <c r="I120" s="468"/>
      <c r="J120" s="467">
        <v>0</v>
      </c>
      <c r="K120" s="466">
        <v>0</v>
      </c>
    </row>
    <row r="121" spans="1:11" x14ac:dyDescent="0.2">
      <c r="A121" s="1492"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22792738</v>
      </c>
      <c r="D122" s="1703">
        <f t="shared" si="5"/>
        <v>2998681</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5"/>
      <c r="D123" s="509"/>
      <c r="E123" s="468"/>
      <c r="F123" s="566"/>
      <c r="G123" s="468"/>
      <c r="H123" s="468"/>
      <c r="I123" s="468"/>
      <c r="J123" s="468"/>
      <c r="K123" s="468"/>
    </row>
    <row r="124" spans="1:11" ht="15" customHeight="1" x14ac:dyDescent="0.2">
      <c r="A124" s="1594" t="s">
        <v>667</v>
      </c>
      <c r="B124" s="1595"/>
      <c r="C124" s="521"/>
      <c r="D124" s="509"/>
      <c r="E124" s="468"/>
      <c r="F124" s="521"/>
      <c r="G124" s="468"/>
      <c r="H124" s="468"/>
      <c r="I124" s="468"/>
      <c r="J124" s="468"/>
      <c r="K124" s="468"/>
    </row>
    <row r="125" spans="1:11" ht="12.75" customHeight="1" x14ac:dyDescent="0.2">
      <c r="A125" s="463" t="s">
        <v>866</v>
      </c>
      <c r="B125" s="567">
        <v>3100</v>
      </c>
      <c r="C125" s="481">
        <v>747178</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4" t="s">
        <v>1032</v>
      </c>
      <c r="B132" s="1716"/>
      <c r="C132" s="1703">
        <f>SUM(C125:C131)</f>
        <v>747178</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4" t="s">
        <v>603</v>
      </c>
      <c r="B141" s="1716"/>
      <c r="C141" s="1703">
        <f>SUM(C134:C140)</f>
        <v>0</v>
      </c>
      <c r="D141" s="1703">
        <f>SUM(D134:D140)</f>
        <v>0</v>
      </c>
      <c r="E141" s="561" t="s">
        <v>1169</v>
      </c>
      <c r="F141" s="477"/>
      <c r="G141" s="1703">
        <f>SUM(G134:G140)</f>
        <v>0</v>
      </c>
      <c r="H141" s="468" t="s">
        <v>1169</v>
      </c>
      <c r="I141" s="468" t="s">
        <v>1169</v>
      </c>
      <c r="J141" s="468" t="s">
        <v>1169</v>
      </c>
      <c r="K141" s="468" t="s">
        <v>1169</v>
      </c>
    </row>
    <row r="142" spans="1:11" ht="15.75" customHeight="1" thickTop="1" x14ac:dyDescent="0.2">
      <c r="A142" s="1596" t="s">
        <v>670</v>
      </c>
      <c r="B142" s="1597"/>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4" t="s">
        <v>1056</v>
      </c>
      <c r="B146" s="568">
        <v>3360</v>
      </c>
      <c r="C146" s="569">
        <v>28852</v>
      </c>
      <c r="D146" s="570"/>
      <c r="E146" s="509"/>
      <c r="F146" s="468"/>
      <c r="G146" s="571"/>
      <c r="H146" s="468"/>
      <c r="I146" s="468"/>
      <c r="J146" s="468"/>
      <c r="K146" s="468"/>
    </row>
    <row r="147" spans="1:11" ht="12.75" customHeight="1" thickBot="1" x14ac:dyDescent="0.25">
      <c r="A147" s="1495" t="s">
        <v>922</v>
      </c>
      <c r="B147" s="572">
        <v>3365</v>
      </c>
      <c r="C147" s="573">
        <v>0</v>
      </c>
      <c r="D147" s="532">
        <v>0</v>
      </c>
      <c r="E147" s="561"/>
      <c r="F147" s="468"/>
      <c r="G147" s="532"/>
      <c r="H147" s="468"/>
      <c r="I147" s="468"/>
      <c r="J147" s="468"/>
      <c r="K147" s="468"/>
    </row>
    <row r="148" spans="1:11" ht="12.75" customHeight="1" thickTop="1" thickBot="1" x14ac:dyDescent="0.25">
      <c r="A148" s="1496" t="s">
        <v>138</v>
      </c>
      <c r="B148" s="574">
        <v>3370</v>
      </c>
      <c r="C148" s="573">
        <v>0</v>
      </c>
      <c r="D148" s="573">
        <v>0</v>
      </c>
      <c r="E148" s="509"/>
      <c r="F148" s="468"/>
      <c r="G148" s="468"/>
      <c r="H148" s="468"/>
      <c r="I148" s="468"/>
      <c r="J148" s="468"/>
      <c r="K148" s="468"/>
    </row>
    <row r="149" spans="1:11" ht="12.75" customHeight="1" thickTop="1" thickBot="1" x14ac:dyDescent="0.25">
      <c r="A149" s="1496"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6"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6" t="s">
        <v>453</v>
      </c>
      <c r="B151" s="1598"/>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1037941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4" t="s">
        <v>94</v>
      </c>
      <c r="B155" s="1716"/>
      <c r="C155" s="1703">
        <f>SUM(C152:C154)</f>
        <v>0</v>
      </c>
      <c r="D155" s="1703">
        <f>SUM(D152:D154)</f>
        <v>0</v>
      </c>
      <c r="E155" s="561"/>
      <c r="F155" s="1703">
        <f>SUM(F152:F154)</f>
        <v>1037941</v>
      </c>
      <c r="G155" s="1703">
        <f>SUM(G152:G154)</f>
        <v>0</v>
      </c>
      <c r="H155" s="468"/>
      <c r="I155" s="468"/>
      <c r="J155" s="468"/>
      <c r="K155" s="468"/>
    </row>
    <row r="156" spans="1:11" ht="12.75" customHeight="1" thickTop="1" thickBot="1" x14ac:dyDescent="0.25">
      <c r="A156" s="1496" t="s">
        <v>380</v>
      </c>
      <c r="B156" s="574">
        <v>3610</v>
      </c>
      <c r="C156" s="576">
        <v>0</v>
      </c>
      <c r="D156" s="468"/>
      <c r="E156" s="509"/>
      <c r="F156" s="468"/>
      <c r="G156" s="468"/>
      <c r="H156" s="468"/>
      <c r="I156" s="468"/>
      <c r="J156" s="468"/>
      <c r="K156" s="468"/>
    </row>
    <row r="157" spans="1:11" ht="12.75" customHeight="1" thickTop="1" thickBot="1" x14ac:dyDescent="0.25">
      <c r="A157" s="1496" t="s">
        <v>50</v>
      </c>
      <c r="B157" s="574">
        <v>3660</v>
      </c>
      <c r="C157" s="573">
        <v>0</v>
      </c>
      <c r="D157" s="578">
        <v>0</v>
      </c>
      <c r="E157" s="561"/>
      <c r="F157" s="578">
        <v>0</v>
      </c>
      <c r="G157" s="578">
        <v>0</v>
      </c>
      <c r="H157" s="468"/>
      <c r="I157" s="468"/>
      <c r="J157" s="468"/>
      <c r="K157" s="468"/>
    </row>
    <row r="158" spans="1:11" ht="12.75" customHeight="1" thickTop="1" thickBot="1" x14ac:dyDescent="0.25">
      <c r="A158" s="1496" t="s">
        <v>1000</v>
      </c>
      <c r="B158" s="574">
        <v>3695</v>
      </c>
      <c r="C158" s="576">
        <v>0</v>
      </c>
      <c r="D158" s="468"/>
      <c r="E158" s="561"/>
      <c r="F158" s="576">
        <v>0</v>
      </c>
      <c r="G158" s="576">
        <v>0</v>
      </c>
      <c r="H158" s="468"/>
      <c r="I158" s="468"/>
      <c r="J158" s="468"/>
      <c r="K158" s="468"/>
    </row>
    <row r="159" spans="1:11" ht="12.75" customHeight="1" thickTop="1" thickBot="1" x14ac:dyDescent="0.25">
      <c r="A159" s="1496" t="s">
        <v>1051</v>
      </c>
      <c r="B159" s="574">
        <v>3705</v>
      </c>
      <c r="C159" s="576">
        <v>541907</v>
      </c>
      <c r="D159" s="578">
        <v>0</v>
      </c>
      <c r="E159" s="561"/>
      <c r="F159" s="576">
        <v>0</v>
      </c>
      <c r="G159" s="576">
        <v>0</v>
      </c>
      <c r="H159" s="468"/>
      <c r="I159" s="468"/>
      <c r="J159" s="468"/>
      <c r="K159" s="468"/>
    </row>
    <row r="160" spans="1:11" ht="12.75" customHeight="1" thickTop="1" thickBot="1" x14ac:dyDescent="0.25">
      <c r="A160" s="1496" t="s">
        <v>39</v>
      </c>
      <c r="B160" s="574">
        <v>3766</v>
      </c>
      <c r="C160" s="576">
        <v>0</v>
      </c>
      <c r="D160" s="578">
        <v>0</v>
      </c>
      <c r="E160" s="561"/>
      <c r="F160" s="576">
        <v>0</v>
      </c>
      <c r="G160" s="531">
        <v>0</v>
      </c>
      <c r="H160" s="468"/>
      <c r="I160" s="468"/>
      <c r="J160" s="468"/>
      <c r="K160" s="468"/>
    </row>
    <row r="161" spans="1:11" ht="12.75" customHeight="1" thickTop="1" thickBot="1" x14ac:dyDescent="0.25">
      <c r="A161" s="1496" t="s">
        <v>985</v>
      </c>
      <c r="B161" s="574">
        <v>3767</v>
      </c>
      <c r="C161" s="576">
        <v>0</v>
      </c>
      <c r="D161" s="531">
        <v>0</v>
      </c>
      <c r="E161" s="561"/>
      <c r="F161" s="531">
        <v>0</v>
      </c>
      <c r="G161" s="531">
        <v>0</v>
      </c>
      <c r="H161" s="468"/>
      <c r="I161" s="468"/>
      <c r="J161" s="468"/>
      <c r="K161" s="468"/>
    </row>
    <row r="162" spans="1:11" ht="12.75" customHeight="1" thickTop="1" thickBot="1" x14ac:dyDescent="0.25">
      <c r="A162" s="1496"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6"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6" t="s">
        <v>858</v>
      </c>
      <c r="B164" s="574">
        <v>3815</v>
      </c>
      <c r="C164" s="576">
        <v>0</v>
      </c>
      <c r="D164" s="468"/>
      <c r="E164" s="561"/>
      <c r="F164" s="576">
        <v>0</v>
      </c>
      <c r="G164" s="468"/>
      <c r="H164" s="468"/>
      <c r="I164" s="468"/>
      <c r="J164" s="468"/>
      <c r="K164" s="468"/>
    </row>
    <row r="165" spans="1:11" ht="12.75" customHeight="1" thickTop="1" thickBot="1" x14ac:dyDescent="0.25">
      <c r="A165" s="1496" t="s">
        <v>397</v>
      </c>
      <c r="B165" s="574">
        <v>3825</v>
      </c>
      <c r="C165" s="576">
        <v>0</v>
      </c>
      <c r="D165" s="468"/>
      <c r="E165" s="561"/>
      <c r="F165" s="576">
        <v>0</v>
      </c>
      <c r="G165" s="468"/>
      <c r="H165" s="468"/>
      <c r="I165" s="468"/>
      <c r="J165" s="468"/>
      <c r="K165" s="468"/>
    </row>
    <row r="166" spans="1:11" ht="12.75" customHeight="1" thickTop="1" thickBot="1" x14ac:dyDescent="0.25">
      <c r="A166" s="1496" t="s">
        <v>348</v>
      </c>
      <c r="B166" s="574">
        <v>3920</v>
      </c>
      <c r="C166" s="566"/>
      <c r="D166" s="578">
        <v>0</v>
      </c>
      <c r="E166" s="468"/>
      <c r="F166" s="566"/>
      <c r="G166" s="468"/>
      <c r="H166" s="530">
        <v>0</v>
      </c>
      <c r="I166" s="468"/>
      <c r="J166" s="468"/>
      <c r="K166" s="468"/>
    </row>
    <row r="167" spans="1:11" ht="12.75" customHeight="1" thickTop="1" thickBot="1" x14ac:dyDescent="0.25">
      <c r="A167" s="1496" t="s">
        <v>349</v>
      </c>
      <c r="B167" s="574">
        <v>3925</v>
      </c>
      <c r="C167" s="521"/>
      <c r="D167" s="576">
        <v>0</v>
      </c>
      <c r="E167" s="521"/>
      <c r="F167" s="521"/>
      <c r="G167" s="468"/>
      <c r="H167" s="531">
        <v>0</v>
      </c>
      <c r="I167" s="468"/>
      <c r="J167" s="468"/>
      <c r="K167" s="530">
        <v>0</v>
      </c>
    </row>
    <row r="168" spans="1:11" ht="14.25" thickTop="1" thickBot="1" x14ac:dyDescent="0.25">
      <c r="A168" s="1496" t="s">
        <v>70</v>
      </c>
      <c r="B168" s="574">
        <v>3999</v>
      </c>
      <c r="C168" s="579">
        <v>104457</v>
      </c>
      <c r="D168" s="580">
        <v>0</v>
      </c>
      <c r="E168" s="580">
        <v>0</v>
      </c>
      <c r="F168" s="580">
        <v>0</v>
      </c>
      <c r="G168" s="581">
        <v>0</v>
      </c>
      <c r="H168" s="582">
        <v>0</v>
      </c>
      <c r="I168" s="581">
        <v>0</v>
      </c>
      <c r="J168" s="581">
        <v>0</v>
      </c>
      <c r="K168" s="582">
        <v>0</v>
      </c>
    </row>
    <row r="169" spans="1:11" ht="12.75" customHeight="1" thickTop="1" thickBot="1" x14ac:dyDescent="0.25">
      <c r="A169" s="2148" t="s">
        <v>398</v>
      </c>
      <c r="B169" s="2149"/>
      <c r="C169" s="1718">
        <f t="shared" ref="C169:K169" si="6">SUM(C132,C141,C145,C146:C150,C155,C156:C167,C168)</f>
        <v>1422394</v>
      </c>
      <c r="D169" s="1718">
        <f t="shared" si="6"/>
        <v>0</v>
      </c>
      <c r="E169" s="1718">
        <f t="shared" si="6"/>
        <v>0</v>
      </c>
      <c r="F169" s="1718">
        <f t="shared" si="6"/>
        <v>1037941</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24215132</v>
      </c>
      <c r="D170" s="1711">
        <f t="shared" si="7"/>
        <v>2998681</v>
      </c>
      <c r="E170" s="1711">
        <f t="shared" si="7"/>
        <v>0</v>
      </c>
      <c r="F170" s="1711">
        <f t="shared" si="7"/>
        <v>1037941</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4" t="s">
        <v>1665</v>
      </c>
      <c r="B175" s="2155"/>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6" t="s">
        <v>785</v>
      </c>
      <c r="B181" s="2157"/>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599" t="s">
        <v>1602</v>
      </c>
      <c r="B183" s="1600"/>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61"/>
      <c r="F188" s="1703">
        <f>SUM(F184:F187)</f>
        <v>0</v>
      </c>
      <c r="G188" s="1703">
        <f>SUM(G184:G187)</f>
        <v>0</v>
      </c>
      <c r="H188" s="468"/>
      <c r="I188" s="468"/>
      <c r="J188" s="468"/>
      <c r="K188" s="468"/>
    </row>
    <row r="189" spans="1:11" ht="15.75" customHeight="1" thickTop="1" x14ac:dyDescent="0.2">
      <c r="A189" s="1596" t="s">
        <v>455</v>
      </c>
      <c r="B189" s="1601"/>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1074300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498608</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4" t="s">
        <v>548</v>
      </c>
      <c r="B198" s="1705"/>
      <c r="C198" s="1684">
        <f>SUM(C190:C197)</f>
        <v>1572908</v>
      </c>
      <c r="D198" s="468"/>
      <c r="E198" s="468"/>
      <c r="F198" s="468"/>
      <c r="G198" s="1684">
        <f>SUM(G190:G197)</f>
        <v>0</v>
      </c>
      <c r="H198" s="468"/>
      <c r="I198" s="468"/>
      <c r="J198" s="468"/>
      <c r="K198" s="468"/>
    </row>
    <row r="199" spans="1:11" ht="15.75" customHeight="1" thickTop="1" x14ac:dyDescent="0.2">
      <c r="A199" s="1596" t="s">
        <v>1138</v>
      </c>
      <c r="B199" s="1601"/>
      <c r="C199" s="553"/>
      <c r="D199" s="468"/>
      <c r="E199" s="468"/>
      <c r="F199" s="468"/>
      <c r="G199" s="468"/>
      <c r="H199" s="468"/>
      <c r="I199" s="468"/>
      <c r="J199" s="468"/>
      <c r="K199" s="468"/>
    </row>
    <row r="200" spans="1:11" ht="12.75" customHeight="1" x14ac:dyDescent="0.2">
      <c r="A200" s="463" t="s">
        <v>918</v>
      </c>
      <c r="B200" s="470">
        <v>4300</v>
      </c>
      <c r="C200" s="466">
        <v>1274684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50504</v>
      </c>
      <c r="D203" s="466">
        <v>0</v>
      </c>
      <c r="E203" s="468"/>
      <c r="F203" s="466">
        <v>0</v>
      </c>
      <c r="G203" s="466">
        <v>0</v>
      </c>
      <c r="H203" s="468"/>
      <c r="I203" s="468"/>
      <c r="J203" s="468"/>
      <c r="K203" s="468"/>
    </row>
    <row r="204" spans="1:11" ht="12.75" customHeight="1" thickBot="1" x14ac:dyDescent="0.25">
      <c r="A204" s="1704" t="s">
        <v>400</v>
      </c>
      <c r="B204" s="1705"/>
      <c r="C204" s="1703">
        <f>SUM(C200:C203)</f>
        <v>1325188</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3"/>
      <c r="D205" s="553"/>
      <c r="E205" s="468"/>
      <c r="F205" s="553"/>
      <c r="G205" s="553"/>
      <c r="H205" s="468"/>
      <c r="I205" s="468"/>
      <c r="J205" s="468"/>
      <c r="K205" s="468"/>
    </row>
    <row r="206" spans="1:11" ht="12.75" customHeight="1" x14ac:dyDescent="0.2">
      <c r="A206" s="463" t="s">
        <v>759</v>
      </c>
      <c r="B206" s="470">
        <v>4400</v>
      </c>
      <c r="C206" s="551">
        <v>32388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4" t="s">
        <v>889</v>
      </c>
      <c r="B209" s="1705"/>
      <c r="C209" s="1703">
        <f>SUM(C206:C208)</f>
        <v>32388</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3"/>
      <c r="D210" s="553"/>
      <c r="E210" s="468"/>
      <c r="F210" s="553"/>
      <c r="G210" s="553"/>
      <c r="H210" s="468"/>
      <c r="I210" s="468"/>
      <c r="J210" s="468"/>
      <c r="K210" s="468"/>
    </row>
    <row r="211" spans="1:11" ht="12.75" customHeight="1" x14ac:dyDescent="0.2">
      <c r="A211" s="463" t="s">
        <v>1052</v>
      </c>
      <c r="B211" s="470">
        <v>4600</v>
      </c>
      <c r="C211" s="551">
        <v>33946</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819077</v>
      </c>
      <c r="D213" s="466">
        <v>0</v>
      </c>
      <c r="E213" s="468"/>
      <c r="F213" s="466">
        <v>0</v>
      </c>
      <c r="G213" s="466">
        <v>0</v>
      </c>
      <c r="H213" s="468"/>
      <c r="I213" s="468"/>
      <c r="J213" s="468"/>
      <c r="K213" s="468"/>
    </row>
    <row r="214" spans="1:11" ht="12.75" customHeight="1" x14ac:dyDescent="0.2">
      <c r="A214" s="463" t="s">
        <v>1054</v>
      </c>
      <c r="B214" s="470">
        <v>4625</v>
      </c>
      <c r="C214" s="551">
        <v>65689</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7" t="s">
        <v>74</v>
      </c>
      <c r="B216" s="557">
        <v>4699</v>
      </c>
      <c r="C216" s="551">
        <v>0</v>
      </c>
      <c r="D216" s="466">
        <v>0</v>
      </c>
      <c r="E216" s="468"/>
      <c r="F216" s="466">
        <v>0</v>
      </c>
      <c r="G216" s="466">
        <v>0</v>
      </c>
      <c r="H216" s="468"/>
      <c r="I216" s="468"/>
      <c r="J216" s="468"/>
      <c r="K216" s="468"/>
    </row>
    <row r="217" spans="1:11" ht="12.75" customHeight="1" thickBot="1" x14ac:dyDescent="0.25">
      <c r="A217" s="1704" t="s">
        <v>447</v>
      </c>
      <c r="B217" s="1705"/>
      <c r="C217" s="1703">
        <f>SUM(C211:C216)</f>
        <v>918712</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8" t="s">
        <v>1421</v>
      </c>
      <c r="B253" s="588">
        <v>4901</v>
      </c>
      <c r="C253" s="589">
        <v>0</v>
      </c>
      <c r="D253" s="469"/>
      <c r="E253" s="468"/>
      <c r="F253" s="468"/>
      <c r="G253" s="468"/>
      <c r="H253" s="468"/>
      <c r="I253" s="468"/>
      <c r="J253" s="468"/>
      <c r="K253" s="468"/>
    </row>
    <row r="254" spans="1:11" ht="12.75" customHeight="1" thickTop="1" thickBot="1" x14ac:dyDescent="0.25">
      <c r="A254" s="1499" t="s">
        <v>1463</v>
      </c>
      <c r="B254" s="590">
        <v>4902</v>
      </c>
      <c r="C254" s="591">
        <v>279115</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120695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122654</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6" t="s">
        <v>1934</v>
      </c>
      <c r="B261" s="470">
        <v>4981</v>
      </c>
      <c r="C261" s="575"/>
      <c r="D261" s="576"/>
      <c r="E261" s="468"/>
      <c r="F261" s="576"/>
      <c r="G261" s="576"/>
      <c r="H261" s="468"/>
      <c r="I261" s="468"/>
      <c r="J261" s="468"/>
      <c r="K261" s="468"/>
    </row>
    <row r="262" spans="1:11" ht="12.75" customHeight="1" thickTop="1" thickBot="1" x14ac:dyDescent="0.25">
      <c r="A262" s="1927"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143421</v>
      </c>
      <c r="D263" s="576">
        <v>0</v>
      </c>
      <c r="E263" s="468"/>
      <c r="F263" s="576">
        <v>0</v>
      </c>
      <c r="G263" s="576">
        <v>0</v>
      </c>
      <c r="H263" s="468"/>
      <c r="I263" s="468"/>
      <c r="J263" s="468"/>
      <c r="K263" s="468"/>
    </row>
    <row r="264" spans="1:11" ht="12.75" customHeight="1" thickTop="1" thickBot="1" x14ac:dyDescent="0.25">
      <c r="A264" s="463" t="s">
        <v>377</v>
      </c>
      <c r="B264" s="470">
        <v>4992</v>
      </c>
      <c r="C264" s="575">
        <v>411126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4" t="s">
        <v>1666</v>
      </c>
      <c r="B266" s="1723"/>
      <c r="C266" s="1711">
        <f t="shared" ref="C266:H266" si="10">SUM(C188,C198,C204,C209,C217,C221,C222,C252:C265)</f>
        <v>4926207</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4926207</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35145644</v>
      </c>
      <c r="D268" s="1711">
        <f t="shared" si="12"/>
        <v>4313974</v>
      </c>
      <c r="E268" s="1711">
        <f t="shared" si="12"/>
        <v>0</v>
      </c>
      <c r="F268" s="1711">
        <f t="shared" si="12"/>
        <v>1739970</v>
      </c>
      <c r="G268" s="1711">
        <f t="shared" si="12"/>
        <v>1325934</v>
      </c>
      <c r="H268" s="1711">
        <f t="shared" si="12"/>
        <v>0</v>
      </c>
      <c r="I268" s="1711">
        <f t="shared" si="12"/>
        <v>5655</v>
      </c>
      <c r="J268" s="1711">
        <f t="shared" si="12"/>
        <v>281250</v>
      </c>
      <c r="K268" s="1698">
        <f t="shared" si="12"/>
        <v>15450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activeCell="C8" sqref="C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4"/>
      <c r="D3" s="1544"/>
      <c r="E3" s="1544"/>
      <c r="F3" s="1544"/>
      <c r="G3" s="1544"/>
      <c r="H3" s="1544"/>
      <c r="I3" s="1544"/>
      <c r="J3" s="1544"/>
      <c r="K3" s="1545"/>
      <c r="L3" s="1546"/>
      <c r="M3" s="609"/>
      <c r="N3" s="609"/>
    </row>
    <row r="4" spans="1:14" s="259" customFormat="1" ht="15.75" customHeight="1" x14ac:dyDescent="0.2">
      <c r="A4" s="1602" t="s">
        <v>44</v>
      </c>
      <c r="B4" s="1603" t="s">
        <v>570</v>
      </c>
      <c r="C4" s="610"/>
      <c r="D4" s="610"/>
      <c r="E4" s="610"/>
      <c r="F4" s="610"/>
      <c r="G4" s="610"/>
      <c r="H4" s="610"/>
      <c r="I4" s="611"/>
      <c r="J4" s="610"/>
      <c r="K4" s="612"/>
      <c r="L4" s="610"/>
      <c r="M4" s="613"/>
      <c r="N4" s="613"/>
    </row>
    <row r="5" spans="1:14" x14ac:dyDescent="0.2">
      <c r="A5" s="1500" t="s">
        <v>961</v>
      </c>
      <c r="B5" s="614">
        <v>1100</v>
      </c>
      <c r="C5" s="466">
        <v>8917394</v>
      </c>
      <c r="D5" s="466">
        <v>2965403</v>
      </c>
      <c r="E5" s="466">
        <v>170042</v>
      </c>
      <c r="F5" s="466">
        <v>217895</v>
      </c>
      <c r="G5" s="466">
        <v>82782</v>
      </c>
      <c r="H5" s="466">
        <v>38171</v>
      </c>
      <c r="I5" s="466">
        <v>533729</v>
      </c>
      <c r="J5" s="466">
        <v>0</v>
      </c>
      <c r="K5" s="1667">
        <f>SUM(C5:J5)</f>
        <v>12925416</v>
      </c>
      <c r="L5" s="466">
        <v>13619331</v>
      </c>
    </row>
    <row r="6" spans="1:14" x14ac:dyDescent="0.2">
      <c r="A6" s="1500" t="s">
        <v>1433</v>
      </c>
      <c r="B6" s="614" t="s">
        <v>1431</v>
      </c>
      <c r="C6" s="477"/>
      <c r="D6" s="477"/>
      <c r="E6" s="466"/>
      <c r="F6" s="477"/>
      <c r="G6" s="477"/>
      <c r="H6" s="477"/>
      <c r="I6" s="477"/>
      <c r="J6" s="477"/>
      <c r="K6" s="1667">
        <f>SUM(C6,E6)</f>
        <v>0</v>
      </c>
      <c r="L6" s="466"/>
    </row>
    <row r="7" spans="1:14" x14ac:dyDescent="0.2">
      <c r="A7" s="1500" t="s">
        <v>163</v>
      </c>
      <c r="B7" s="614" t="s">
        <v>967</v>
      </c>
      <c r="C7" s="467">
        <v>0</v>
      </c>
      <c r="D7" s="467">
        <v>0</v>
      </c>
      <c r="E7" s="467">
        <v>499</v>
      </c>
      <c r="F7" s="467">
        <v>17768</v>
      </c>
      <c r="G7" s="467">
        <v>0</v>
      </c>
      <c r="H7" s="467">
        <v>0</v>
      </c>
      <c r="I7" s="467">
        <v>0</v>
      </c>
      <c r="J7" s="467">
        <v>0</v>
      </c>
      <c r="K7" s="1667">
        <f t="shared" ref="K7:K32" si="0">SUM(C7:J7)</f>
        <v>18267</v>
      </c>
      <c r="L7" s="466">
        <v>20744</v>
      </c>
    </row>
    <row r="8" spans="1:14" x14ac:dyDescent="0.2">
      <c r="A8" s="1500" t="s">
        <v>164</v>
      </c>
      <c r="B8" s="614">
        <v>1200</v>
      </c>
      <c r="C8" s="466">
        <v>4142634</v>
      </c>
      <c r="D8" s="466">
        <v>141268</v>
      </c>
      <c r="E8" s="466">
        <v>812</v>
      </c>
      <c r="F8" s="466">
        <v>122527</v>
      </c>
      <c r="G8" s="466">
        <v>0</v>
      </c>
      <c r="H8" s="466">
        <v>289312</v>
      </c>
      <c r="I8" s="467">
        <v>0</v>
      </c>
      <c r="J8" s="467">
        <v>0</v>
      </c>
      <c r="K8" s="1667">
        <f t="shared" si="0"/>
        <v>4696553</v>
      </c>
      <c r="L8" s="466">
        <v>5015970</v>
      </c>
    </row>
    <row r="9" spans="1:14" x14ac:dyDescent="0.2">
      <c r="A9" s="1500" t="s">
        <v>721</v>
      </c>
      <c r="B9" s="614" t="s">
        <v>968</v>
      </c>
      <c r="C9" s="467">
        <v>0</v>
      </c>
      <c r="D9" s="467">
        <v>0</v>
      </c>
      <c r="E9" s="467">
        <v>0</v>
      </c>
      <c r="F9" s="467">
        <v>0</v>
      </c>
      <c r="G9" s="467">
        <v>0</v>
      </c>
      <c r="H9" s="467">
        <v>0</v>
      </c>
      <c r="I9" s="467">
        <v>0</v>
      </c>
      <c r="J9" s="467">
        <v>0</v>
      </c>
      <c r="K9" s="1667">
        <f t="shared" si="0"/>
        <v>0</v>
      </c>
      <c r="L9" s="466"/>
    </row>
    <row r="10" spans="1:14" x14ac:dyDescent="0.2">
      <c r="A10" s="1500" t="s">
        <v>722</v>
      </c>
      <c r="B10" s="614">
        <v>1250</v>
      </c>
      <c r="C10" s="466">
        <v>80212</v>
      </c>
      <c r="D10" s="466">
        <v>18418</v>
      </c>
      <c r="E10" s="466">
        <v>182051</v>
      </c>
      <c r="F10" s="466">
        <v>193947</v>
      </c>
      <c r="G10" s="466">
        <v>91011</v>
      </c>
      <c r="H10" s="466">
        <v>1918</v>
      </c>
      <c r="I10" s="467">
        <v>11937</v>
      </c>
      <c r="J10" s="467">
        <v>0</v>
      </c>
      <c r="K10" s="1667">
        <f t="shared" si="0"/>
        <v>579494</v>
      </c>
      <c r="L10" s="466">
        <v>574607</v>
      </c>
    </row>
    <row r="11" spans="1:14" x14ac:dyDescent="0.2">
      <c r="A11" s="1500" t="s">
        <v>1130</v>
      </c>
      <c r="B11" s="614" t="s">
        <v>161</v>
      </c>
      <c r="C11" s="467">
        <v>0</v>
      </c>
      <c r="D11" s="467">
        <v>0</v>
      </c>
      <c r="E11" s="467">
        <v>0</v>
      </c>
      <c r="F11" s="467">
        <v>0</v>
      </c>
      <c r="G11" s="467">
        <v>0</v>
      </c>
      <c r="H11" s="467">
        <v>0</v>
      </c>
      <c r="I11" s="467">
        <v>0</v>
      </c>
      <c r="J11" s="467">
        <v>0</v>
      </c>
      <c r="K11" s="1667">
        <f t="shared" si="0"/>
        <v>0</v>
      </c>
      <c r="L11" s="466"/>
    </row>
    <row r="12" spans="1:14" x14ac:dyDescent="0.2">
      <c r="A12" s="1500" t="s">
        <v>962</v>
      </c>
      <c r="B12" s="614">
        <v>1300</v>
      </c>
      <c r="C12" s="466">
        <v>0</v>
      </c>
      <c r="D12" s="466">
        <v>0</v>
      </c>
      <c r="E12" s="466">
        <v>0</v>
      </c>
      <c r="F12" s="466">
        <v>0</v>
      </c>
      <c r="G12" s="466">
        <v>0</v>
      </c>
      <c r="H12" s="466">
        <v>0</v>
      </c>
      <c r="I12" s="467">
        <v>0</v>
      </c>
      <c r="J12" s="467">
        <v>0</v>
      </c>
      <c r="K12" s="1667">
        <f t="shared" si="0"/>
        <v>0</v>
      </c>
      <c r="L12" s="466"/>
    </row>
    <row r="13" spans="1:14" x14ac:dyDescent="0.2">
      <c r="A13" s="1500" t="s">
        <v>723</v>
      </c>
      <c r="B13" s="614">
        <v>1400</v>
      </c>
      <c r="C13" s="466">
        <v>0</v>
      </c>
      <c r="D13" s="466">
        <v>0</v>
      </c>
      <c r="E13" s="466">
        <v>0</v>
      </c>
      <c r="F13" s="466">
        <v>0</v>
      </c>
      <c r="G13" s="466">
        <v>0</v>
      </c>
      <c r="H13" s="466">
        <v>0</v>
      </c>
      <c r="I13" s="467">
        <v>0</v>
      </c>
      <c r="J13" s="467">
        <v>0</v>
      </c>
      <c r="K13" s="1667">
        <f t="shared" si="0"/>
        <v>0</v>
      </c>
      <c r="L13" s="466"/>
    </row>
    <row r="14" spans="1:14" x14ac:dyDescent="0.2">
      <c r="A14" s="1500" t="s">
        <v>963</v>
      </c>
      <c r="B14" s="614">
        <v>1500</v>
      </c>
      <c r="C14" s="466">
        <v>182607</v>
      </c>
      <c r="D14" s="466">
        <v>6431</v>
      </c>
      <c r="E14" s="466">
        <v>5845</v>
      </c>
      <c r="F14" s="466">
        <v>257</v>
      </c>
      <c r="G14" s="466">
        <v>0</v>
      </c>
      <c r="H14" s="466">
        <v>0</v>
      </c>
      <c r="I14" s="467">
        <v>0</v>
      </c>
      <c r="J14" s="467">
        <v>0</v>
      </c>
      <c r="K14" s="1667">
        <f t="shared" si="0"/>
        <v>195140</v>
      </c>
      <c r="L14" s="466">
        <v>231089</v>
      </c>
    </row>
    <row r="15" spans="1:14" x14ac:dyDescent="0.2">
      <c r="A15" s="1500" t="s">
        <v>964</v>
      </c>
      <c r="B15" s="614">
        <v>1600</v>
      </c>
      <c r="C15" s="466">
        <v>83857</v>
      </c>
      <c r="D15" s="466">
        <v>811</v>
      </c>
      <c r="E15" s="466">
        <v>0</v>
      </c>
      <c r="F15" s="466">
        <v>0</v>
      </c>
      <c r="G15" s="466">
        <v>0</v>
      </c>
      <c r="H15" s="466">
        <v>0</v>
      </c>
      <c r="I15" s="467">
        <v>0</v>
      </c>
      <c r="J15" s="467">
        <v>0</v>
      </c>
      <c r="K15" s="1667">
        <f t="shared" si="0"/>
        <v>84668</v>
      </c>
      <c r="L15" s="466">
        <v>158932</v>
      </c>
    </row>
    <row r="16" spans="1:14" x14ac:dyDescent="0.2">
      <c r="A16" s="1500" t="s">
        <v>987</v>
      </c>
      <c r="B16" s="614" t="s">
        <v>424</v>
      </c>
      <c r="C16" s="466">
        <v>12360</v>
      </c>
      <c r="D16" s="466">
        <v>186</v>
      </c>
      <c r="E16" s="466">
        <v>0</v>
      </c>
      <c r="F16" s="466">
        <v>968</v>
      </c>
      <c r="G16" s="466">
        <v>0</v>
      </c>
      <c r="H16" s="466">
        <v>0</v>
      </c>
      <c r="I16" s="467">
        <v>0</v>
      </c>
      <c r="J16" s="467">
        <v>0</v>
      </c>
      <c r="K16" s="1667">
        <f t="shared" si="0"/>
        <v>13514</v>
      </c>
      <c r="L16" s="466">
        <v>16546</v>
      </c>
    </row>
    <row r="17" spans="1:12" x14ac:dyDescent="0.2">
      <c r="A17" s="1500" t="s">
        <v>724</v>
      </c>
      <c r="B17" s="614" t="s">
        <v>162</v>
      </c>
      <c r="C17" s="467">
        <v>0</v>
      </c>
      <c r="D17" s="467">
        <v>0</v>
      </c>
      <c r="E17" s="467">
        <v>0</v>
      </c>
      <c r="F17" s="467">
        <v>0</v>
      </c>
      <c r="G17" s="467">
        <v>0</v>
      </c>
      <c r="H17" s="467">
        <v>0</v>
      </c>
      <c r="I17" s="467">
        <v>0</v>
      </c>
      <c r="J17" s="467">
        <v>0</v>
      </c>
      <c r="K17" s="1667">
        <f t="shared" si="0"/>
        <v>0</v>
      </c>
      <c r="L17" s="466"/>
    </row>
    <row r="18" spans="1:12" x14ac:dyDescent="0.2">
      <c r="A18" s="1500" t="s">
        <v>1087</v>
      </c>
      <c r="B18" s="614">
        <v>1800</v>
      </c>
      <c r="C18" s="466">
        <v>2035372</v>
      </c>
      <c r="D18" s="466">
        <v>29871</v>
      </c>
      <c r="E18" s="466">
        <v>0</v>
      </c>
      <c r="F18" s="466">
        <v>1878</v>
      </c>
      <c r="G18" s="466">
        <v>0</v>
      </c>
      <c r="H18" s="466">
        <v>0</v>
      </c>
      <c r="I18" s="467">
        <v>0</v>
      </c>
      <c r="J18" s="467">
        <v>0</v>
      </c>
      <c r="K18" s="1667">
        <f t="shared" si="0"/>
        <v>2067121</v>
      </c>
      <c r="L18" s="466">
        <v>2144151</v>
      </c>
    </row>
    <row r="19" spans="1:12" x14ac:dyDescent="0.2">
      <c r="A19" s="1500" t="s">
        <v>134</v>
      </c>
      <c r="B19" s="614">
        <v>1900</v>
      </c>
      <c r="C19" s="466">
        <v>0</v>
      </c>
      <c r="D19" s="466">
        <v>0</v>
      </c>
      <c r="E19" s="466">
        <v>0</v>
      </c>
      <c r="F19" s="466">
        <v>0</v>
      </c>
      <c r="G19" s="466">
        <v>0</v>
      </c>
      <c r="H19" s="466">
        <v>0</v>
      </c>
      <c r="I19" s="467">
        <v>0</v>
      </c>
      <c r="J19" s="467">
        <v>0</v>
      </c>
      <c r="K19" s="1667">
        <f t="shared" si="0"/>
        <v>0</v>
      </c>
      <c r="L19" s="466"/>
    </row>
    <row r="20" spans="1:12" x14ac:dyDescent="0.2">
      <c r="A20" s="1501" t="s">
        <v>738</v>
      </c>
      <c r="B20" s="602" t="s">
        <v>725</v>
      </c>
      <c r="C20" s="477"/>
      <c r="D20" s="477"/>
      <c r="E20" s="477"/>
      <c r="F20" s="477"/>
      <c r="G20" s="477"/>
      <c r="H20" s="474">
        <v>0</v>
      </c>
      <c r="I20" s="616"/>
      <c r="J20" s="475"/>
      <c r="K20" s="1667">
        <f t="shared" si="0"/>
        <v>0</v>
      </c>
      <c r="L20" s="471"/>
    </row>
    <row r="21" spans="1:12" x14ac:dyDescent="0.2">
      <c r="A21" s="1501" t="s">
        <v>739</v>
      </c>
      <c r="B21" s="602" t="s">
        <v>726</v>
      </c>
      <c r="C21" s="477"/>
      <c r="D21" s="477"/>
      <c r="E21" s="477"/>
      <c r="F21" s="477"/>
      <c r="G21" s="477"/>
      <c r="H21" s="474">
        <v>0</v>
      </c>
      <c r="I21" s="616"/>
      <c r="J21" s="477"/>
      <c r="K21" s="1667">
        <f t="shared" si="0"/>
        <v>0</v>
      </c>
      <c r="L21" s="471"/>
    </row>
    <row r="22" spans="1:12" x14ac:dyDescent="0.2">
      <c r="A22" s="1501" t="s">
        <v>740</v>
      </c>
      <c r="B22" s="602" t="s">
        <v>727</v>
      </c>
      <c r="C22" s="477"/>
      <c r="D22" s="477"/>
      <c r="E22" s="477"/>
      <c r="F22" s="477"/>
      <c r="G22" s="477"/>
      <c r="H22" s="474">
        <v>1384686</v>
      </c>
      <c r="I22" s="616"/>
      <c r="J22" s="477"/>
      <c r="K22" s="1667">
        <f t="shared" si="0"/>
        <v>1384686</v>
      </c>
      <c r="L22" s="471">
        <v>1300000</v>
      </c>
    </row>
    <row r="23" spans="1:12" x14ac:dyDescent="0.2">
      <c r="A23" s="1501" t="s">
        <v>741</v>
      </c>
      <c r="B23" s="602" t="s">
        <v>728</v>
      </c>
      <c r="C23" s="477"/>
      <c r="D23" s="477"/>
      <c r="E23" s="477"/>
      <c r="F23" s="477"/>
      <c r="G23" s="477"/>
      <c r="H23" s="474">
        <v>0</v>
      </c>
      <c r="I23" s="616"/>
      <c r="J23" s="477"/>
      <c r="K23" s="1667">
        <f t="shared" si="0"/>
        <v>0</v>
      </c>
      <c r="L23" s="471"/>
    </row>
    <row r="24" spans="1:12" ht="12.75" customHeight="1" x14ac:dyDescent="0.2">
      <c r="A24" s="1501" t="s">
        <v>742</v>
      </c>
      <c r="B24" s="602" t="s">
        <v>729</v>
      </c>
      <c r="C24" s="477"/>
      <c r="D24" s="477"/>
      <c r="E24" s="477"/>
      <c r="F24" s="477"/>
      <c r="G24" s="477"/>
      <c r="H24" s="474">
        <v>0</v>
      </c>
      <c r="I24" s="616"/>
      <c r="J24" s="477"/>
      <c r="K24" s="1667">
        <f t="shared" si="0"/>
        <v>0</v>
      </c>
      <c r="L24" s="471"/>
    </row>
    <row r="25" spans="1:12" ht="12.75" customHeight="1" x14ac:dyDescent="0.2">
      <c r="A25" s="1501" t="s">
        <v>802</v>
      </c>
      <c r="B25" s="602" t="s">
        <v>730</v>
      </c>
      <c r="C25" s="477"/>
      <c r="D25" s="477"/>
      <c r="E25" s="477"/>
      <c r="F25" s="477"/>
      <c r="G25" s="477"/>
      <c r="H25" s="474">
        <v>0</v>
      </c>
      <c r="I25" s="616"/>
      <c r="J25" s="477"/>
      <c r="K25" s="1667">
        <f t="shared" si="0"/>
        <v>0</v>
      </c>
      <c r="L25" s="471"/>
    </row>
    <row r="26" spans="1:12" x14ac:dyDescent="0.2">
      <c r="A26" s="1501" t="s">
        <v>622</v>
      </c>
      <c r="B26" s="602" t="s">
        <v>731</v>
      </c>
      <c r="C26" s="477"/>
      <c r="D26" s="477"/>
      <c r="E26" s="477"/>
      <c r="F26" s="477"/>
      <c r="G26" s="477"/>
      <c r="H26" s="474">
        <v>0</v>
      </c>
      <c r="I26" s="616"/>
      <c r="J26" s="477"/>
      <c r="K26" s="1667">
        <f t="shared" si="0"/>
        <v>0</v>
      </c>
      <c r="L26" s="471"/>
    </row>
    <row r="27" spans="1:12" x14ac:dyDescent="0.2">
      <c r="A27" s="1501" t="s">
        <v>623</v>
      </c>
      <c r="B27" s="602" t="s">
        <v>732</v>
      </c>
      <c r="C27" s="477"/>
      <c r="D27" s="477"/>
      <c r="E27" s="477"/>
      <c r="F27" s="477"/>
      <c r="G27" s="477"/>
      <c r="H27" s="474">
        <v>0</v>
      </c>
      <c r="I27" s="616"/>
      <c r="J27" s="477"/>
      <c r="K27" s="1667">
        <f t="shared" si="0"/>
        <v>0</v>
      </c>
      <c r="L27" s="471"/>
    </row>
    <row r="28" spans="1:12" x14ac:dyDescent="0.2">
      <c r="A28" s="1501" t="s">
        <v>150</v>
      </c>
      <c r="B28" s="602" t="s">
        <v>733</v>
      </c>
      <c r="C28" s="477"/>
      <c r="D28" s="477"/>
      <c r="E28" s="477"/>
      <c r="F28" s="477"/>
      <c r="G28" s="477"/>
      <c r="H28" s="474">
        <v>0</v>
      </c>
      <c r="I28" s="616"/>
      <c r="J28" s="477"/>
      <c r="K28" s="1667">
        <f t="shared" si="0"/>
        <v>0</v>
      </c>
      <c r="L28" s="471"/>
    </row>
    <row r="29" spans="1:12" x14ac:dyDescent="0.2">
      <c r="A29" s="1501" t="s">
        <v>151</v>
      </c>
      <c r="B29" s="602" t="s">
        <v>734</v>
      </c>
      <c r="C29" s="477"/>
      <c r="D29" s="477"/>
      <c r="E29" s="477"/>
      <c r="F29" s="477"/>
      <c r="G29" s="477"/>
      <c r="H29" s="474">
        <v>167823</v>
      </c>
      <c r="I29" s="616"/>
      <c r="J29" s="477"/>
      <c r="K29" s="1667">
        <f t="shared" si="0"/>
        <v>167823</v>
      </c>
      <c r="L29" s="471">
        <v>215000</v>
      </c>
    </row>
    <row r="30" spans="1:12" x14ac:dyDescent="0.2">
      <c r="A30" s="1501" t="s">
        <v>152</v>
      </c>
      <c r="B30" s="602" t="s">
        <v>735</v>
      </c>
      <c r="C30" s="477"/>
      <c r="D30" s="477"/>
      <c r="E30" s="477"/>
      <c r="F30" s="477"/>
      <c r="G30" s="477"/>
      <c r="H30" s="474">
        <v>0</v>
      </c>
      <c r="I30" s="616"/>
      <c r="J30" s="477"/>
      <c r="K30" s="1667">
        <f t="shared" si="0"/>
        <v>0</v>
      </c>
      <c r="L30" s="471"/>
    </row>
    <row r="31" spans="1:12" x14ac:dyDescent="0.2">
      <c r="A31" s="1501" t="s">
        <v>153</v>
      </c>
      <c r="B31" s="602" t="s">
        <v>736</v>
      </c>
      <c r="C31" s="477"/>
      <c r="D31" s="477"/>
      <c r="E31" s="477"/>
      <c r="F31" s="477"/>
      <c r="G31" s="477"/>
      <c r="H31" s="474">
        <v>0</v>
      </c>
      <c r="I31" s="616"/>
      <c r="J31" s="477"/>
      <c r="K31" s="1667">
        <f t="shared" si="0"/>
        <v>0</v>
      </c>
      <c r="L31" s="471"/>
    </row>
    <row r="32" spans="1:12" x14ac:dyDescent="0.2">
      <c r="A32" s="1502" t="s">
        <v>1129</v>
      </c>
      <c r="B32" s="614" t="s">
        <v>737</v>
      </c>
      <c r="C32" s="477"/>
      <c r="D32" s="477"/>
      <c r="E32" s="477"/>
      <c r="F32" s="477"/>
      <c r="G32" s="477"/>
      <c r="H32" s="474">
        <v>0</v>
      </c>
      <c r="I32" s="616"/>
      <c r="J32" s="480"/>
      <c r="K32" s="1667">
        <f t="shared" si="0"/>
        <v>0</v>
      </c>
      <c r="L32" s="471"/>
    </row>
    <row r="33" spans="1:14" ht="12.75" customHeight="1" thickBot="1" x14ac:dyDescent="0.25">
      <c r="A33" s="1664" t="s">
        <v>1668</v>
      </c>
      <c r="B33" s="1665" t="s">
        <v>570</v>
      </c>
      <c r="C33" s="1666">
        <f>SUM(C5:C32)</f>
        <v>15454436</v>
      </c>
      <c r="D33" s="1666">
        <f t="shared" ref="D33:L33" si="1">SUM(D5:D32)</f>
        <v>3162388</v>
      </c>
      <c r="E33" s="1666">
        <f t="shared" si="1"/>
        <v>359249</v>
      </c>
      <c r="F33" s="1666">
        <f t="shared" si="1"/>
        <v>555240</v>
      </c>
      <c r="G33" s="1666">
        <f t="shared" si="1"/>
        <v>173793</v>
      </c>
      <c r="H33" s="1666">
        <f t="shared" si="1"/>
        <v>1881910</v>
      </c>
      <c r="I33" s="1666">
        <f t="shared" si="1"/>
        <v>545666</v>
      </c>
      <c r="J33" s="1666">
        <f t="shared" si="1"/>
        <v>0</v>
      </c>
      <c r="K33" s="1666">
        <f t="shared" si="1"/>
        <v>22132682</v>
      </c>
      <c r="L33" s="1666">
        <f t="shared" si="1"/>
        <v>23296370</v>
      </c>
    </row>
    <row r="34" spans="1:14" s="620" customFormat="1" ht="15.75" customHeight="1" thickTop="1" x14ac:dyDescent="0.2">
      <c r="A34" s="1604" t="s">
        <v>46</v>
      </c>
      <c r="B34" s="1605"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0" t="s">
        <v>1089</v>
      </c>
      <c r="B36" s="614">
        <v>2110</v>
      </c>
      <c r="C36" s="481">
        <v>573888</v>
      </c>
      <c r="D36" s="481">
        <v>8415</v>
      </c>
      <c r="E36" s="481">
        <v>0</v>
      </c>
      <c r="F36" s="481">
        <v>0</v>
      </c>
      <c r="G36" s="481">
        <v>0</v>
      </c>
      <c r="H36" s="481">
        <v>0</v>
      </c>
      <c r="I36" s="467">
        <v>0</v>
      </c>
      <c r="J36" s="467">
        <v>0</v>
      </c>
      <c r="K36" s="1667">
        <f t="shared" ref="K36:K41" si="2">SUM(C36:J36)</f>
        <v>582303</v>
      </c>
      <c r="L36" s="466">
        <v>584964</v>
      </c>
    </row>
    <row r="37" spans="1:14" x14ac:dyDescent="0.2">
      <c r="A37" s="1500" t="s">
        <v>1090</v>
      </c>
      <c r="B37" s="614">
        <v>2120</v>
      </c>
      <c r="C37" s="466">
        <v>0</v>
      </c>
      <c r="D37" s="466">
        <v>0</v>
      </c>
      <c r="E37" s="466">
        <v>0</v>
      </c>
      <c r="F37" s="466">
        <v>0</v>
      </c>
      <c r="G37" s="466">
        <v>0</v>
      </c>
      <c r="H37" s="466">
        <v>0</v>
      </c>
      <c r="I37" s="467">
        <v>0</v>
      </c>
      <c r="J37" s="467">
        <v>0</v>
      </c>
      <c r="K37" s="1667">
        <f t="shared" si="2"/>
        <v>0</v>
      </c>
      <c r="L37" s="466"/>
    </row>
    <row r="38" spans="1:14" x14ac:dyDescent="0.2">
      <c r="A38" s="1500" t="s">
        <v>198</v>
      </c>
      <c r="B38" s="614">
        <v>2130</v>
      </c>
      <c r="C38" s="466">
        <v>341121</v>
      </c>
      <c r="D38" s="466">
        <v>3436</v>
      </c>
      <c r="E38" s="466">
        <v>198049</v>
      </c>
      <c r="F38" s="466">
        <v>2535</v>
      </c>
      <c r="G38" s="466">
        <v>0</v>
      </c>
      <c r="H38" s="466">
        <v>0</v>
      </c>
      <c r="I38" s="467">
        <v>0</v>
      </c>
      <c r="J38" s="467">
        <v>0</v>
      </c>
      <c r="K38" s="1667">
        <f t="shared" si="2"/>
        <v>545141</v>
      </c>
      <c r="L38" s="466">
        <v>572191</v>
      </c>
    </row>
    <row r="39" spans="1:14" x14ac:dyDescent="0.2">
      <c r="A39" s="1500" t="s">
        <v>199</v>
      </c>
      <c r="B39" s="614">
        <v>2140</v>
      </c>
      <c r="C39" s="466">
        <v>125180</v>
      </c>
      <c r="D39" s="466">
        <v>1878</v>
      </c>
      <c r="E39" s="466">
        <v>97345</v>
      </c>
      <c r="F39" s="466">
        <v>0</v>
      </c>
      <c r="G39" s="466">
        <v>0</v>
      </c>
      <c r="H39" s="466">
        <v>0</v>
      </c>
      <c r="I39" s="467">
        <v>0</v>
      </c>
      <c r="J39" s="467">
        <v>0</v>
      </c>
      <c r="K39" s="1667">
        <f t="shared" si="2"/>
        <v>224403</v>
      </c>
      <c r="L39" s="466">
        <v>246738</v>
      </c>
    </row>
    <row r="40" spans="1:14" x14ac:dyDescent="0.2">
      <c r="A40" s="1500" t="s">
        <v>200</v>
      </c>
      <c r="B40" s="614">
        <v>2150</v>
      </c>
      <c r="C40" s="466">
        <v>291140</v>
      </c>
      <c r="D40" s="466">
        <v>4366</v>
      </c>
      <c r="E40" s="466">
        <v>366123</v>
      </c>
      <c r="F40" s="466">
        <v>14925</v>
      </c>
      <c r="G40" s="466">
        <v>0</v>
      </c>
      <c r="H40" s="466">
        <v>0</v>
      </c>
      <c r="I40" s="467">
        <v>0</v>
      </c>
      <c r="J40" s="467">
        <v>0</v>
      </c>
      <c r="K40" s="1667">
        <f t="shared" si="2"/>
        <v>676554</v>
      </c>
      <c r="L40" s="466">
        <v>684087</v>
      </c>
    </row>
    <row r="41" spans="1:14" x14ac:dyDescent="0.2">
      <c r="A41" s="1500" t="s">
        <v>1669</v>
      </c>
      <c r="B41" s="614">
        <v>2190</v>
      </c>
      <c r="C41" s="466">
        <v>0</v>
      </c>
      <c r="D41" s="466">
        <v>0</v>
      </c>
      <c r="E41" s="466">
        <v>0</v>
      </c>
      <c r="F41" s="466">
        <v>0</v>
      </c>
      <c r="G41" s="466">
        <v>0</v>
      </c>
      <c r="H41" s="466">
        <v>0</v>
      </c>
      <c r="I41" s="467">
        <v>0</v>
      </c>
      <c r="J41" s="467">
        <v>0</v>
      </c>
      <c r="K41" s="1667">
        <f t="shared" si="2"/>
        <v>0</v>
      </c>
      <c r="L41" s="466"/>
    </row>
    <row r="42" spans="1:14" ht="12.75" customHeight="1" thickBot="1" x14ac:dyDescent="0.25">
      <c r="A42" s="1664" t="s">
        <v>560</v>
      </c>
      <c r="B42" s="1665" t="s">
        <v>716</v>
      </c>
      <c r="C42" s="1666">
        <f>SUM(C36:C41)</f>
        <v>1331329</v>
      </c>
      <c r="D42" s="1666">
        <f t="shared" ref="D42:L42" si="3">SUM(D36:D41)</f>
        <v>18095</v>
      </c>
      <c r="E42" s="1666">
        <f t="shared" si="3"/>
        <v>661517</v>
      </c>
      <c r="F42" s="1666">
        <f t="shared" si="3"/>
        <v>17460</v>
      </c>
      <c r="G42" s="1666">
        <f t="shared" si="3"/>
        <v>0</v>
      </c>
      <c r="H42" s="1666">
        <f t="shared" si="3"/>
        <v>0</v>
      </c>
      <c r="I42" s="1666">
        <f t="shared" si="3"/>
        <v>0</v>
      </c>
      <c r="J42" s="1666">
        <f t="shared" si="3"/>
        <v>0</v>
      </c>
      <c r="K42" s="1666">
        <f t="shared" si="3"/>
        <v>2028401</v>
      </c>
      <c r="L42" s="1666">
        <f t="shared" si="3"/>
        <v>2087980</v>
      </c>
    </row>
    <row r="43" spans="1:14" ht="15.75" customHeight="1" thickTop="1" x14ac:dyDescent="0.2">
      <c r="A43" s="624" t="s">
        <v>592</v>
      </c>
      <c r="B43" s="625"/>
      <c r="C43" s="626"/>
      <c r="D43" s="626"/>
      <c r="E43" s="626"/>
      <c r="F43" s="626"/>
      <c r="G43" s="626"/>
      <c r="H43" s="626"/>
      <c r="I43" s="616"/>
      <c r="J43" s="616"/>
      <c r="K43" s="626"/>
      <c r="L43" s="626"/>
    </row>
    <row r="44" spans="1:14" x14ac:dyDescent="0.2">
      <c r="A44" s="1500" t="s">
        <v>814</v>
      </c>
      <c r="B44" s="614">
        <v>2210</v>
      </c>
      <c r="C44" s="481">
        <v>559185</v>
      </c>
      <c r="D44" s="481">
        <v>51028</v>
      </c>
      <c r="E44" s="481">
        <v>363396</v>
      </c>
      <c r="F44" s="481">
        <v>54785</v>
      </c>
      <c r="G44" s="481">
        <v>0</v>
      </c>
      <c r="H44" s="481">
        <v>0</v>
      </c>
      <c r="I44" s="467">
        <v>0</v>
      </c>
      <c r="J44" s="467">
        <v>0</v>
      </c>
      <c r="K44" s="1668">
        <f>SUM(C44:J44)</f>
        <v>1028394</v>
      </c>
      <c r="L44" s="481">
        <v>1137786</v>
      </c>
    </row>
    <row r="45" spans="1:14" x14ac:dyDescent="0.2">
      <c r="A45" s="1500" t="s">
        <v>815</v>
      </c>
      <c r="B45" s="614">
        <v>2220</v>
      </c>
      <c r="C45" s="466">
        <v>378383</v>
      </c>
      <c r="D45" s="466">
        <v>4474</v>
      </c>
      <c r="E45" s="466">
        <v>3660</v>
      </c>
      <c r="F45" s="466">
        <v>136221</v>
      </c>
      <c r="G45" s="466">
        <v>0</v>
      </c>
      <c r="H45" s="466">
        <v>0</v>
      </c>
      <c r="I45" s="467">
        <v>0</v>
      </c>
      <c r="J45" s="467">
        <v>0</v>
      </c>
      <c r="K45" s="1668">
        <f>SUM(C45:J45)</f>
        <v>522738</v>
      </c>
      <c r="L45" s="466">
        <v>508396</v>
      </c>
    </row>
    <row r="46" spans="1:14" x14ac:dyDescent="0.2">
      <c r="A46" s="1500" t="s">
        <v>816</v>
      </c>
      <c r="B46" s="614">
        <v>2230</v>
      </c>
      <c r="C46" s="466">
        <v>7478</v>
      </c>
      <c r="D46" s="466">
        <v>78</v>
      </c>
      <c r="E46" s="466">
        <v>59233</v>
      </c>
      <c r="F46" s="466">
        <v>0</v>
      </c>
      <c r="G46" s="466">
        <v>0</v>
      </c>
      <c r="H46" s="466">
        <v>0</v>
      </c>
      <c r="I46" s="467">
        <v>691</v>
      </c>
      <c r="J46" s="467">
        <v>0</v>
      </c>
      <c r="K46" s="1668">
        <f>SUM(C46:J46)</f>
        <v>67480</v>
      </c>
      <c r="L46" s="466">
        <v>114228</v>
      </c>
    </row>
    <row r="47" spans="1:14" ht="12.75" customHeight="1" thickBot="1" x14ac:dyDescent="0.25">
      <c r="A47" s="1664" t="s">
        <v>561</v>
      </c>
      <c r="B47" s="1665" t="s">
        <v>32</v>
      </c>
      <c r="C47" s="1666">
        <f>SUM(C44:C46)</f>
        <v>945046</v>
      </c>
      <c r="D47" s="1666">
        <f t="shared" ref="D47:K47" si="4">SUM(D44:D46)</f>
        <v>55580</v>
      </c>
      <c r="E47" s="1666">
        <f t="shared" si="4"/>
        <v>426289</v>
      </c>
      <c r="F47" s="1666">
        <f t="shared" si="4"/>
        <v>191006</v>
      </c>
      <c r="G47" s="1666">
        <f t="shared" si="4"/>
        <v>0</v>
      </c>
      <c r="H47" s="1666">
        <f t="shared" si="4"/>
        <v>0</v>
      </c>
      <c r="I47" s="1666">
        <f t="shared" si="4"/>
        <v>691</v>
      </c>
      <c r="J47" s="1666">
        <f t="shared" si="4"/>
        <v>0</v>
      </c>
      <c r="K47" s="1666">
        <f t="shared" si="4"/>
        <v>1618612</v>
      </c>
      <c r="L47" s="1666">
        <f>SUM(L44:L46)</f>
        <v>1760410</v>
      </c>
    </row>
    <row r="48" spans="1:14" ht="15.75" customHeight="1" thickTop="1" x14ac:dyDescent="0.2">
      <c r="A48" s="624" t="s">
        <v>610</v>
      </c>
      <c r="B48" s="625"/>
      <c r="C48" s="626"/>
      <c r="D48" s="626"/>
      <c r="E48" s="626"/>
      <c r="F48" s="626"/>
      <c r="G48" s="626"/>
      <c r="H48" s="626"/>
      <c r="I48" s="616"/>
      <c r="J48" s="616"/>
      <c r="K48" s="626"/>
      <c r="L48" s="626"/>
    </row>
    <row r="49" spans="1:14" x14ac:dyDescent="0.2">
      <c r="A49" s="1500" t="s">
        <v>817</v>
      </c>
      <c r="B49" s="614">
        <v>2310</v>
      </c>
      <c r="C49" s="481">
        <v>0</v>
      </c>
      <c r="D49" s="481">
        <v>0</v>
      </c>
      <c r="E49" s="481">
        <v>41569</v>
      </c>
      <c r="F49" s="481">
        <v>155165</v>
      </c>
      <c r="G49" s="481">
        <v>0</v>
      </c>
      <c r="H49" s="481">
        <v>0</v>
      </c>
      <c r="I49" s="467">
        <v>0</v>
      </c>
      <c r="J49" s="467">
        <v>0</v>
      </c>
      <c r="K49" s="1668">
        <f>SUM(C49:J49)</f>
        <v>196734</v>
      </c>
      <c r="L49" s="481">
        <v>162000</v>
      </c>
    </row>
    <row r="50" spans="1:14" x14ac:dyDescent="0.2">
      <c r="A50" s="1500" t="s">
        <v>818</v>
      </c>
      <c r="B50" s="614">
        <v>2320</v>
      </c>
      <c r="C50" s="466">
        <v>219166</v>
      </c>
      <c r="D50" s="466">
        <v>2959</v>
      </c>
      <c r="E50" s="466">
        <v>11902</v>
      </c>
      <c r="F50" s="466">
        <v>15029</v>
      </c>
      <c r="G50" s="466">
        <v>0</v>
      </c>
      <c r="H50" s="466">
        <v>0</v>
      </c>
      <c r="I50" s="467">
        <v>0</v>
      </c>
      <c r="J50" s="467">
        <v>0</v>
      </c>
      <c r="K50" s="1668">
        <f>SUM(C50:J50)</f>
        <v>249056</v>
      </c>
      <c r="L50" s="466">
        <v>294858</v>
      </c>
    </row>
    <row r="51" spans="1:14" x14ac:dyDescent="0.2">
      <c r="A51" s="1500" t="s">
        <v>42</v>
      </c>
      <c r="B51" s="614">
        <v>2330</v>
      </c>
      <c r="C51" s="466">
        <v>240509</v>
      </c>
      <c r="D51" s="466">
        <v>2411</v>
      </c>
      <c r="E51" s="466">
        <v>28923</v>
      </c>
      <c r="F51" s="466">
        <v>10016</v>
      </c>
      <c r="G51" s="466">
        <v>0</v>
      </c>
      <c r="H51" s="466">
        <v>0</v>
      </c>
      <c r="I51" s="467">
        <v>0</v>
      </c>
      <c r="J51" s="467">
        <v>0</v>
      </c>
      <c r="K51" s="1668">
        <f>SUM(C51:J51)</f>
        <v>281859</v>
      </c>
      <c r="L51" s="466">
        <v>283925</v>
      </c>
    </row>
    <row r="52" spans="1:14" ht="22.5" x14ac:dyDescent="0.2">
      <c r="A52" s="1501" t="s">
        <v>298</v>
      </c>
      <c r="B52" s="627" t="s">
        <v>366</v>
      </c>
      <c r="C52" s="474"/>
      <c r="D52" s="474"/>
      <c r="E52" s="474"/>
      <c r="F52" s="474"/>
      <c r="G52" s="474"/>
      <c r="H52" s="474"/>
      <c r="I52" s="474"/>
      <c r="J52" s="474"/>
      <c r="K52" s="1668">
        <f>SUM(C52:J52)</f>
        <v>0</v>
      </c>
      <c r="L52" s="474"/>
    </row>
    <row r="53" spans="1:14" ht="12.75" customHeight="1" thickBot="1" x14ac:dyDescent="0.25">
      <c r="A53" s="1664" t="s">
        <v>717</v>
      </c>
      <c r="B53" s="1665" t="s">
        <v>33</v>
      </c>
      <c r="C53" s="1666">
        <f>SUM(C49:C52)</f>
        <v>459675</v>
      </c>
      <c r="D53" s="1666">
        <f t="shared" ref="D53:L53" si="5">SUM(D49:D52)</f>
        <v>5370</v>
      </c>
      <c r="E53" s="1666">
        <f t="shared" si="5"/>
        <v>82394</v>
      </c>
      <c r="F53" s="1666">
        <f t="shared" si="5"/>
        <v>180210</v>
      </c>
      <c r="G53" s="1666">
        <f t="shared" si="5"/>
        <v>0</v>
      </c>
      <c r="H53" s="1666">
        <f t="shared" si="5"/>
        <v>0</v>
      </c>
      <c r="I53" s="1666">
        <f t="shared" si="5"/>
        <v>0</v>
      </c>
      <c r="J53" s="1666">
        <f t="shared" si="5"/>
        <v>0</v>
      </c>
      <c r="K53" s="1666">
        <f t="shared" si="5"/>
        <v>727649</v>
      </c>
      <c r="L53" s="1666">
        <f t="shared" si="5"/>
        <v>740783</v>
      </c>
    </row>
    <row r="54" spans="1:14" ht="15.75" customHeight="1" thickTop="1" x14ac:dyDescent="0.2">
      <c r="A54" s="624" t="s">
        <v>611</v>
      </c>
      <c r="B54" s="625"/>
      <c r="C54" s="626"/>
      <c r="D54" s="626"/>
      <c r="E54" s="626"/>
      <c r="F54" s="626"/>
      <c r="G54" s="626"/>
      <c r="H54" s="626"/>
      <c r="I54" s="616"/>
      <c r="J54" s="616"/>
      <c r="K54" s="626"/>
      <c r="L54" s="626"/>
    </row>
    <row r="55" spans="1:14" x14ac:dyDescent="0.2">
      <c r="A55" s="1500" t="s">
        <v>1067</v>
      </c>
      <c r="B55" s="614">
        <v>2410</v>
      </c>
      <c r="C55" s="481">
        <v>1574497</v>
      </c>
      <c r="D55" s="481">
        <v>16953</v>
      </c>
      <c r="E55" s="481">
        <v>3325</v>
      </c>
      <c r="F55" s="481">
        <v>5439</v>
      </c>
      <c r="G55" s="481">
        <v>0</v>
      </c>
      <c r="H55" s="481">
        <v>0</v>
      </c>
      <c r="I55" s="467">
        <v>0</v>
      </c>
      <c r="J55" s="467">
        <v>0</v>
      </c>
      <c r="K55" s="1668">
        <f>SUM(C55:J55)</f>
        <v>1600214</v>
      </c>
      <c r="L55" s="481">
        <v>1609524</v>
      </c>
    </row>
    <row r="56" spans="1:14" ht="12.75" customHeight="1" x14ac:dyDescent="0.2">
      <c r="A56" s="1504" t="s">
        <v>376</v>
      </c>
      <c r="B56" s="628">
        <v>2490</v>
      </c>
      <c r="C56" s="466">
        <v>0</v>
      </c>
      <c r="D56" s="466">
        <v>0</v>
      </c>
      <c r="E56" s="466">
        <v>0</v>
      </c>
      <c r="F56" s="466">
        <v>0</v>
      </c>
      <c r="G56" s="466">
        <v>0</v>
      </c>
      <c r="H56" s="466">
        <v>0</v>
      </c>
      <c r="I56" s="467">
        <v>0</v>
      </c>
      <c r="J56" s="467">
        <v>0</v>
      </c>
      <c r="K56" s="1668">
        <f>SUM(C56:J56)</f>
        <v>0</v>
      </c>
      <c r="L56" s="466"/>
    </row>
    <row r="57" spans="1:14" s="343" customFormat="1" ht="12.75" customHeight="1" thickBot="1" x14ac:dyDescent="0.25">
      <c r="A57" s="1664" t="s">
        <v>263</v>
      </c>
      <c r="B57" s="1669" t="s">
        <v>34</v>
      </c>
      <c r="C57" s="1670">
        <f>SUM(C55:C56)</f>
        <v>1574497</v>
      </c>
      <c r="D57" s="1670">
        <f t="shared" ref="D57:K57" si="6">SUM(D55:D56)</f>
        <v>16953</v>
      </c>
      <c r="E57" s="1670">
        <f t="shared" si="6"/>
        <v>3325</v>
      </c>
      <c r="F57" s="1670">
        <f t="shared" si="6"/>
        <v>5439</v>
      </c>
      <c r="G57" s="1670">
        <f t="shared" si="6"/>
        <v>0</v>
      </c>
      <c r="H57" s="1670">
        <f t="shared" si="6"/>
        <v>0</v>
      </c>
      <c r="I57" s="1670">
        <f t="shared" si="6"/>
        <v>0</v>
      </c>
      <c r="J57" s="1670">
        <f t="shared" si="6"/>
        <v>0</v>
      </c>
      <c r="K57" s="1670">
        <f t="shared" si="6"/>
        <v>1600214</v>
      </c>
      <c r="L57" s="1666">
        <f>SUM(L55:L56)</f>
        <v>1609524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0" t="s">
        <v>1068</v>
      </c>
      <c r="B59" s="614">
        <v>2510</v>
      </c>
      <c r="C59" s="481">
        <v>68135</v>
      </c>
      <c r="D59" s="481">
        <v>0</v>
      </c>
      <c r="E59" s="481">
        <v>0</v>
      </c>
      <c r="F59" s="481">
        <v>615</v>
      </c>
      <c r="G59" s="481">
        <v>0</v>
      </c>
      <c r="H59" s="481">
        <v>0</v>
      </c>
      <c r="I59" s="467">
        <v>0</v>
      </c>
      <c r="J59" s="467">
        <v>0</v>
      </c>
      <c r="K59" s="1668">
        <f t="shared" ref="K59:K64" si="7">SUM(C59:J59)</f>
        <v>68750</v>
      </c>
      <c r="L59" s="481">
        <v>95098</v>
      </c>
      <c r="M59" s="609"/>
      <c r="N59" s="609"/>
    </row>
    <row r="60" spans="1:14" s="343" customFormat="1" x14ac:dyDescent="0.2">
      <c r="A60" s="1500" t="s">
        <v>463</v>
      </c>
      <c r="B60" s="614">
        <v>2520</v>
      </c>
      <c r="C60" s="466">
        <v>504842</v>
      </c>
      <c r="D60" s="466">
        <v>0</v>
      </c>
      <c r="E60" s="466">
        <v>267960</v>
      </c>
      <c r="F60" s="466">
        <v>41767</v>
      </c>
      <c r="G60" s="466">
        <v>0</v>
      </c>
      <c r="H60" s="466">
        <v>0</v>
      </c>
      <c r="I60" s="467">
        <v>0</v>
      </c>
      <c r="J60" s="467">
        <v>0</v>
      </c>
      <c r="K60" s="1668">
        <f t="shared" si="7"/>
        <v>814569</v>
      </c>
      <c r="L60" s="466">
        <v>896189</v>
      </c>
      <c r="M60" s="609"/>
      <c r="N60" s="609"/>
    </row>
    <row r="61" spans="1:14" s="343" customFormat="1" x14ac:dyDescent="0.2">
      <c r="A61" s="1500" t="s">
        <v>197</v>
      </c>
      <c r="B61" s="614">
        <v>2540</v>
      </c>
      <c r="C61" s="466">
        <v>0</v>
      </c>
      <c r="D61" s="466">
        <v>0</v>
      </c>
      <c r="E61" s="466">
        <v>0</v>
      </c>
      <c r="F61" s="466">
        <v>0</v>
      </c>
      <c r="G61" s="466">
        <v>0</v>
      </c>
      <c r="H61" s="466">
        <v>0</v>
      </c>
      <c r="I61" s="467">
        <v>0</v>
      </c>
      <c r="J61" s="467">
        <v>0</v>
      </c>
      <c r="K61" s="1668">
        <f t="shared" si="7"/>
        <v>0</v>
      </c>
      <c r="L61" s="466"/>
      <c r="M61" s="609"/>
      <c r="N61" s="609"/>
    </row>
    <row r="62" spans="1:14" s="343" customFormat="1" x14ac:dyDescent="0.2">
      <c r="A62" s="1500" t="s">
        <v>953</v>
      </c>
      <c r="B62" s="614">
        <v>2550</v>
      </c>
      <c r="C62" s="466">
        <v>0</v>
      </c>
      <c r="D62" s="466">
        <v>0</v>
      </c>
      <c r="E62" s="466">
        <v>0</v>
      </c>
      <c r="F62" s="466">
        <v>0</v>
      </c>
      <c r="G62" s="466">
        <v>0</v>
      </c>
      <c r="H62" s="466">
        <v>0</v>
      </c>
      <c r="I62" s="467">
        <v>0</v>
      </c>
      <c r="J62" s="467">
        <v>0</v>
      </c>
      <c r="K62" s="1668">
        <f t="shared" si="7"/>
        <v>0</v>
      </c>
      <c r="L62" s="466">
        <v>7048</v>
      </c>
      <c r="M62" s="609"/>
      <c r="N62" s="609"/>
    </row>
    <row r="63" spans="1:14" s="609" customFormat="1" x14ac:dyDescent="0.2">
      <c r="A63" s="1500" t="s">
        <v>100</v>
      </c>
      <c r="B63" s="614">
        <v>2560</v>
      </c>
      <c r="C63" s="466">
        <v>547467</v>
      </c>
      <c r="D63" s="466">
        <v>1181</v>
      </c>
      <c r="E63" s="466">
        <v>2560</v>
      </c>
      <c r="F63" s="466">
        <v>1059660</v>
      </c>
      <c r="G63" s="466">
        <v>2367</v>
      </c>
      <c r="H63" s="466">
        <v>0</v>
      </c>
      <c r="I63" s="467">
        <v>5514</v>
      </c>
      <c r="J63" s="467">
        <v>0</v>
      </c>
      <c r="K63" s="1668">
        <f t="shared" si="7"/>
        <v>1618749</v>
      </c>
      <c r="L63" s="466">
        <v>1925720</v>
      </c>
    </row>
    <row r="64" spans="1:14" s="609" customFormat="1" x14ac:dyDescent="0.2">
      <c r="A64" s="1505" t="s">
        <v>101</v>
      </c>
      <c r="B64" s="630">
        <v>2570</v>
      </c>
      <c r="C64" s="481">
        <v>0</v>
      </c>
      <c r="D64" s="481">
        <v>0</v>
      </c>
      <c r="E64" s="481">
        <v>0</v>
      </c>
      <c r="F64" s="481">
        <v>0</v>
      </c>
      <c r="G64" s="481">
        <v>0</v>
      </c>
      <c r="H64" s="481">
        <v>0</v>
      </c>
      <c r="I64" s="467">
        <v>0</v>
      </c>
      <c r="J64" s="467">
        <v>0</v>
      </c>
      <c r="K64" s="1668">
        <f t="shared" si="7"/>
        <v>0</v>
      </c>
      <c r="L64" s="481"/>
    </row>
    <row r="65" spans="1:14" s="343" customFormat="1" ht="12.75" customHeight="1" thickBot="1" x14ac:dyDescent="0.25">
      <c r="A65" s="1664" t="s">
        <v>719</v>
      </c>
      <c r="B65" s="1665" t="s">
        <v>35</v>
      </c>
      <c r="C65" s="1666">
        <f>SUM(C59:C64)</f>
        <v>1120444</v>
      </c>
      <c r="D65" s="1666">
        <f t="shared" ref="D65:L65" si="8">SUM(D59:D64)</f>
        <v>1181</v>
      </c>
      <c r="E65" s="1666">
        <f t="shared" si="8"/>
        <v>270520</v>
      </c>
      <c r="F65" s="1666">
        <f t="shared" si="8"/>
        <v>1102042</v>
      </c>
      <c r="G65" s="1666">
        <f t="shared" si="8"/>
        <v>2367</v>
      </c>
      <c r="H65" s="1666">
        <f t="shared" si="8"/>
        <v>0</v>
      </c>
      <c r="I65" s="1666">
        <f t="shared" si="8"/>
        <v>5514</v>
      </c>
      <c r="J65" s="1666">
        <f t="shared" si="8"/>
        <v>0</v>
      </c>
      <c r="K65" s="1666">
        <f t="shared" si="8"/>
        <v>2502068</v>
      </c>
      <c r="L65" s="1666">
        <f t="shared" si="8"/>
        <v>2924055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0" t="s">
        <v>1060</v>
      </c>
      <c r="B67" s="614">
        <v>2610</v>
      </c>
      <c r="C67" s="466">
        <v>0</v>
      </c>
      <c r="D67" s="466">
        <v>0</v>
      </c>
      <c r="E67" s="466">
        <v>0</v>
      </c>
      <c r="F67" s="466">
        <v>0</v>
      </c>
      <c r="G67" s="466">
        <v>0</v>
      </c>
      <c r="H67" s="466">
        <v>0</v>
      </c>
      <c r="I67" s="467">
        <v>0</v>
      </c>
      <c r="J67" s="467">
        <v>0</v>
      </c>
      <c r="K67" s="1668">
        <f>SUM(C67:J67)</f>
        <v>0</v>
      </c>
      <c r="L67" s="481"/>
      <c r="M67" s="609"/>
      <c r="N67" s="609"/>
    </row>
    <row r="68" spans="1:14" s="343" customFormat="1" x14ac:dyDescent="0.2">
      <c r="A68" s="1500" t="s">
        <v>607</v>
      </c>
      <c r="B68" s="614">
        <v>2620</v>
      </c>
      <c r="C68" s="466">
        <v>197149</v>
      </c>
      <c r="D68" s="466">
        <v>2046</v>
      </c>
      <c r="E68" s="466">
        <v>48723</v>
      </c>
      <c r="F68" s="466">
        <v>32917</v>
      </c>
      <c r="G68" s="466">
        <v>0</v>
      </c>
      <c r="H68" s="466">
        <v>0</v>
      </c>
      <c r="I68" s="467">
        <v>0</v>
      </c>
      <c r="J68" s="467">
        <v>0</v>
      </c>
      <c r="K68" s="1668">
        <f>SUM(C68:J68)</f>
        <v>280835</v>
      </c>
      <c r="L68" s="466">
        <v>251824</v>
      </c>
      <c r="M68" s="609"/>
      <c r="N68" s="609"/>
    </row>
    <row r="69" spans="1:14" s="343" customFormat="1" x14ac:dyDescent="0.2">
      <c r="A69" s="1500" t="s">
        <v>1061</v>
      </c>
      <c r="B69" s="614">
        <v>2630</v>
      </c>
      <c r="C69" s="466">
        <v>0</v>
      </c>
      <c r="D69" s="466">
        <v>0</v>
      </c>
      <c r="E69" s="466">
        <v>0</v>
      </c>
      <c r="F69" s="466">
        <v>0</v>
      </c>
      <c r="G69" s="466">
        <v>0</v>
      </c>
      <c r="H69" s="466">
        <v>0</v>
      </c>
      <c r="I69" s="467">
        <v>0</v>
      </c>
      <c r="J69" s="467">
        <v>0</v>
      </c>
      <c r="K69" s="1668">
        <f>SUM(C69:J69)</f>
        <v>0</v>
      </c>
      <c r="L69" s="466"/>
      <c r="M69" s="609"/>
      <c r="N69" s="609"/>
    </row>
    <row r="70" spans="1:14" s="343" customFormat="1" x14ac:dyDescent="0.2">
      <c r="A70" s="1500" t="s">
        <v>403</v>
      </c>
      <c r="B70" s="614">
        <v>2640</v>
      </c>
      <c r="C70" s="466">
        <v>7088</v>
      </c>
      <c r="D70" s="466">
        <v>804</v>
      </c>
      <c r="E70" s="466">
        <v>3206</v>
      </c>
      <c r="F70" s="466">
        <v>0</v>
      </c>
      <c r="G70" s="466">
        <v>0</v>
      </c>
      <c r="H70" s="466">
        <v>0</v>
      </c>
      <c r="I70" s="467">
        <v>0</v>
      </c>
      <c r="J70" s="467">
        <v>0</v>
      </c>
      <c r="K70" s="1668">
        <f>SUM(C70:J70)</f>
        <v>11098</v>
      </c>
      <c r="L70" s="466">
        <v>9355</v>
      </c>
      <c r="M70" s="609"/>
      <c r="N70" s="609"/>
    </row>
    <row r="71" spans="1:14" s="343" customFormat="1" x14ac:dyDescent="0.2">
      <c r="A71" s="1500" t="s">
        <v>404</v>
      </c>
      <c r="B71" s="614">
        <v>2660</v>
      </c>
      <c r="C71" s="466">
        <v>441014</v>
      </c>
      <c r="D71" s="466">
        <v>2465</v>
      </c>
      <c r="E71" s="466">
        <v>344378</v>
      </c>
      <c r="F71" s="466">
        <v>48061</v>
      </c>
      <c r="G71" s="466">
        <v>21374</v>
      </c>
      <c r="H71" s="466">
        <v>0</v>
      </c>
      <c r="I71" s="467">
        <v>23113</v>
      </c>
      <c r="J71" s="467">
        <v>0</v>
      </c>
      <c r="K71" s="1668">
        <f>SUM(C71:J71)</f>
        <v>880405</v>
      </c>
      <c r="L71" s="466">
        <v>1005183</v>
      </c>
      <c r="M71" s="609"/>
      <c r="N71" s="609"/>
    </row>
    <row r="72" spans="1:14" s="343" customFormat="1" ht="12.75" customHeight="1" thickBot="1" x14ac:dyDescent="0.25">
      <c r="A72" s="1664" t="s">
        <v>37</v>
      </c>
      <c r="B72" s="1671" t="s">
        <v>36</v>
      </c>
      <c r="C72" s="1666">
        <f>SUM(C67:C71)</f>
        <v>645251</v>
      </c>
      <c r="D72" s="1666">
        <f t="shared" ref="D72:K72" si="9">SUM(D67:D71)</f>
        <v>5315</v>
      </c>
      <c r="E72" s="1666">
        <f t="shared" si="9"/>
        <v>396307</v>
      </c>
      <c r="F72" s="1666">
        <f t="shared" si="9"/>
        <v>80978</v>
      </c>
      <c r="G72" s="1666">
        <f t="shared" si="9"/>
        <v>21374</v>
      </c>
      <c r="H72" s="1666">
        <f t="shared" si="9"/>
        <v>0</v>
      </c>
      <c r="I72" s="1666">
        <f t="shared" si="9"/>
        <v>23113</v>
      </c>
      <c r="J72" s="1666">
        <f t="shared" si="9"/>
        <v>0</v>
      </c>
      <c r="K72" s="1666">
        <f t="shared" si="9"/>
        <v>1172338</v>
      </c>
      <c r="L72" s="1666">
        <f>SUM(L67:L71)</f>
        <v>1266362</v>
      </c>
      <c r="M72" s="609"/>
      <c r="N72" s="609"/>
    </row>
    <row r="73" spans="1:14" s="343" customFormat="1" ht="14.25" thickTop="1" thickBot="1" x14ac:dyDescent="0.25">
      <c r="A73" s="1506" t="s">
        <v>980</v>
      </c>
      <c r="B73" s="632" t="s">
        <v>574</v>
      </c>
      <c r="C73" s="573">
        <v>0</v>
      </c>
      <c r="D73" s="573">
        <v>0</v>
      </c>
      <c r="E73" s="573">
        <v>0</v>
      </c>
      <c r="F73" s="573">
        <v>0</v>
      </c>
      <c r="G73" s="573">
        <v>0</v>
      </c>
      <c r="H73" s="573">
        <v>0</v>
      </c>
      <c r="I73" s="531">
        <v>0</v>
      </c>
      <c r="J73" s="531">
        <v>0</v>
      </c>
      <c r="K73" s="1666">
        <f>SUM(C73:J73)</f>
        <v>0</v>
      </c>
      <c r="L73" s="576">
        <v>2000</v>
      </c>
      <c r="M73" s="609"/>
      <c r="N73" s="609"/>
    </row>
    <row r="74" spans="1:14" ht="12.75" customHeight="1" thickTop="1" thickBot="1" x14ac:dyDescent="0.25">
      <c r="A74" s="1664" t="s">
        <v>811</v>
      </c>
      <c r="B74" s="1672">
        <v>2000</v>
      </c>
      <c r="C74" s="1673">
        <f>SUM(C42,C47,C53,C57,C65,C72,C73)</f>
        <v>6076242</v>
      </c>
      <c r="D74" s="1673">
        <f t="shared" ref="D74:K74" si="10">SUM(D42,D47,D53,D57,D65,D72,D73)</f>
        <v>102494</v>
      </c>
      <c r="E74" s="1673">
        <f t="shared" si="10"/>
        <v>1840352</v>
      </c>
      <c r="F74" s="1673">
        <f t="shared" si="10"/>
        <v>1577135</v>
      </c>
      <c r="G74" s="1673">
        <f t="shared" si="10"/>
        <v>23741</v>
      </c>
      <c r="H74" s="1673">
        <f t="shared" si="10"/>
        <v>0</v>
      </c>
      <c r="I74" s="1673">
        <f t="shared" si="10"/>
        <v>29318</v>
      </c>
      <c r="J74" s="1673">
        <f t="shared" si="10"/>
        <v>0</v>
      </c>
      <c r="K74" s="1673">
        <f t="shared" si="10"/>
        <v>9649282</v>
      </c>
      <c r="L74" s="1673">
        <f>SUM(L42,L47,L53,L57,L65,L72,L73)</f>
        <v>10391114</v>
      </c>
    </row>
    <row r="75" spans="1:14" s="259" customFormat="1" ht="15.75" customHeight="1" thickTop="1" thickBot="1" x14ac:dyDescent="0.25">
      <c r="A75" s="1606" t="s">
        <v>47</v>
      </c>
      <c r="B75" s="1607" t="s">
        <v>575</v>
      </c>
      <c r="C75" s="573">
        <v>127979</v>
      </c>
      <c r="D75" s="573">
        <v>10233</v>
      </c>
      <c r="E75" s="573">
        <v>81858</v>
      </c>
      <c r="F75" s="573">
        <v>44187</v>
      </c>
      <c r="G75" s="573">
        <v>0</v>
      </c>
      <c r="H75" s="573">
        <v>0</v>
      </c>
      <c r="I75" s="531">
        <v>0</v>
      </c>
      <c r="J75" s="531">
        <v>0</v>
      </c>
      <c r="K75" s="1666">
        <f>SUM(C75:J75)</f>
        <v>264257</v>
      </c>
      <c r="L75" s="576">
        <v>238692</v>
      </c>
      <c r="M75" s="613"/>
      <c r="N75" s="613"/>
    </row>
    <row r="76" spans="1:14" s="633" customFormat="1" ht="15.75" customHeight="1" thickTop="1" x14ac:dyDescent="0.2">
      <c r="A76" s="1608" t="s">
        <v>365</v>
      </c>
      <c r="B76" s="1605"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0" t="s">
        <v>496</v>
      </c>
      <c r="B78" s="614">
        <v>4110</v>
      </c>
      <c r="C78" s="616"/>
      <c r="D78" s="616"/>
      <c r="E78" s="481">
        <v>0</v>
      </c>
      <c r="F78" s="616"/>
      <c r="G78" s="616"/>
      <c r="H78" s="634">
        <v>0</v>
      </c>
      <c r="I78" s="477"/>
      <c r="J78" s="477"/>
      <c r="K78" s="1667">
        <f t="shared" ref="K78:K83" si="11">SUM(C78:J78)</f>
        <v>0</v>
      </c>
      <c r="L78" s="481"/>
    </row>
    <row r="79" spans="1:14" x14ac:dyDescent="0.2">
      <c r="A79" s="1500" t="s">
        <v>304</v>
      </c>
      <c r="B79" s="614">
        <v>4120</v>
      </c>
      <c r="C79" s="616"/>
      <c r="D79" s="616"/>
      <c r="E79" s="466">
        <v>185</v>
      </c>
      <c r="F79" s="616"/>
      <c r="G79" s="616"/>
      <c r="H79" s="466">
        <v>0</v>
      </c>
      <c r="I79" s="477"/>
      <c r="J79" s="477"/>
      <c r="K79" s="1667">
        <f t="shared" si="11"/>
        <v>185</v>
      </c>
      <c r="L79" s="466"/>
    </row>
    <row r="80" spans="1:14" x14ac:dyDescent="0.2">
      <c r="A80" s="1500" t="s">
        <v>305</v>
      </c>
      <c r="B80" s="614">
        <v>4130</v>
      </c>
      <c r="C80" s="616"/>
      <c r="D80" s="616"/>
      <c r="E80" s="466">
        <v>0</v>
      </c>
      <c r="F80" s="616"/>
      <c r="G80" s="616"/>
      <c r="H80" s="466">
        <v>0</v>
      </c>
      <c r="I80" s="477"/>
      <c r="J80" s="477"/>
      <c r="K80" s="1667">
        <f t="shared" si="11"/>
        <v>0</v>
      </c>
      <c r="L80" s="466"/>
    </row>
    <row r="81" spans="1:12" x14ac:dyDescent="0.2">
      <c r="A81" s="1500" t="s">
        <v>697</v>
      </c>
      <c r="B81" s="614">
        <v>4140</v>
      </c>
      <c r="C81" s="616"/>
      <c r="D81" s="616"/>
      <c r="E81" s="466">
        <v>0</v>
      </c>
      <c r="F81" s="616"/>
      <c r="G81" s="616"/>
      <c r="H81" s="466">
        <v>0</v>
      </c>
      <c r="I81" s="477"/>
      <c r="J81" s="477"/>
      <c r="K81" s="1667">
        <f t="shared" si="11"/>
        <v>0</v>
      </c>
      <c r="L81" s="466"/>
    </row>
    <row r="82" spans="1:12" x14ac:dyDescent="0.2">
      <c r="A82" s="1500" t="s">
        <v>86</v>
      </c>
      <c r="B82" s="614">
        <v>4170</v>
      </c>
      <c r="C82" s="616"/>
      <c r="D82" s="616"/>
      <c r="E82" s="466">
        <v>0</v>
      </c>
      <c r="F82" s="616"/>
      <c r="G82" s="616"/>
      <c r="H82" s="466">
        <v>0</v>
      </c>
      <c r="I82" s="477"/>
      <c r="J82" s="477"/>
      <c r="K82" s="1667">
        <f t="shared" si="11"/>
        <v>0</v>
      </c>
      <c r="L82" s="466"/>
    </row>
    <row r="83" spans="1:12" x14ac:dyDescent="0.2">
      <c r="A83" s="1504" t="s">
        <v>698</v>
      </c>
      <c r="B83" s="628">
        <v>4190</v>
      </c>
      <c r="C83" s="616"/>
      <c r="D83" s="616"/>
      <c r="E83" s="466">
        <v>0</v>
      </c>
      <c r="F83" s="616"/>
      <c r="G83" s="616"/>
      <c r="H83" s="466">
        <v>6478</v>
      </c>
      <c r="I83" s="477"/>
      <c r="J83" s="477"/>
      <c r="K83" s="1667">
        <f t="shared" si="11"/>
        <v>6478</v>
      </c>
      <c r="L83" s="466">
        <v>20746</v>
      </c>
    </row>
    <row r="84" spans="1:12" ht="13.5" thickBot="1" x14ac:dyDescent="0.25">
      <c r="A84" s="1664" t="s">
        <v>1485</v>
      </c>
      <c r="B84" s="1674">
        <v>4100</v>
      </c>
      <c r="C84" s="616"/>
      <c r="D84" s="616"/>
      <c r="E84" s="1666">
        <f>SUM(E78:E83)</f>
        <v>185</v>
      </c>
      <c r="F84" s="616"/>
      <c r="G84" s="616"/>
      <c r="H84" s="1666">
        <f>SUM(H78:H83)</f>
        <v>6478</v>
      </c>
      <c r="I84" s="477"/>
      <c r="J84" s="477"/>
      <c r="K84" s="1666">
        <f>SUM(K78:K83)</f>
        <v>6663</v>
      </c>
      <c r="L84" s="1666">
        <f>SUM(L78:L83)</f>
        <v>20746</v>
      </c>
    </row>
    <row r="85" spans="1:12" ht="12.75" customHeight="1" thickTop="1" thickBot="1" x14ac:dyDescent="0.25">
      <c r="A85" s="1507" t="s">
        <v>255</v>
      </c>
      <c r="B85" s="635">
        <v>4210</v>
      </c>
      <c r="C85" s="616"/>
      <c r="D85" s="616"/>
      <c r="E85" s="636"/>
      <c r="F85" s="616"/>
      <c r="G85" s="616"/>
      <c r="H85" s="535">
        <v>0</v>
      </c>
      <c r="I85" s="477"/>
      <c r="J85" s="477"/>
      <c r="K85" s="1673">
        <f>H85</f>
        <v>0</v>
      </c>
      <c r="L85" s="530"/>
    </row>
    <row r="86" spans="1:12" ht="12.75" customHeight="1" thickTop="1" thickBot="1" x14ac:dyDescent="0.25">
      <c r="A86" s="1508" t="s">
        <v>699</v>
      </c>
      <c r="B86" s="637">
        <v>4220</v>
      </c>
      <c r="C86" s="616"/>
      <c r="D86" s="616"/>
      <c r="E86" s="638"/>
      <c r="F86" s="616"/>
      <c r="G86" s="616"/>
      <c r="H86" s="467">
        <v>0</v>
      </c>
      <c r="I86" s="477"/>
      <c r="J86" s="477"/>
      <c r="K86" s="1673">
        <f t="shared" ref="K86:K98" si="12">H86</f>
        <v>0</v>
      </c>
      <c r="L86" s="530"/>
    </row>
    <row r="87" spans="1:12" ht="14.25" thickTop="1" thickBot="1" x14ac:dyDescent="0.25">
      <c r="A87" s="1509" t="s">
        <v>700</v>
      </c>
      <c r="B87" s="639">
        <v>4230</v>
      </c>
      <c r="C87" s="616"/>
      <c r="D87" s="616"/>
      <c r="E87" s="638"/>
      <c r="F87" s="616"/>
      <c r="G87" s="616"/>
      <c r="H87" s="467">
        <v>0</v>
      </c>
      <c r="I87" s="477"/>
      <c r="J87" s="477"/>
      <c r="K87" s="1673">
        <f t="shared" si="12"/>
        <v>0</v>
      </c>
      <c r="L87" s="530"/>
    </row>
    <row r="88" spans="1:12" ht="12.75" customHeight="1" thickTop="1" thickBot="1" x14ac:dyDescent="0.25">
      <c r="A88" s="1509" t="s">
        <v>765</v>
      </c>
      <c r="B88" s="639">
        <v>4240</v>
      </c>
      <c r="C88" s="616"/>
      <c r="D88" s="616"/>
      <c r="E88" s="638"/>
      <c r="F88" s="616"/>
      <c r="G88" s="616"/>
      <c r="H88" s="467">
        <v>0</v>
      </c>
      <c r="I88" s="477"/>
      <c r="J88" s="477"/>
      <c r="K88" s="1673">
        <f t="shared" si="12"/>
        <v>0</v>
      </c>
      <c r="L88" s="530"/>
    </row>
    <row r="89" spans="1:12" ht="12.75" customHeight="1" thickTop="1" thickBot="1" x14ac:dyDescent="0.25">
      <c r="A89" s="1509" t="s">
        <v>701</v>
      </c>
      <c r="B89" s="639">
        <v>4270</v>
      </c>
      <c r="C89" s="616"/>
      <c r="D89" s="616"/>
      <c r="E89" s="638"/>
      <c r="F89" s="616"/>
      <c r="G89" s="616"/>
      <c r="H89" s="467">
        <v>0</v>
      </c>
      <c r="I89" s="477"/>
      <c r="J89" s="477"/>
      <c r="K89" s="1673">
        <f t="shared" si="12"/>
        <v>0</v>
      </c>
      <c r="L89" s="530"/>
    </row>
    <row r="90" spans="1:12" ht="12.75" customHeight="1" thickTop="1" thickBot="1" x14ac:dyDescent="0.25">
      <c r="A90" s="1509" t="s">
        <v>686</v>
      </c>
      <c r="B90" s="639">
        <v>4280</v>
      </c>
      <c r="C90" s="616"/>
      <c r="D90" s="616"/>
      <c r="E90" s="638"/>
      <c r="F90" s="616"/>
      <c r="G90" s="616"/>
      <c r="H90" s="467">
        <v>0</v>
      </c>
      <c r="I90" s="477"/>
      <c r="J90" s="477"/>
      <c r="K90" s="1673">
        <f t="shared" si="12"/>
        <v>0</v>
      </c>
      <c r="L90" s="530"/>
    </row>
    <row r="91" spans="1:12" ht="12.75" customHeight="1" thickTop="1" thickBot="1" x14ac:dyDescent="0.25">
      <c r="A91" s="1509" t="s">
        <v>687</v>
      </c>
      <c r="B91" s="639">
        <v>4290</v>
      </c>
      <c r="C91" s="616"/>
      <c r="D91" s="616"/>
      <c r="E91" s="638"/>
      <c r="F91" s="616"/>
      <c r="G91" s="616"/>
      <c r="H91" s="467">
        <v>0</v>
      </c>
      <c r="I91" s="477"/>
      <c r="J91" s="477"/>
      <c r="K91" s="1673">
        <f t="shared" si="12"/>
        <v>0</v>
      </c>
      <c r="L91" s="530"/>
    </row>
    <row r="92" spans="1:12" ht="14.25" thickTop="1" thickBot="1" x14ac:dyDescent="0.25">
      <c r="A92" s="1676" t="s">
        <v>1560</v>
      </c>
      <c r="B92" s="1674">
        <v>4200</v>
      </c>
      <c r="C92" s="616"/>
      <c r="D92" s="616"/>
      <c r="E92" s="638"/>
      <c r="F92" s="616"/>
      <c r="G92" s="616"/>
      <c r="H92" s="1666">
        <f>SUM(H85:H91)</f>
        <v>0</v>
      </c>
      <c r="I92" s="477"/>
      <c r="J92" s="477"/>
      <c r="K92" s="1673">
        <f t="shared" si="12"/>
        <v>0</v>
      </c>
      <c r="L92" s="1666">
        <f>SUM(L85:L91)</f>
        <v>0</v>
      </c>
    </row>
    <row r="93" spans="1:12" ht="14.25" thickTop="1" thickBot="1" x14ac:dyDescent="0.25">
      <c r="A93" s="1508" t="s">
        <v>688</v>
      </c>
      <c r="B93" s="640">
        <v>4310</v>
      </c>
      <c r="C93" s="616"/>
      <c r="D93" s="616"/>
      <c r="E93" s="638"/>
      <c r="F93" s="616"/>
      <c r="G93" s="616"/>
      <c r="H93" s="641">
        <v>0</v>
      </c>
      <c r="I93" s="477"/>
      <c r="J93" s="477"/>
      <c r="K93" s="1673">
        <f t="shared" si="12"/>
        <v>0</v>
      </c>
      <c r="L93" s="532"/>
    </row>
    <row r="94" spans="1:12" ht="12.75" customHeight="1" thickTop="1" thickBot="1" x14ac:dyDescent="0.25">
      <c r="A94" s="1509" t="s">
        <v>689</v>
      </c>
      <c r="B94" s="639">
        <v>4320</v>
      </c>
      <c r="C94" s="616"/>
      <c r="D94" s="616"/>
      <c r="E94" s="638"/>
      <c r="F94" s="616"/>
      <c r="G94" s="616"/>
      <c r="H94" s="467">
        <v>0</v>
      </c>
      <c r="I94" s="477"/>
      <c r="J94" s="477"/>
      <c r="K94" s="1673">
        <f t="shared" si="12"/>
        <v>0</v>
      </c>
      <c r="L94" s="530"/>
    </row>
    <row r="95" spans="1:12" ht="15" customHeight="1" thickTop="1" thickBot="1" x14ac:dyDescent="0.25">
      <c r="A95" s="1509" t="s">
        <v>1488</v>
      </c>
      <c r="B95" s="639">
        <v>4330</v>
      </c>
      <c r="C95" s="616"/>
      <c r="D95" s="616"/>
      <c r="E95" s="638"/>
      <c r="F95" s="616"/>
      <c r="G95" s="616"/>
      <c r="H95" s="467">
        <v>0</v>
      </c>
      <c r="I95" s="477"/>
      <c r="J95" s="477"/>
      <c r="K95" s="1673">
        <f t="shared" si="12"/>
        <v>0</v>
      </c>
      <c r="L95" s="530"/>
    </row>
    <row r="96" spans="1:12" ht="14.25" thickTop="1" thickBot="1" x14ac:dyDescent="0.25">
      <c r="A96" s="1509" t="s">
        <v>690</v>
      </c>
      <c r="B96" s="639">
        <v>4340</v>
      </c>
      <c r="C96" s="616"/>
      <c r="D96" s="616"/>
      <c r="E96" s="638"/>
      <c r="F96" s="616"/>
      <c r="G96" s="616"/>
      <c r="H96" s="467">
        <v>0</v>
      </c>
      <c r="I96" s="477"/>
      <c r="J96" s="477"/>
      <c r="K96" s="1673">
        <f t="shared" si="12"/>
        <v>0</v>
      </c>
      <c r="L96" s="530"/>
    </row>
    <row r="97" spans="1:14" ht="12.75" customHeight="1" thickTop="1" thickBot="1" x14ac:dyDescent="0.25">
      <c r="A97" s="1509" t="s">
        <v>763</v>
      </c>
      <c r="B97" s="639">
        <v>4370</v>
      </c>
      <c r="C97" s="616"/>
      <c r="D97" s="616"/>
      <c r="E97" s="638"/>
      <c r="F97" s="616"/>
      <c r="G97" s="616"/>
      <c r="H97" s="467">
        <v>0</v>
      </c>
      <c r="I97" s="477"/>
      <c r="J97" s="477"/>
      <c r="K97" s="1673">
        <f t="shared" si="12"/>
        <v>0</v>
      </c>
      <c r="L97" s="530"/>
    </row>
    <row r="98" spans="1:14" ht="14.25" thickTop="1" thickBot="1" x14ac:dyDescent="0.25">
      <c r="A98" s="1509" t="s">
        <v>764</v>
      </c>
      <c r="B98" s="639">
        <v>4380</v>
      </c>
      <c r="C98" s="616"/>
      <c r="D98" s="616"/>
      <c r="E98" s="642"/>
      <c r="F98" s="616"/>
      <c r="G98" s="616"/>
      <c r="H98" s="467">
        <v>0</v>
      </c>
      <c r="I98" s="477"/>
      <c r="J98" s="477"/>
      <c r="K98" s="1673">
        <f t="shared" si="12"/>
        <v>0</v>
      </c>
      <c r="L98" s="530"/>
    </row>
    <row r="99" spans="1:14" ht="14.25" thickTop="1" thickBot="1" x14ac:dyDescent="0.25">
      <c r="A99" s="1509" t="s">
        <v>367</v>
      </c>
      <c r="B99" s="639">
        <v>4390</v>
      </c>
      <c r="C99" s="616"/>
      <c r="D99" s="616"/>
      <c r="E99" s="532">
        <v>0</v>
      </c>
      <c r="F99" s="616"/>
      <c r="G99" s="616"/>
      <c r="H99" s="467">
        <v>0</v>
      </c>
      <c r="I99" s="477"/>
      <c r="J99" s="477"/>
      <c r="K99" s="1673">
        <f>SUM(E99,H99)</f>
        <v>0</v>
      </c>
      <c r="L99" s="530"/>
    </row>
    <row r="100" spans="1:14" ht="14.25" thickTop="1" thickBot="1" x14ac:dyDescent="0.25">
      <c r="A100" s="1676" t="s">
        <v>1486</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6" t="s">
        <v>1489</v>
      </c>
      <c r="B101" s="643" t="s">
        <v>931</v>
      </c>
      <c r="C101" s="616"/>
      <c r="D101" s="616"/>
      <c r="E101" s="531">
        <v>0</v>
      </c>
      <c r="F101" s="616"/>
      <c r="G101" s="616"/>
      <c r="H101" s="531">
        <v>0</v>
      </c>
      <c r="I101" s="477"/>
      <c r="J101" s="477"/>
      <c r="K101" s="1675">
        <f>SUM(C101:J101)</f>
        <v>0</v>
      </c>
      <c r="L101" s="530"/>
    </row>
    <row r="102" spans="1:14" ht="12.75" customHeight="1" thickTop="1" thickBot="1" x14ac:dyDescent="0.25">
      <c r="A102" s="1664" t="s">
        <v>1487</v>
      </c>
      <c r="B102" s="1674">
        <v>4000</v>
      </c>
      <c r="C102" s="616"/>
      <c r="D102" s="616"/>
      <c r="E102" s="1673">
        <f>SUM(E84,E92,E100,E101)</f>
        <v>185</v>
      </c>
      <c r="F102" s="616"/>
      <c r="G102" s="616"/>
      <c r="H102" s="1673">
        <f>SUM(H84,H92,H100,H101)</f>
        <v>6478</v>
      </c>
      <c r="I102" s="477"/>
      <c r="J102" s="477"/>
      <c r="K102" s="1673">
        <f>SUM(K84,K92,K100,K101)</f>
        <v>6663</v>
      </c>
      <c r="L102" s="1673">
        <f>SUM(L84,L92,L100,L101)</f>
        <v>20746</v>
      </c>
    </row>
    <row r="103" spans="1:14" s="633" customFormat="1" ht="15.75" customHeight="1" thickTop="1" x14ac:dyDescent="0.2">
      <c r="A103" s="1608" t="s">
        <v>513</v>
      </c>
      <c r="B103" s="1605"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0" t="s">
        <v>87</v>
      </c>
      <c r="B105" s="614">
        <v>5110</v>
      </c>
      <c r="C105" s="616"/>
      <c r="D105" s="616"/>
      <c r="E105" s="616"/>
      <c r="F105" s="616"/>
      <c r="G105" s="616"/>
      <c r="H105" s="481">
        <v>0</v>
      </c>
      <c r="I105" s="468"/>
      <c r="J105" s="468"/>
      <c r="K105" s="1667">
        <f>H105</f>
        <v>0</v>
      </c>
      <c r="L105" s="481"/>
      <c r="M105" s="210"/>
      <c r="N105" s="210"/>
    </row>
    <row r="106" spans="1:14" s="597" customFormat="1" x14ac:dyDescent="0.2">
      <c r="A106" s="1500" t="s">
        <v>88</v>
      </c>
      <c r="B106" s="614">
        <v>5120</v>
      </c>
      <c r="C106" s="616"/>
      <c r="D106" s="616"/>
      <c r="E106" s="616"/>
      <c r="F106" s="616"/>
      <c r="G106" s="616"/>
      <c r="H106" s="466">
        <v>0</v>
      </c>
      <c r="I106" s="468"/>
      <c r="J106" s="468"/>
      <c r="K106" s="1667">
        <f>H106</f>
        <v>0</v>
      </c>
      <c r="L106" s="466"/>
      <c r="M106" s="210"/>
      <c r="N106" s="210"/>
    </row>
    <row r="107" spans="1:14" s="597" customFormat="1" ht="12.75" customHeight="1" x14ac:dyDescent="0.2">
      <c r="A107" s="1500" t="s">
        <v>1170</v>
      </c>
      <c r="B107" s="614">
        <v>5130</v>
      </c>
      <c r="C107" s="616"/>
      <c r="D107" s="616"/>
      <c r="E107" s="616"/>
      <c r="F107" s="616"/>
      <c r="G107" s="616"/>
      <c r="H107" s="466">
        <v>0</v>
      </c>
      <c r="I107" s="468"/>
      <c r="J107" s="468"/>
      <c r="K107" s="1667">
        <f>H107</f>
        <v>0</v>
      </c>
      <c r="L107" s="466"/>
      <c r="M107" s="210"/>
      <c r="N107" s="210"/>
    </row>
    <row r="108" spans="1:14" s="597" customFormat="1" x14ac:dyDescent="0.2">
      <c r="A108" s="1500" t="s">
        <v>89</v>
      </c>
      <c r="B108" s="614" t="s">
        <v>589</v>
      </c>
      <c r="C108" s="616"/>
      <c r="D108" s="616"/>
      <c r="E108" s="616"/>
      <c r="F108" s="616"/>
      <c r="G108" s="616"/>
      <c r="H108" s="466">
        <v>0</v>
      </c>
      <c r="I108" s="468"/>
      <c r="J108" s="468"/>
      <c r="K108" s="1667">
        <f>H108</f>
        <v>0</v>
      </c>
      <c r="L108" s="466"/>
      <c r="M108" s="210"/>
      <c r="N108" s="210"/>
    </row>
    <row r="109" spans="1:14" s="597" customFormat="1" x14ac:dyDescent="0.2">
      <c r="A109" s="1500" t="s">
        <v>254</v>
      </c>
      <c r="B109" s="628">
        <v>5150</v>
      </c>
      <c r="C109" s="616"/>
      <c r="D109" s="616"/>
      <c r="E109" s="616"/>
      <c r="F109" s="616"/>
      <c r="G109" s="616"/>
      <c r="H109" s="466">
        <v>0</v>
      </c>
      <c r="I109" s="468"/>
      <c r="J109" s="468"/>
      <c r="K109" s="1667">
        <f>H109</f>
        <v>0</v>
      </c>
      <c r="L109" s="466"/>
      <c r="M109" s="210"/>
      <c r="N109" s="210"/>
    </row>
    <row r="110" spans="1:14" s="597" customFormat="1" ht="12.75" customHeight="1" thickBot="1" x14ac:dyDescent="0.25">
      <c r="A110" s="1664" t="s">
        <v>1102</v>
      </c>
      <c r="B110" s="1671" t="s">
        <v>718</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0" t="s">
        <v>368</v>
      </c>
      <c r="B111" s="647" t="s">
        <v>38</v>
      </c>
      <c r="C111" s="616"/>
      <c r="D111" s="616"/>
      <c r="E111" s="616"/>
      <c r="F111" s="616"/>
      <c r="G111" s="616"/>
      <c r="H111" s="535">
        <v>0</v>
      </c>
      <c r="I111" s="468"/>
      <c r="J111" s="468"/>
      <c r="K111" s="1679">
        <f>H111</f>
        <v>0</v>
      </c>
      <c r="L111" s="532"/>
      <c r="M111" s="210"/>
      <c r="N111" s="210"/>
    </row>
    <row r="112" spans="1:14" s="597" customFormat="1" ht="12.75" customHeight="1" thickTop="1" thickBot="1" x14ac:dyDescent="0.25">
      <c r="A112" s="1664" t="s">
        <v>638</v>
      </c>
      <c r="B112" s="1665" t="s">
        <v>492</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3"/>
      <c r="D113" s="623"/>
      <c r="E113" s="616"/>
      <c r="F113" s="616"/>
      <c r="G113" s="616"/>
      <c r="H113" s="623"/>
      <c r="I113" s="468"/>
      <c r="J113" s="468"/>
      <c r="K113" s="623"/>
      <c r="L113" s="531">
        <v>200000</v>
      </c>
      <c r="M113" s="613"/>
      <c r="N113" s="613"/>
    </row>
    <row r="114" spans="1:14" ht="12.75" customHeight="1" thickTop="1" thickBot="1" x14ac:dyDescent="0.25">
      <c r="A114" s="1664" t="s">
        <v>48</v>
      </c>
      <c r="B114" s="1678"/>
      <c r="C114" s="1666">
        <f>SUM(C33,C74,C75,C102,C112,C113)</f>
        <v>21658657</v>
      </c>
      <c r="D114" s="1666">
        <f t="shared" ref="D114:K114" si="13">SUM(D33,D74,D75,D102,D112,D113)</f>
        <v>3275115</v>
      </c>
      <c r="E114" s="1666">
        <f t="shared" si="13"/>
        <v>2281644</v>
      </c>
      <c r="F114" s="1666">
        <f t="shared" si="13"/>
        <v>2176562</v>
      </c>
      <c r="G114" s="1666">
        <f t="shared" si="13"/>
        <v>197534</v>
      </c>
      <c r="H114" s="1666">
        <f>SUM(H33,H74,H75,H102,H112,H113)</f>
        <v>1888388</v>
      </c>
      <c r="I114" s="1666">
        <f t="shared" si="13"/>
        <v>574984</v>
      </c>
      <c r="J114" s="1666">
        <f t="shared" si="13"/>
        <v>0</v>
      </c>
      <c r="K114" s="1666">
        <f t="shared" si="13"/>
        <v>32052884</v>
      </c>
      <c r="L114" s="1666">
        <f>SUM(L33,L74,L75,L102,L112,L113)</f>
        <v>34146922</v>
      </c>
    </row>
    <row r="115" spans="1:14" ht="13.5" thickTop="1" x14ac:dyDescent="0.2">
      <c r="A115" s="2185" t="s">
        <v>996</v>
      </c>
      <c r="B115" s="2186"/>
      <c r="C115" s="618"/>
      <c r="D115" s="618"/>
      <c r="E115" s="618"/>
      <c r="F115" s="618"/>
      <c r="G115" s="618"/>
      <c r="H115" s="618"/>
      <c r="I115" s="618"/>
      <c r="J115" s="618"/>
      <c r="K115" s="1680">
        <f>'Revenues 9-14'!C268-'Expenditures 15-22'!K114</f>
        <v>3092760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4" t="s">
        <v>2057</v>
      </c>
      <c r="B120" s="628" t="s">
        <v>716</v>
      </c>
      <c r="C120" s="466">
        <v>0</v>
      </c>
      <c r="D120" s="466">
        <v>0</v>
      </c>
      <c r="E120" s="466">
        <v>0</v>
      </c>
      <c r="F120" s="466">
        <v>0</v>
      </c>
      <c r="G120" s="466">
        <v>0</v>
      </c>
      <c r="H120" s="466">
        <v>0</v>
      </c>
      <c r="I120" s="467">
        <v>0</v>
      </c>
      <c r="J120" s="467">
        <v>0</v>
      </c>
      <c r="K120" s="166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0" t="s">
        <v>1068</v>
      </c>
      <c r="B122" s="614">
        <v>2510</v>
      </c>
      <c r="C122" s="466">
        <v>0</v>
      </c>
      <c r="D122" s="466">
        <v>0</v>
      </c>
      <c r="E122" s="466">
        <v>0</v>
      </c>
      <c r="F122" s="466">
        <v>0</v>
      </c>
      <c r="G122" s="466">
        <v>0</v>
      </c>
      <c r="H122" s="466">
        <v>0</v>
      </c>
      <c r="I122" s="467">
        <v>0</v>
      </c>
      <c r="J122" s="467">
        <v>0</v>
      </c>
      <c r="K122" s="1666">
        <f>SUM(C122:J122)</f>
        <v>0</v>
      </c>
      <c r="L122" s="466"/>
    </row>
    <row r="123" spans="1:14" ht="14.25" thickTop="1" thickBot="1" x14ac:dyDescent="0.25">
      <c r="A123" s="1500" t="s">
        <v>4</v>
      </c>
      <c r="B123" s="614">
        <v>2530</v>
      </c>
      <c r="C123" s="466">
        <v>0</v>
      </c>
      <c r="D123" s="466">
        <v>0</v>
      </c>
      <c r="E123" s="466">
        <v>13010</v>
      </c>
      <c r="F123" s="466">
        <v>0</v>
      </c>
      <c r="G123" s="466">
        <v>0</v>
      </c>
      <c r="H123" s="466">
        <v>0</v>
      </c>
      <c r="I123" s="467">
        <v>0</v>
      </c>
      <c r="J123" s="467">
        <v>0</v>
      </c>
      <c r="K123" s="1666">
        <f>SUM(C123:J123)</f>
        <v>13010</v>
      </c>
      <c r="L123" s="466">
        <v>225000</v>
      </c>
    </row>
    <row r="124" spans="1:14" ht="14.25" thickTop="1" thickBot="1" x14ac:dyDescent="0.25">
      <c r="A124" s="1500" t="s">
        <v>197</v>
      </c>
      <c r="B124" s="614">
        <v>2540</v>
      </c>
      <c r="C124" s="466">
        <v>1347186</v>
      </c>
      <c r="D124" s="466">
        <v>204010</v>
      </c>
      <c r="E124" s="466">
        <v>940234</v>
      </c>
      <c r="F124" s="466">
        <v>580058</v>
      </c>
      <c r="G124" s="466">
        <v>6266</v>
      </c>
      <c r="H124" s="466">
        <v>175714</v>
      </c>
      <c r="I124" s="467">
        <v>0</v>
      </c>
      <c r="J124" s="467">
        <v>0</v>
      </c>
      <c r="K124" s="1666">
        <f>SUM(C124:J124)</f>
        <v>3253468</v>
      </c>
      <c r="L124" s="466">
        <v>3246976</v>
      </c>
    </row>
    <row r="125" spans="1:14" ht="14.25" thickTop="1" thickBot="1" x14ac:dyDescent="0.25">
      <c r="A125" s="1500" t="s">
        <v>953</v>
      </c>
      <c r="B125" s="614">
        <v>2550</v>
      </c>
      <c r="C125" s="466">
        <v>0</v>
      </c>
      <c r="D125" s="466">
        <v>0</v>
      </c>
      <c r="E125" s="466">
        <v>0</v>
      </c>
      <c r="F125" s="466">
        <v>0</v>
      </c>
      <c r="G125" s="466">
        <v>0</v>
      </c>
      <c r="H125" s="466">
        <v>0</v>
      </c>
      <c r="I125" s="467">
        <v>0</v>
      </c>
      <c r="J125" s="467">
        <v>0</v>
      </c>
      <c r="K125" s="1666">
        <f>SUM(C125:J125)</f>
        <v>0</v>
      </c>
      <c r="L125" s="466"/>
    </row>
    <row r="126" spans="1:14" ht="14.25" thickTop="1" thickBot="1" x14ac:dyDescent="0.25">
      <c r="A126" s="1500" t="s">
        <v>100</v>
      </c>
      <c r="B126" s="614">
        <v>2560</v>
      </c>
      <c r="C126" s="654"/>
      <c r="D126" s="654"/>
      <c r="E126" s="654"/>
      <c r="F126" s="654"/>
      <c r="G126" s="466">
        <v>0</v>
      </c>
      <c r="H126" s="654"/>
      <c r="I126" s="474">
        <v>0</v>
      </c>
      <c r="J126" s="616"/>
      <c r="K126" s="1666">
        <f>SUM(C126:J126)</f>
        <v>0</v>
      </c>
      <c r="L126" s="466"/>
    </row>
    <row r="127" spans="1:14" ht="12.75" customHeight="1" thickTop="1" thickBot="1" x14ac:dyDescent="0.25">
      <c r="A127" s="1664" t="s">
        <v>719</v>
      </c>
      <c r="B127" s="1665" t="s">
        <v>35</v>
      </c>
      <c r="C127" s="1666">
        <f>SUM(C122:C126)</f>
        <v>1347186</v>
      </c>
      <c r="D127" s="1666">
        <f t="shared" ref="D127:L127" si="14">SUM(D122:D126)</f>
        <v>204010</v>
      </c>
      <c r="E127" s="1666">
        <f t="shared" si="14"/>
        <v>953244</v>
      </c>
      <c r="F127" s="1666">
        <f t="shared" si="14"/>
        <v>580058</v>
      </c>
      <c r="G127" s="1666">
        <f t="shared" si="14"/>
        <v>6266</v>
      </c>
      <c r="H127" s="1666">
        <f t="shared" si="14"/>
        <v>175714</v>
      </c>
      <c r="I127" s="1666">
        <f t="shared" si="14"/>
        <v>0</v>
      </c>
      <c r="J127" s="1666">
        <f t="shared" si="14"/>
        <v>0</v>
      </c>
      <c r="K127" s="1666">
        <f t="shared" si="14"/>
        <v>3266478</v>
      </c>
      <c r="L127" s="1666">
        <f t="shared" si="14"/>
        <v>3471976</v>
      </c>
    </row>
    <row r="128" spans="1:14" ht="12.75" customHeight="1" thickTop="1" x14ac:dyDescent="0.2">
      <c r="A128" s="1507" t="s">
        <v>980</v>
      </c>
      <c r="B128" s="655" t="s">
        <v>574</v>
      </c>
      <c r="C128" s="656">
        <v>0</v>
      </c>
      <c r="D128" s="656">
        <v>0</v>
      </c>
      <c r="E128" s="656">
        <v>0</v>
      </c>
      <c r="F128" s="656">
        <v>0</v>
      </c>
      <c r="G128" s="656">
        <v>0</v>
      </c>
      <c r="H128" s="656">
        <v>0</v>
      </c>
      <c r="I128" s="535">
        <v>0</v>
      </c>
      <c r="J128" s="535">
        <v>0</v>
      </c>
      <c r="K128" s="1681">
        <f>SUM(C128:J128)</f>
        <v>0</v>
      </c>
      <c r="L128" s="656">
        <v>320700</v>
      </c>
    </row>
    <row r="129" spans="1:14" ht="12.75" customHeight="1" thickBot="1" x14ac:dyDescent="0.25">
      <c r="A129" s="1682" t="s">
        <v>811</v>
      </c>
      <c r="B129" s="1683" t="s">
        <v>569</v>
      </c>
      <c r="C129" s="1673">
        <f>SUM(C120,C127,C128)</f>
        <v>1347186</v>
      </c>
      <c r="D129" s="1673">
        <f t="shared" ref="D129:L129" si="15">SUM(D120,D127,D128)</f>
        <v>204010</v>
      </c>
      <c r="E129" s="1673">
        <f t="shared" si="15"/>
        <v>953244</v>
      </c>
      <c r="F129" s="1673">
        <f t="shared" si="15"/>
        <v>580058</v>
      </c>
      <c r="G129" s="1673">
        <f t="shared" si="15"/>
        <v>6266</v>
      </c>
      <c r="H129" s="1673">
        <f t="shared" si="15"/>
        <v>175714</v>
      </c>
      <c r="I129" s="1673">
        <f t="shared" si="15"/>
        <v>0</v>
      </c>
      <c r="J129" s="1673">
        <f t="shared" si="15"/>
        <v>0</v>
      </c>
      <c r="K129" s="1673">
        <f t="shared" si="15"/>
        <v>3266478</v>
      </c>
      <c r="L129" s="1673">
        <f t="shared" si="15"/>
        <v>3792676</v>
      </c>
    </row>
    <row r="130" spans="1:14" ht="15.75" customHeight="1" thickTop="1" thickBot="1" x14ac:dyDescent="0.25">
      <c r="A130" s="1606" t="s">
        <v>1036</v>
      </c>
      <c r="B130" s="1607" t="s">
        <v>575</v>
      </c>
      <c r="C130" s="576">
        <v>0</v>
      </c>
      <c r="D130" s="576">
        <v>0</v>
      </c>
      <c r="E130" s="576">
        <v>0</v>
      </c>
      <c r="F130" s="576">
        <v>0</v>
      </c>
      <c r="G130" s="576">
        <v>0</v>
      </c>
      <c r="H130" s="576">
        <v>0</v>
      </c>
      <c r="I130" s="531">
        <v>0</v>
      </c>
      <c r="J130" s="531">
        <v>0</v>
      </c>
      <c r="K130" s="1666">
        <f>SUM(C130:J130)</f>
        <v>0</v>
      </c>
      <c r="L130" s="576"/>
    </row>
    <row r="131" spans="1:14" ht="15.75" customHeight="1" thickTop="1" x14ac:dyDescent="0.2">
      <c r="A131" s="1612" t="s">
        <v>616</v>
      </c>
      <c r="B131" s="1605"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6" t="s">
        <v>496</v>
      </c>
      <c r="B133" s="1837" t="s">
        <v>1842</v>
      </c>
      <c r="C133" s="468"/>
      <c r="D133" s="468"/>
      <c r="E133" s="641">
        <v>0</v>
      </c>
      <c r="F133" s="468"/>
      <c r="G133" s="468"/>
      <c r="H133" s="641">
        <v>0</v>
      </c>
      <c r="I133" s="468"/>
      <c r="J133" s="468"/>
      <c r="K133" s="1817">
        <f>SUM(E133,H133)</f>
        <v>0</v>
      </c>
      <c r="L133" s="641"/>
      <c r="M133" s="206"/>
      <c r="N133" s="206"/>
    </row>
    <row r="134" spans="1:14" x14ac:dyDescent="0.2">
      <c r="A134" s="1500" t="s">
        <v>304</v>
      </c>
      <c r="B134" s="614">
        <v>4120</v>
      </c>
      <c r="C134" s="616"/>
      <c r="D134" s="616"/>
      <c r="E134" s="478">
        <v>0</v>
      </c>
      <c r="F134" s="616"/>
      <c r="G134" s="616"/>
      <c r="H134" s="481">
        <v>0</v>
      </c>
      <c r="I134" s="477"/>
      <c r="J134" s="616"/>
      <c r="K134" s="1668">
        <f>SUM(E134,H134)</f>
        <v>0</v>
      </c>
      <c r="L134" s="481"/>
    </row>
    <row r="135" spans="1:14" x14ac:dyDescent="0.2">
      <c r="A135" s="1500" t="s">
        <v>697</v>
      </c>
      <c r="B135" s="614">
        <v>4140</v>
      </c>
      <c r="C135" s="616"/>
      <c r="D135" s="616"/>
      <c r="E135" s="467">
        <v>0</v>
      </c>
      <c r="F135" s="616"/>
      <c r="G135" s="616"/>
      <c r="H135" s="466">
        <v>0</v>
      </c>
      <c r="I135" s="477"/>
      <c r="J135" s="616"/>
      <c r="K135" s="1668">
        <f>SUM(E135,H135)</f>
        <v>0</v>
      </c>
      <c r="L135" s="466"/>
    </row>
    <row r="136" spans="1:14" x14ac:dyDescent="0.2">
      <c r="A136" s="1504" t="s">
        <v>698</v>
      </c>
      <c r="B136" s="628">
        <v>4190</v>
      </c>
      <c r="C136" s="616"/>
      <c r="D136" s="616"/>
      <c r="E136" s="467">
        <v>0</v>
      </c>
      <c r="F136" s="616"/>
      <c r="G136" s="616"/>
      <c r="H136" s="466">
        <v>0</v>
      </c>
      <c r="I136" s="477"/>
      <c r="J136" s="616"/>
      <c r="K136" s="1668">
        <f>SUM(E136,H136)</f>
        <v>0</v>
      </c>
      <c r="L136" s="466"/>
    </row>
    <row r="137" spans="1:14" ht="12.75" customHeight="1" thickBot="1" x14ac:dyDescent="0.25">
      <c r="A137" s="1664" t="s">
        <v>480</v>
      </c>
      <c r="B137" s="1674">
        <v>4100</v>
      </c>
      <c r="C137" s="616"/>
      <c r="D137" s="616"/>
      <c r="E137" s="1666">
        <f>SUM(E133:E136)</f>
        <v>0</v>
      </c>
      <c r="F137" s="616"/>
      <c r="G137" s="616"/>
      <c r="H137" s="1666">
        <f>SUM(H133:H136)</f>
        <v>0</v>
      </c>
      <c r="I137" s="477"/>
      <c r="J137" s="616"/>
      <c r="K137" s="1666">
        <f>SUM(K133:K136)</f>
        <v>0</v>
      </c>
      <c r="L137" s="1666">
        <f>SUM(L133:L136)</f>
        <v>0</v>
      </c>
    </row>
    <row r="138" spans="1:14" ht="12.75" customHeight="1" thickTop="1" thickBot="1" x14ac:dyDescent="0.25">
      <c r="A138" s="1506" t="s">
        <v>96</v>
      </c>
      <c r="B138" s="643" t="s">
        <v>931</v>
      </c>
      <c r="C138" s="616"/>
      <c r="D138" s="616"/>
      <c r="E138" s="479">
        <v>0</v>
      </c>
      <c r="F138" s="616"/>
      <c r="G138" s="616"/>
      <c r="H138" s="576">
        <v>0</v>
      </c>
      <c r="I138" s="477"/>
      <c r="J138" s="616"/>
      <c r="K138" s="1668">
        <f>SUM(E138,H138)</f>
        <v>0</v>
      </c>
      <c r="L138" s="576"/>
    </row>
    <row r="139" spans="1:14" ht="12.75" customHeight="1" thickTop="1" thickBot="1" x14ac:dyDescent="0.25">
      <c r="A139" s="1664" t="s">
        <v>1487</v>
      </c>
      <c r="B139" s="1674">
        <v>4000</v>
      </c>
      <c r="C139" s="616"/>
      <c r="D139" s="616"/>
      <c r="E139" s="1666">
        <f>SUM(E137,E138)</f>
        <v>0</v>
      </c>
      <c r="F139" s="616"/>
      <c r="G139" s="616"/>
      <c r="H139" s="1675">
        <f>SUM(H137:H138)</f>
        <v>0</v>
      </c>
      <c r="I139" s="477"/>
      <c r="J139" s="616"/>
      <c r="K139" s="1668">
        <f>SUM(K137,K138)</f>
        <v>0</v>
      </c>
      <c r="L139" s="1675">
        <f>SUM(L137,L138)</f>
        <v>0</v>
      </c>
    </row>
    <row r="140" spans="1:14" ht="15.75" customHeight="1" thickTop="1" x14ac:dyDescent="0.2">
      <c r="A140" s="1608" t="s">
        <v>1037</v>
      </c>
      <c r="B140" s="1609"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0" t="s">
        <v>87</v>
      </c>
      <c r="B142" s="614">
        <v>5110</v>
      </c>
      <c r="C142" s="616"/>
      <c r="D142" s="616"/>
      <c r="E142" s="616"/>
      <c r="F142" s="616"/>
      <c r="G142" s="616"/>
      <c r="H142" s="481">
        <v>0</v>
      </c>
      <c r="I142" s="468"/>
      <c r="J142" s="616"/>
      <c r="K142" s="1668">
        <f>SUM(H142)</f>
        <v>0</v>
      </c>
      <c r="L142" s="481"/>
    </row>
    <row r="143" spans="1:14" x14ac:dyDescent="0.2">
      <c r="A143" s="1500" t="s">
        <v>88</v>
      </c>
      <c r="B143" s="614">
        <v>5120</v>
      </c>
      <c r="C143" s="616"/>
      <c r="D143" s="616"/>
      <c r="E143" s="616"/>
      <c r="F143" s="616"/>
      <c r="G143" s="616"/>
      <c r="H143" s="466">
        <v>0</v>
      </c>
      <c r="I143" s="468"/>
      <c r="J143" s="616"/>
      <c r="K143" s="1668">
        <f>SUM(H143)</f>
        <v>0</v>
      </c>
      <c r="L143" s="466"/>
    </row>
    <row r="144" spans="1:14" ht="12.75" customHeight="1" x14ac:dyDescent="0.2">
      <c r="A144" s="1500" t="s">
        <v>1170</v>
      </c>
      <c r="B144" s="628" t="s">
        <v>617</v>
      </c>
      <c r="C144" s="616"/>
      <c r="D144" s="616"/>
      <c r="E144" s="616"/>
      <c r="F144" s="616"/>
      <c r="G144" s="616"/>
      <c r="H144" s="466">
        <v>0</v>
      </c>
      <c r="I144" s="468"/>
      <c r="J144" s="616"/>
      <c r="K144" s="1668">
        <f>SUM(H144)</f>
        <v>0</v>
      </c>
      <c r="L144" s="466"/>
    </row>
    <row r="145" spans="1:14" x14ac:dyDescent="0.2">
      <c r="A145" s="1500" t="s">
        <v>89</v>
      </c>
      <c r="B145" s="614" t="s">
        <v>589</v>
      </c>
      <c r="C145" s="616"/>
      <c r="D145" s="616"/>
      <c r="E145" s="616"/>
      <c r="F145" s="616"/>
      <c r="G145" s="616"/>
      <c r="H145" s="466">
        <v>0</v>
      </c>
      <c r="I145" s="468"/>
      <c r="J145" s="616"/>
      <c r="K145" s="1668">
        <f>SUM(H145)</f>
        <v>0</v>
      </c>
      <c r="L145" s="466"/>
    </row>
    <row r="146" spans="1:14" ht="12.75" customHeight="1" x14ac:dyDescent="0.2">
      <c r="A146" s="1500" t="s">
        <v>619</v>
      </c>
      <c r="B146" s="614" t="s">
        <v>618</v>
      </c>
      <c r="C146" s="616"/>
      <c r="D146" s="616"/>
      <c r="E146" s="616"/>
      <c r="F146" s="616"/>
      <c r="G146" s="616"/>
      <c r="H146" s="466">
        <v>0</v>
      </c>
      <c r="I146" s="468"/>
      <c r="J146" s="616"/>
      <c r="K146" s="1668">
        <f>SUM(H146)</f>
        <v>0</v>
      </c>
      <c r="L146" s="466"/>
    </row>
    <row r="147" spans="1:14" ht="12.75" customHeight="1" thickBot="1" x14ac:dyDescent="0.25">
      <c r="A147" s="1511" t="s">
        <v>626</v>
      </c>
      <c r="B147" s="659" t="s">
        <v>718</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1103</v>
      </c>
      <c r="B148" s="661" t="s">
        <v>38</v>
      </c>
      <c r="C148" s="616"/>
      <c r="D148" s="616"/>
      <c r="E148" s="616"/>
      <c r="F148" s="616"/>
      <c r="G148" s="616"/>
      <c r="H148" s="479">
        <v>0</v>
      </c>
      <c r="I148" s="468"/>
      <c r="J148" s="616"/>
      <c r="K148" s="1668">
        <f>SUM(H148)</f>
        <v>0</v>
      </c>
      <c r="L148" s="492"/>
    </row>
    <row r="149" spans="1:14" ht="12.75" customHeight="1" thickBot="1" x14ac:dyDescent="0.25">
      <c r="A149" s="1503" t="s">
        <v>638</v>
      </c>
      <c r="B149" s="617" t="s">
        <v>492</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2" t="s">
        <v>1038</v>
      </c>
      <c r="B150" s="1609" t="s">
        <v>861</v>
      </c>
      <c r="C150" s="616"/>
      <c r="D150" s="616"/>
      <c r="E150" s="616"/>
      <c r="F150" s="616"/>
      <c r="G150" s="616"/>
      <c r="H150" s="662"/>
      <c r="I150" s="521"/>
      <c r="J150" s="616"/>
      <c r="K150" s="623"/>
      <c r="L150" s="573">
        <v>150000</v>
      </c>
    </row>
    <row r="151" spans="1:14" ht="12.75" customHeight="1" thickTop="1" thickBot="1" x14ac:dyDescent="0.25">
      <c r="A151" s="2175" t="s">
        <v>620</v>
      </c>
      <c r="B151" s="2157"/>
      <c r="C151" s="1666">
        <f>SUM(C129,C130,C139,C149,C150)</f>
        <v>1347186</v>
      </c>
      <c r="D151" s="1666">
        <f t="shared" ref="D151:K151" si="16">SUM(D129,D130,D139,D149,D150)</f>
        <v>204010</v>
      </c>
      <c r="E151" s="1666">
        <f t="shared" si="16"/>
        <v>953244</v>
      </c>
      <c r="F151" s="1666">
        <f t="shared" si="16"/>
        <v>580058</v>
      </c>
      <c r="G151" s="1666">
        <f t="shared" si="16"/>
        <v>6266</v>
      </c>
      <c r="H151" s="1666">
        <f t="shared" si="16"/>
        <v>175714</v>
      </c>
      <c r="I151" s="1666">
        <f t="shared" si="16"/>
        <v>0</v>
      </c>
      <c r="J151" s="1666">
        <f t="shared" si="16"/>
        <v>0</v>
      </c>
      <c r="K151" s="1666">
        <f t="shared" si="16"/>
        <v>3266478</v>
      </c>
      <c r="L151" s="1666">
        <f>SUM(L129,L130,L139,L149,L150)</f>
        <v>3942676</v>
      </c>
    </row>
    <row r="152" spans="1:14" ht="12.75" customHeight="1" thickTop="1" x14ac:dyDescent="0.2">
      <c r="A152" s="2178" t="s">
        <v>1178</v>
      </c>
      <c r="B152" s="2179"/>
      <c r="C152" s="618"/>
      <c r="D152" s="618"/>
      <c r="E152" s="618"/>
      <c r="F152" s="618"/>
      <c r="G152" s="618"/>
      <c r="H152" s="618"/>
      <c r="I152" s="618"/>
      <c r="J152" s="616"/>
      <c r="K152" s="1680">
        <f>'Revenues 9-14'!D268-'Expenditures 15-22'!K151</f>
        <v>1047496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2"/>
      <c r="D154" s="1623"/>
      <c r="E154" s="1623"/>
      <c r="F154" s="1623"/>
      <c r="G154" s="1623"/>
      <c r="H154" s="1623"/>
      <c r="I154" s="1623"/>
      <c r="J154" s="1623"/>
      <c r="K154" s="1623"/>
      <c r="L154" s="1624"/>
      <c r="M154" s="667"/>
      <c r="N154" s="667"/>
    </row>
    <row r="155" spans="1:14" s="620" customFormat="1" ht="15.75" customHeight="1" thickBot="1" x14ac:dyDescent="0.25">
      <c r="A155" s="1613" t="s">
        <v>81</v>
      </c>
      <c r="B155" s="1614" t="s">
        <v>860</v>
      </c>
      <c r="C155" s="616"/>
      <c r="D155" s="616"/>
      <c r="E155" s="616"/>
      <c r="F155" s="616"/>
      <c r="G155" s="616"/>
      <c r="H155" s="1838"/>
      <c r="I155" s="616"/>
      <c r="J155" s="616"/>
      <c r="K155" s="1821"/>
      <c r="L155" s="1838"/>
      <c r="M155" s="619"/>
      <c r="N155" s="619"/>
    </row>
    <row r="156" spans="1:14" s="620" customFormat="1" ht="15.75" customHeight="1" thickTop="1" x14ac:dyDescent="0.2">
      <c r="A156" s="1818" t="s">
        <v>1843</v>
      </c>
      <c r="B156" s="1819"/>
      <c r="C156" s="616"/>
      <c r="D156" s="616"/>
      <c r="E156" s="616"/>
      <c r="F156" s="616"/>
      <c r="G156" s="616"/>
      <c r="H156" s="1839"/>
      <c r="I156" s="616"/>
      <c r="J156" s="616"/>
      <c r="K156" s="1820"/>
      <c r="L156" s="1839"/>
      <c r="M156" s="619"/>
      <c r="N156" s="619"/>
    </row>
    <row r="157" spans="1:14" s="620" customFormat="1" ht="12" x14ac:dyDescent="0.2">
      <c r="A157" s="1822" t="s">
        <v>496</v>
      </c>
      <c r="B157" s="1823" t="s">
        <v>1842</v>
      </c>
      <c r="C157" s="616"/>
      <c r="D157" s="616"/>
      <c r="E157" s="616"/>
      <c r="F157" s="616"/>
      <c r="G157" s="616"/>
      <c r="H157" s="641">
        <v>0</v>
      </c>
      <c r="I157" s="616"/>
      <c r="J157" s="616"/>
      <c r="K157" s="1667">
        <f>H157</f>
        <v>0</v>
      </c>
      <c r="L157" s="467"/>
      <c r="M157" s="619"/>
      <c r="N157" s="619"/>
    </row>
    <row r="158" spans="1:14" s="620" customFormat="1" ht="12" x14ac:dyDescent="0.2">
      <c r="A158" s="1822" t="s">
        <v>304</v>
      </c>
      <c r="B158" s="1823" t="s">
        <v>1844</v>
      </c>
      <c r="C158" s="616"/>
      <c r="D158" s="616"/>
      <c r="E158" s="616"/>
      <c r="F158" s="616"/>
      <c r="G158" s="616"/>
      <c r="H158" s="467">
        <v>0</v>
      </c>
      <c r="I158" s="616"/>
      <c r="J158" s="616"/>
      <c r="K158" s="1667">
        <f>H158</f>
        <v>0</v>
      </c>
      <c r="L158" s="467"/>
      <c r="M158" s="619"/>
      <c r="N158" s="619"/>
    </row>
    <row r="159" spans="1:14" s="620" customFormat="1" ht="12" x14ac:dyDescent="0.2">
      <c r="A159" s="1822" t="s">
        <v>1845</v>
      </c>
      <c r="B159" s="1823" t="s">
        <v>558</v>
      </c>
      <c r="C159" s="616"/>
      <c r="D159" s="616"/>
      <c r="E159" s="616"/>
      <c r="F159" s="616"/>
      <c r="G159" s="616"/>
      <c r="H159" s="467">
        <v>0</v>
      </c>
      <c r="I159" s="616"/>
      <c r="J159" s="616"/>
      <c r="K159" s="1667">
        <f>H159</f>
        <v>0</v>
      </c>
      <c r="L159" s="467"/>
      <c r="M159" s="619"/>
      <c r="N159" s="619"/>
    </row>
    <row r="160" spans="1:14" s="620" customFormat="1" ht="15.75" customHeight="1" thickBot="1" x14ac:dyDescent="0.25">
      <c r="A160" s="1824" t="s">
        <v>1846</v>
      </c>
      <c r="B160" s="1825" t="s">
        <v>860</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8" t="s">
        <v>82</v>
      </c>
      <c r="B161" s="1609"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0" t="s">
        <v>87</v>
      </c>
      <c r="B163" s="614">
        <v>5110</v>
      </c>
      <c r="C163" s="616"/>
      <c r="D163" s="616"/>
      <c r="E163" s="616"/>
      <c r="F163" s="616"/>
      <c r="G163" s="616"/>
      <c r="H163" s="466">
        <v>0</v>
      </c>
      <c r="I163" s="616"/>
      <c r="J163" s="616"/>
      <c r="K163" s="1667">
        <f>SUM(C163:J163)</f>
        <v>0</v>
      </c>
      <c r="L163" s="466"/>
    </row>
    <row r="164" spans="1:14" x14ac:dyDescent="0.2">
      <c r="A164" s="1500" t="s">
        <v>88</v>
      </c>
      <c r="B164" s="614">
        <v>5120</v>
      </c>
      <c r="C164" s="616"/>
      <c r="D164" s="616"/>
      <c r="E164" s="616"/>
      <c r="F164" s="616"/>
      <c r="G164" s="616"/>
      <c r="H164" s="466">
        <v>0</v>
      </c>
      <c r="I164" s="616"/>
      <c r="J164" s="616"/>
      <c r="K164" s="1667">
        <f>SUM(C164:J164)</f>
        <v>0</v>
      </c>
      <c r="L164" s="466"/>
    </row>
    <row r="165" spans="1:14" ht="12.75" customHeight="1" x14ac:dyDescent="0.2">
      <c r="A165" s="1500" t="s">
        <v>1170</v>
      </c>
      <c r="B165" s="614" t="s">
        <v>617</v>
      </c>
      <c r="C165" s="616"/>
      <c r="D165" s="616"/>
      <c r="E165" s="616"/>
      <c r="F165" s="616"/>
      <c r="G165" s="616"/>
      <c r="H165" s="466">
        <v>0</v>
      </c>
      <c r="I165" s="616"/>
      <c r="J165" s="616"/>
      <c r="K165" s="1667">
        <f>SUM(C165:J165)</f>
        <v>0</v>
      </c>
      <c r="L165" s="466"/>
    </row>
    <row r="166" spans="1:14" x14ac:dyDescent="0.2">
      <c r="A166" s="1500" t="s">
        <v>89</v>
      </c>
      <c r="B166" s="628" t="s">
        <v>589</v>
      </c>
      <c r="C166" s="616"/>
      <c r="D166" s="616"/>
      <c r="E166" s="616"/>
      <c r="F166" s="616"/>
      <c r="G166" s="616"/>
      <c r="H166" s="466">
        <v>0</v>
      </c>
      <c r="I166" s="616"/>
      <c r="J166" s="616"/>
      <c r="K166" s="1667">
        <f>SUM(C166:J166)</f>
        <v>0</v>
      </c>
      <c r="L166" s="466"/>
    </row>
    <row r="167" spans="1:14" ht="12.75" customHeight="1" x14ac:dyDescent="0.2">
      <c r="A167" s="1500" t="s">
        <v>619</v>
      </c>
      <c r="B167" s="614" t="s">
        <v>618</v>
      </c>
      <c r="C167" s="616"/>
      <c r="D167" s="616"/>
      <c r="E167" s="616"/>
      <c r="F167" s="616"/>
      <c r="G167" s="616"/>
      <c r="H167" s="466">
        <v>0</v>
      </c>
      <c r="I167" s="616"/>
      <c r="J167" s="616"/>
      <c r="K167" s="1667">
        <f>SUM(C167:J167)</f>
        <v>0</v>
      </c>
      <c r="L167" s="466"/>
    </row>
    <row r="168" spans="1:14" ht="13.5" thickBot="1" x14ac:dyDescent="0.25">
      <c r="A168" s="1664" t="s">
        <v>276</v>
      </c>
      <c r="B168" s="1671" t="s">
        <v>718</v>
      </c>
      <c r="C168" s="616"/>
      <c r="D168" s="616"/>
      <c r="E168" s="616"/>
      <c r="F168" s="616"/>
      <c r="G168" s="616"/>
      <c r="H168" s="1666">
        <f>SUM(H163:H167)</f>
        <v>0</v>
      </c>
      <c r="I168" s="616"/>
      <c r="J168" s="616"/>
      <c r="K168" s="1666">
        <f>SUM(K163:K167)</f>
        <v>0</v>
      </c>
      <c r="L168" s="1666">
        <f>SUM(L163:L167)</f>
        <v>0</v>
      </c>
    </row>
    <row r="169" spans="1:14" ht="15.75" customHeight="1" thickTop="1" x14ac:dyDescent="0.2">
      <c r="A169" s="669" t="s">
        <v>83</v>
      </c>
      <c r="B169" s="670" t="s">
        <v>38</v>
      </c>
      <c r="C169" s="616"/>
      <c r="D169" s="616"/>
      <c r="E169" s="616"/>
      <c r="F169" s="616"/>
      <c r="G169" s="616"/>
      <c r="H169" s="656">
        <v>0</v>
      </c>
      <c r="I169" s="616"/>
      <c r="J169" s="616"/>
      <c r="K169" s="1667">
        <f>SUM(C169:H169)</f>
        <v>0</v>
      </c>
      <c r="L169" s="656"/>
    </row>
    <row r="170" spans="1:14" ht="33.75" customHeight="1" x14ac:dyDescent="0.2">
      <c r="A170" s="669" t="s">
        <v>1670</v>
      </c>
      <c r="B170" s="671" t="s">
        <v>31</v>
      </c>
      <c r="C170" s="616"/>
      <c r="D170" s="616"/>
      <c r="E170" s="616"/>
      <c r="F170" s="616"/>
      <c r="G170" s="616"/>
      <c r="H170" s="569">
        <v>0</v>
      </c>
      <c r="I170" s="616"/>
      <c r="J170" s="616"/>
      <c r="K170" s="1667">
        <f>SUM(C170:J170)</f>
        <v>0</v>
      </c>
      <c r="L170" s="569"/>
    </row>
    <row r="171" spans="1:14" ht="15.75" customHeight="1" x14ac:dyDescent="0.2">
      <c r="A171" s="621" t="s">
        <v>766</v>
      </c>
      <c r="B171" s="672" t="s">
        <v>84</v>
      </c>
      <c r="C171" s="616"/>
      <c r="D171" s="616"/>
      <c r="E171" s="466">
        <v>0</v>
      </c>
      <c r="F171" s="616"/>
      <c r="G171" s="616"/>
      <c r="H171" s="569">
        <v>0</v>
      </c>
      <c r="I171" s="477"/>
      <c r="J171" s="616"/>
      <c r="K171" s="1667">
        <f>SUM(C171:J171)</f>
        <v>0</v>
      </c>
      <c r="L171" s="569"/>
    </row>
    <row r="172" spans="1:14" ht="12.75" customHeight="1" thickBot="1" x14ac:dyDescent="0.25">
      <c r="A172" s="1664" t="s">
        <v>638</v>
      </c>
      <c r="B172" s="1665" t="s">
        <v>492</v>
      </c>
      <c r="C172" s="616"/>
      <c r="D172" s="616"/>
      <c r="E172" s="1673">
        <f>SUM(E168,E169,E170,E171)</f>
        <v>0</v>
      </c>
      <c r="F172" s="616"/>
      <c r="G172" s="616"/>
      <c r="H172" s="1673">
        <f>SUM(H168,H169,H170,H171)</f>
        <v>0</v>
      </c>
      <c r="I172" s="638"/>
      <c r="J172" s="616"/>
      <c r="K172" s="1673">
        <f>SUM(K168,K169,K170,K171)</f>
        <v>0</v>
      </c>
      <c r="L172" s="1673">
        <f>SUM(L168,L169,L170,L171)</f>
        <v>0</v>
      </c>
    </row>
    <row r="173" spans="1:14" ht="15.75" customHeight="1" thickTop="1" thickBot="1" x14ac:dyDescent="0.25">
      <c r="A173" s="1615" t="s">
        <v>85</v>
      </c>
      <c r="B173" s="1607" t="s">
        <v>861</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0</v>
      </c>
      <c r="I174" s="638"/>
      <c r="J174" s="616"/>
      <c r="K174" s="1673">
        <f>SUM(K160,K172,K173)</f>
        <v>0</v>
      </c>
      <c r="L174" s="1673">
        <f>SUM(L160,L172,L173)</f>
        <v>0</v>
      </c>
    </row>
    <row r="175" spans="1:14" ht="13.5" thickTop="1" x14ac:dyDescent="0.2">
      <c r="A175" s="2185" t="s">
        <v>996</v>
      </c>
      <c r="B175" s="2186"/>
      <c r="C175" s="616"/>
      <c r="D175" s="616"/>
      <c r="E175" s="616"/>
      <c r="F175" s="616"/>
      <c r="G175" s="616"/>
      <c r="H175" s="618"/>
      <c r="I175" s="616"/>
      <c r="J175" s="616"/>
      <c r="K175" s="1680">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0" t="s">
        <v>937</v>
      </c>
      <c r="B177" s="1551"/>
      <c r="C177" s="1547"/>
      <c r="D177" s="1548"/>
      <c r="E177" s="1548"/>
      <c r="F177" s="1548"/>
      <c r="G177" s="1548"/>
      <c r="H177" s="1548"/>
      <c r="I177" s="1548"/>
      <c r="J177" s="1548"/>
      <c r="K177" s="1548"/>
      <c r="L177" s="1549"/>
      <c r="M177" s="609"/>
      <c r="N177" s="609"/>
    </row>
    <row r="178" spans="1:14" s="674" customFormat="1" ht="15.75" customHeight="1" x14ac:dyDescent="0.2">
      <c r="A178" s="1616" t="s">
        <v>938</v>
      </c>
      <c r="B178" s="1617"/>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0" t="s">
        <v>2057</v>
      </c>
      <c r="B180" s="614" t="s">
        <v>716</v>
      </c>
      <c r="C180" s="466">
        <v>0</v>
      </c>
      <c r="D180" s="466">
        <v>0</v>
      </c>
      <c r="E180" s="466">
        <v>0</v>
      </c>
      <c r="F180" s="466">
        <v>0</v>
      </c>
      <c r="G180" s="466">
        <v>0</v>
      </c>
      <c r="H180" s="466">
        <v>0</v>
      </c>
      <c r="I180" s="467">
        <v>0</v>
      </c>
      <c r="J180" s="467">
        <v>0</v>
      </c>
      <c r="K180" s="166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0" t="s">
        <v>953</v>
      </c>
      <c r="B182" s="614">
        <v>2550</v>
      </c>
      <c r="C182" s="466">
        <v>349725</v>
      </c>
      <c r="D182" s="466">
        <v>74225</v>
      </c>
      <c r="E182" s="466">
        <v>904923</v>
      </c>
      <c r="F182" s="466">
        <v>21944</v>
      </c>
      <c r="G182" s="466">
        <v>264315</v>
      </c>
      <c r="H182" s="466">
        <v>0</v>
      </c>
      <c r="I182" s="467">
        <v>0</v>
      </c>
      <c r="J182" s="467">
        <v>0</v>
      </c>
      <c r="K182" s="1667">
        <f>SUM(C182:J182)</f>
        <v>1615132</v>
      </c>
      <c r="L182" s="466">
        <v>1597704</v>
      </c>
    </row>
    <row r="183" spans="1:14" ht="12.75" customHeight="1" thickBot="1" x14ac:dyDescent="0.25">
      <c r="A183" s="1505" t="s">
        <v>980</v>
      </c>
      <c r="B183" s="677">
        <v>2900</v>
      </c>
      <c r="C183" s="573">
        <v>0</v>
      </c>
      <c r="D183" s="573">
        <v>0</v>
      </c>
      <c r="E183" s="573">
        <v>0</v>
      </c>
      <c r="F183" s="573">
        <v>0</v>
      </c>
      <c r="G183" s="573">
        <v>0</v>
      </c>
      <c r="H183" s="573">
        <v>0</v>
      </c>
      <c r="I183" s="532">
        <v>0</v>
      </c>
      <c r="J183" s="532">
        <v>0</v>
      </c>
      <c r="K183" s="1673">
        <f>SUM(C183:J183)</f>
        <v>0</v>
      </c>
      <c r="L183" s="573"/>
    </row>
    <row r="184" spans="1:14" ht="12.75" customHeight="1" thickTop="1" thickBot="1" x14ac:dyDescent="0.25">
      <c r="A184" s="1687" t="s">
        <v>811</v>
      </c>
      <c r="B184" s="1665" t="s">
        <v>569</v>
      </c>
      <c r="C184" s="1673">
        <f>SUM(C180,C182,C183)</f>
        <v>349725</v>
      </c>
      <c r="D184" s="1673">
        <f t="shared" ref="D184:J184" si="17">SUM(D180,D182,D183)</f>
        <v>74225</v>
      </c>
      <c r="E184" s="1673">
        <f t="shared" si="17"/>
        <v>904923</v>
      </c>
      <c r="F184" s="1673">
        <f t="shared" si="17"/>
        <v>21944</v>
      </c>
      <c r="G184" s="1673">
        <f t="shared" si="17"/>
        <v>264315</v>
      </c>
      <c r="H184" s="1673">
        <f t="shared" si="17"/>
        <v>0</v>
      </c>
      <c r="I184" s="1673">
        <f t="shared" si="17"/>
        <v>0</v>
      </c>
      <c r="J184" s="1673">
        <f t="shared" si="17"/>
        <v>0</v>
      </c>
      <c r="K184" s="1673">
        <f>SUM(K180,K182,K183)</f>
        <v>1615132</v>
      </c>
      <c r="L184" s="1673">
        <f>SUM(L180, L182:L183)</f>
        <v>1597704</v>
      </c>
    </row>
    <row r="185" spans="1:14" ht="15.75" customHeight="1" thickTop="1" thickBot="1" x14ac:dyDescent="0.25">
      <c r="A185" s="1618" t="s">
        <v>939</v>
      </c>
      <c r="B185" s="1607">
        <v>3000</v>
      </c>
      <c r="C185" s="576">
        <v>0</v>
      </c>
      <c r="D185" s="576">
        <v>0</v>
      </c>
      <c r="E185" s="576">
        <v>0</v>
      </c>
      <c r="F185" s="576">
        <v>0</v>
      </c>
      <c r="G185" s="576">
        <v>0</v>
      </c>
      <c r="H185" s="576">
        <v>0</v>
      </c>
      <c r="I185" s="531">
        <v>0</v>
      </c>
      <c r="J185" s="531">
        <v>0</v>
      </c>
      <c r="K185" s="1666">
        <f>SUM(C185:J185)</f>
        <v>0</v>
      </c>
      <c r="L185" s="576"/>
    </row>
    <row r="186" spans="1:14" s="674" customFormat="1" ht="15.75" customHeight="1" thickTop="1" x14ac:dyDescent="0.2">
      <c r="A186" s="1602" t="s">
        <v>91</v>
      </c>
      <c r="B186" s="1605"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0" t="s">
        <v>496</v>
      </c>
      <c r="B188" s="614">
        <v>4110</v>
      </c>
      <c r="C188" s="616"/>
      <c r="D188" s="616"/>
      <c r="E188" s="466">
        <v>0</v>
      </c>
      <c r="F188" s="616"/>
      <c r="G188" s="616"/>
      <c r="H188" s="466">
        <v>0</v>
      </c>
      <c r="I188" s="477"/>
      <c r="J188" s="616"/>
      <c r="K188" s="1667">
        <f t="shared" ref="K188:K193" si="18">SUM(E188,H188)</f>
        <v>0</v>
      </c>
      <c r="L188" s="466"/>
    </row>
    <row r="189" spans="1:14" x14ac:dyDescent="0.2">
      <c r="A189" s="1500" t="s">
        <v>304</v>
      </c>
      <c r="B189" s="614">
        <v>4120</v>
      </c>
      <c r="C189" s="616"/>
      <c r="D189" s="616"/>
      <c r="E189" s="466">
        <v>0</v>
      </c>
      <c r="F189" s="616"/>
      <c r="G189" s="616"/>
      <c r="H189" s="466">
        <v>0</v>
      </c>
      <c r="I189" s="477"/>
      <c r="J189" s="616"/>
      <c r="K189" s="1667">
        <f t="shared" si="18"/>
        <v>0</v>
      </c>
      <c r="L189" s="466"/>
    </row>
    <row r="190" spans="1:14" x14ac:dyDescent="0.2">
      <c r="A190" s="1500" t="s">
        <v>305</v>
      </c>
      <c r="B190" s="628">
        <v>4130</v>
      </c>
      <c r="C190" s="616"/>
      <c r="D190" s="616"/>
      <c r="E190" s="466">
        <v>0</v>
      </c>
      <c r="F190" s="616"/>
      <c r="G190" s="616"/>
      <c r="H190" s="466">
        <v>0</v>
      </c>
      <c r="I190" s="477"/>
      <c r="J190" s="616"/>
      <c r="K190" s="1667">
        <f t="shared" si="18"/>
        <v>0</v>
      </c>
      <c r="L190" s="466"/>
    </row>
    <row r="191" spans="1:14" x14ac:dyDescent="0.2">
      <c r="A191" s="1500" t="s">
        <v>697</v>
      </c>
      <c r="B191" s="614">
        <v>4140</v>
      </c>
      <c r="C191" s="616"/>
      <c r="D191" s="616"/>
      <c r="E191" s="466">
        <v>0</v>
      </c>
      <c r="F191" s="616"/>
      <c r="G191" s="616"/>
      <c r="H191" s="466">
        <v>0</v>
      </c>
      <c r="I191" s="477"/>
      <c r="J191" s="616"/>
      <c r="K191" s="1667">
        <f t="shared" si="18"/>
        <v>0</v>
      </c>
      <c r="L191" s="466"/>
    </row>
    <row r="192" spans="1:14" x14ac:dyDescent="0.2">
      <c r="A192" s="1500" t="s">
        <v>86</v>
      </c>
      <c r="B192" s="614">
        <v>4170</v>
      </c>
      <c r="C192" s="616"/>
      <c r="D192" s="616"/>
      <c r="E192" s="466">
        <v>0</v>
      </c>
      <c r="F192" s="616"/>
      <c r="G192" s="616"/>
      <c r="H192" s="466">
        <v>0</v>
      </c>
      <c r="I192" s="477"/>
      <c r="J192" s="616"/>
      <c r="K192" s="1667">
        <f t="shared" si="18"/>
        <v>0</v>
      </c>
      <c r="L192" s="466"/>
    </row>
    <row r="193" spans="1:14" x14ac:dyDescent="0.2">
      <c r="A193" s="1504" t="s">
        <v>698</v>
      </c>
      <c r="B193" s="628">
        <v>4190</v>
      </c>
      <c r="C193" s="616"/>
      <c r="D193" s="616"/>
      <c r="E193" s="466">
        <v>0</v>
      </c>
      <c r="F193" s="616"/>
      <c r="G193" s="616"/>
      <c r="H193" s="466">
        <v>0</v>
      </c>
      <c r="I193" s="477"/>
      <c r="J193" s="616"/>
      <c r="K193" s="1667">
        <f t="shared" si="18"/>
        <v>0</v>
      </c>
      <c r="L193" s="466"/>
    </row>
    <row r="194" spans="1:14" ht="12.75" customHeight="1" thickBot="1" x14ac:dyDescent="0.25">
      <c r="A194" s="1664" t="s">
        <v>1140</v>
      </c>
      <c r="B194" s="1665" t="s">
        <v>559</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931</v>
      </c>
      <c r="C195" s="616"/>
      <c r="D195" s="616"/>
      <c r="E195" s="656">
        <v>0</v>
      </c>
      <c r="F195" s="616"/>
      <c r="G195" s="616"/>
      <c r="H195" s="656">
        <v>0</v>
      </c>
      <c r="I195" s="477"/>
      <c r="J195" s="616"/>
      <c r="K195" s="1681">
        <f>SUM(E195,H195)</f>
        <v>0</v>
      </c>
      <c r="L195" s="656"/>
    </row>
    <row r="196" spans="1:14" ht="12.75" customHeight="1" thickBot="1" x14ac:dyDescent="0.25">
      <c r="A196" s="1664" t="s">
        <v>1487</v>
      </c>
      <c r="B196" s="1665" t="s">
        <v>860</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8" t="s">
        <v>940</v>
      </c>
      <c r="B197" s="1605"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0" t="s">
        <v>87</v>
      </c>
      <c r="B199" s="614">
        <v>5110</v>
      </c>
      <c r="C199" s="616"/>
      <c r="D199" s="616"/>
      <c r="E199" s="616"/>
      <c r="F199" s="616"/>
      <c r="G199" s="616"/>
      <c r="H199" s="466">
        <v>0</v>
      </c>
      <c r="I199" s="616"/>
      <c r="J199" s="616"/>
      <c r="K199" s="1667">
        <f>SUM(H199)</f>
        <v>0</v>
      </c>
      <c r="L199" s="466"/>
    </row>
    <row r="200" spans="1:14" x14ac:dyDescent="0.2">
      <c r="A200" s="1500" t="s">
        <v>88</v>
      </c>
      <c r="B200" s="614">
        <v>5120</v>
      </c>
      <c r="C200" s="616"/>
      <c r="D200" s="616"/>
      <c r="E200" s="616"/>
      <c r="F200" s="616"/>
      <c r="G200" s="616"/>
      <c r="H200" s="466">
        <v>0</v>
      </c>
      <c r="I200" s="616"/>
      <c r="J200" s="616"/>
      <c r="K200" s="1667">
        <f>SUM(H200)</f>
        <v>0</v>
      </c>
      <c r="L200" s="466"/>
    </row>
    <row r="201" spans="1:14" ht="12.75" customHeight="1" x14ac:dyDescent="0.2">
      <c r="A201" s="1500" t="s">
        <v>1170</v>
      </c>
      <c r="B201" s="628" t="s">
        <v>617</v>
      </c>
      <c r="C201" s="616"/>
      <c r="D201" s="616"/>
      <c r="E201" s="616"/>
      <c r="F201" s="616"/>
      <c r="G201" s="616"/>
      <c r="H201" s="466">
        <v>0</v>
      </c>
      <c r="I201" s="616"/>
      <c r="J201" s="616"/>
      <c r="K201" s="1667">
        <f>SUM(H201)</f>
        <v>0</v>
      </c>
      <c r="L201" s="466"/>
    </row>
    <row r="202" spans="1:14" x14ac:dyDescent="0.2">
      <c r="A202" s="1500" t="s">
        <v>89</v>
      </c>
      <c r="B202" s="614" t="s">
        <v>589</v>
      </c>
      <c r="C202" s="616"/>
      <c r="D202" s="616"/>
      <c r="E202" s="616"/>
      <c r="F202" s="616"/>
      <c r="G202" s="616"/>
      <c r="H202" s="466">
        <v>0</v>
      </c>
      <c r="I202" s="616"/>
      <c r="J202" s="616"/>
      <c r="K202" s="1667">
        <f>SUM(H202)</f>
        <v>0</v>
      </c>
      <c r="L202" s="466"/>
    </row>
    <row r="203" spans="1:14" x14ac:dyDescent="0.2">
      <c r="A203" s="1512" t="s">
        <v>619</v>
      </c>
      <c r="B203" s="614" t="s">
        <v>618</v>
      </c>
      <c r="C203" s="616"/>
      <c r="D203" s="616"/>
      <c r="E203" s="616"/>
      <c r="F203" s="616"/>
      <c r="G203" s="616"/>
      <c r="H203" s="471">
        <v>0</v>
      </c>
      <c r="I203" s="616"/>
      <c r="J203" s="616"/>
      <c r="K203" s="1667">
        <f>SUM(H203)</f>
        <v>0</v>
      </c>
      <c r="L203" s="471"/>
    </row>
    <row r="204" spans="1:14" ht="13.5" thickBot="1" x14ac:dyDescent="0.25">
      <c r="A204" s="1664" t="s">
        <v>276</v>
      </c>
      <c r="B204" s="1665" t="s">
        <v>718</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v>0</v>
      </c>
      <c r="I205" s="616"/>
      <c r="J205" s="616"/>
      <c r="K205" s="1681">
        <f>SUM(H205)</f>
        <v>0</v>
      </c>
      <c r="L205" s="535"/>
    </row>
    <row r="206" spans="1:14" ht="30" customHeight="1" x14ac:dyDescent="0.2">
      <c r="A206" s="681" t="s">
        <v>1671</v>
      </c>
      <c r="B206" s="672" t="s">
        <v>31</v>
      </c>
      <c r="C206" s="616"/>
      <c r="D206" s="616"/>
      <c r="E206" s="616"/>
      <c r="F206" s="616"/>
      <c r="G206" s="616"/>
      <c r="H206" s="466">
        <v>0</v>
      </c>
      <c r="I206" s="616"/>
      <c r="J206" s="616"/>
      <c r="K206" s="1667">
        <f>SUM(H206)</f>
        <v>0</v>
      </c>
      <c r="L206" s="466"/>
    </row>
    <row r="207" spans="1:14" ht="15.75" customHeight="1" x14ac:dyDescent="0.2">
      <c r="A207" s="621" t="s">
        <v>766</v>
      </c>
      <c r="B207" s="672" t="s">
        <v>84</v>
      </c>
      <c r="C207" s="616"/>
      <c r="D207" s="616"/>
      <c r="E207" s="616"/>
      <c r="F207" s="616"/>
      <c r="G207" s="616"/>
      <c r="H207" s="467">
        <v>0</v>
      </c>
      <c r="I207" s="616"/>
      <c r="J207" s="616"/>
      <c r="K207" s="1667">
        <f>H207</f>
        <v>0</v>
      </c>
      <c r="L207" s="466"/>
    </row>
    <row r="208" spans="1:14" ht="12.75" customHeight="1" thickBot="1" x14ac:dyDescent="0.25">
      <c r="A208" s="1682" t="s">
        <v>638</v>
      </c>
      <c r="B208" s="1683" t="s">
        <v>492</v>
      </c>
      <c r="C208" s="616"/>
      <c r="D208" s="616"/>
      <c r="E208" s="616"/>
      <c r="F208" s="616"/>
      <c r="G208" s="616"/>
      <c r="H208" s="1673">
        <f>SUM(H204,H205,H206,H207)</f>
        <v>0</v>
      </c>
      <c r="I208" s="616"/>
      <c r="J208" s="616"/>
      <c r="K208" s="1673">
        <f>SUM(K204,K205,K206,K207)</f>
        <v>0</v>
      </c>
      <c r="L208" s="1673">
        <f>SUM(L204,L205,L206,L207)</f>
        <v>0</v>
      </c>
    </row>
    <row r="209" spans="1:14" ht="15.75" customHeight="1" thickTop="1" thickBot="1" x14ac:dyDescent="0.25">
      <c r="A209" s="1602" t="s">
        <v>872</v>
      </c>
      <c r="B209" s="1609" t="s">
        <v>861</v>
      </c>
      <c r="C209" s="623"/>
      <c r="D209" s="623"/>
      <c r="E209" s="623"/>
      <c r="F209" s="623"/>
      <c r="G209" s="623"/>
      <c r="H209" s="623"/>
      <c r="I209" s="616"/>
      <c r="J209" s="616"/>
      <c r="K209" s="623"/>
      <c r="L209" s="576"/>
    </row>
    <row r="210" spans="1:14" ht="12.75" customHeight="1" thickTop="1" thickBot="1" x14ac:dyDescent="0.25">
      <c r="A210" s="1688" t="s">
        <v>277</v>
      </c>
      <c r="B210" s="1689"/>
      <c r="C210" s="1666">
        <f>SUM(C184,C185)</f>
        <v>349725</v>
      </c>
      <c r="D210" s="1666">
        <f>SUM(D184,D185)</f>
        <v>74225</v>
      </c>
      <c r="E210" s="1666">
        <f>SUM(E184,E185,E196)</f>
        <v>904923</v>
      </c>
      <c r="F210" s="1666">
        <f>SUM(F184,F185)</f>
        <v>21944</v>
      </c>
      <c r="G210" s="1666">
        <f>SUM(G184,G185)</f>
        <v>264315</v>
      </c>
      <c r="H210" s="1666">
        <f>SUM(H184,H185,H196,H208,H209)</f>
        <v>0</v>
      </c>
      <c r="I210" s="1666">
        <f>SUM(I184,I185)</f>
        <v>0</v>
      </c>
      <c r="J210" s="1666">
        <f>SUM(J184,J185)</f>
        <v>0</v>
      </c>
      <c r="K210" s="1667">
        <f>SUM(K184,K185,K196,K208,K209)</f>
        <v>1615132</v>
      </c>
      <c r="L210" s="1666">
        <f>SUM(L184,L185,L196,L208,L209)</f>
        <v>1597704</v>
      </c>
    </row>
    <row r="211" spans="1:14" ht="13.5" thickTop="1" x14ac:dyDescent="0.2">
      <c r="A211" s="2185" t="s">
        <v>996</v>
      </c>
      <c r="B211" s="2186"/>
      <c r="C211" s="618"/>
      <c r="D211" s="618"/>
      <c r="E211" s="618"/>
      <c r="F211" s="618"/>
      <c r="G211" s="618"/>
      <c r="H211" s="618"/>
      <c r="I211" s="616"/>
      <c r="J211" s="616"/>
      <c r="K211" s="1680">
        <f>'Revenues 9-14'!F268-'Expenditures 15-22'!K210</f>
        <v>124838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47"/>
      <c r="D213" s="1548"/>
      <c r="E213" s="1548"/>
      <c r="F213" s="1548"/>
      <c r="G213" s="1548"/>
      <c r="H213" s="1548"/>
      <c r="I213" s="1548"/>
      <c r="J213" s="1548"/>
      <c r="K213" s="1548"/>
      <c r="L213" s="1549"/>
      <c r="M213" s="609"/>
      <c r="N213" s="609"/>
    </row>
    <row r="214" spans="1:14" s="674" customFormat="1" ht="15.75" customHeight="1" x14ac:dyDescent="0.2">
      <c r="A214" s="1619" t="s">
        <v>873</v>
      </c>
      <c r="B214" s="1611" t="s">
        <v>570</v>
      </c>
      <c r="C214" s="616"/>
      <c r="D214" s="623"/>
      <c r="E214" s="616"/>
      <c r="F214" s="616"/>
      <c r="G214" s="616"/>
      <c r="H214" s="616"/>
      <c r="I214" s="616"/>
      <c r="J214" s="616"/>
      <c r="K214" s="623"/>
      <c r="L214" s="623"/>
      <c r="M214" s="665"/>
      <c r="N214" s="665"/>
    </row>
    <row r="215" spans="1:14" x14ac:dyDescent="0.2">
      <c r="A215" s="1500" t="s">
        <v>961</v>
      </c>
      <c r="B215" s="614">
        <v>1100</v>
      </c>
      <c r="C215" s="616"/>
      <c r="D215" s="466">
        <v>131980</v>
      </c>
      <c r="E215" s="616"/>
      <c r="F215" s="616"/>
      <c r="G215" s="616"/>
      <c r="H215" s="616"/>
      <c r="I215" s="616"/>
      <c r="J215" s="616"/>
      <c r="K215" s="1667">
        <f>D215</f>
        <v>131980</v>
      </c>
      <c r="L215" s="466">
        <v>135882</v>
      </c>
    </row>
    <row r="216" spans="1:14" x14ac:dyDescent="0.2">
      <c r="A216" s="1500" t="s">
        <v>163</v>
      </c>
      <c r="B216" s="614" t="s">
        <v>967</v>
      </c>
      <c r="C216" s="616"/>
      <c r="D216" s="467">
        <v>0</v>
      </c>
      <c r="E216" s="616"/>
      <c r="F216" s="616"/>
      <c r="G216" s="616"/>
      <c r="H216" s="616"/>
      <c r="I216" s="616"/>
      <c r="J216" s="616"/>
      <c r="K216" s="1667">
        <f t="shared" ref="K216:K228" si="19">D216</f>
        <v>0</v>
      </c>
      <c r="L216" s="466"/>
    </row>
    <row r="217" spans="1:14" x14ac:dyDescent="0.2">
      <c r="A217" s="1500" t="s">
        <v>164</v>
      </c>
      <c r="B217" s="614">
        <v>1200</v>
      </c>
      <c r="C217" s="616"/>
      <c r="D217" s="466">
        <v>218426</v>
      </c>
      <c r="E217" s="616"/>
      <c r="F217" s="616"/>
      <c r="G217" s="616"/>
      <c r="H217" s="616"/>
      <c r="I217" s="616"/>
      <c r="J217" s="616"/>
      <c r="K217" s="1667">
        <f t="shared" si="19"/>
        <v>218426</v>
      </c>
      <c r="L217" s="466">
        <v>249123</v>
      </c>
    </row>
    <row r="218" spans="1:14" x14ac:dyDescent="0.2">
      <c r="A218" s="1500" t="s">
        <v>278</v>
      </c>
      <c r="B218" s="614" t="s">
        <v>968</v>
      </c>
      <c r="C218" s="616"/>
      <c r="D218" s="467">
        <v>0</v>
      </c>
      <c r="E218" s="616"/>
      <c r="F218" s="616"/>
      <c r="G218" s="616"/>
      <c r="H218" s="616"/>
      <c r="I218" s="616"/>
      <c r="J218" s="616"/>
      <c r="K218" s="1667">
        <f t="shared" si="19"/>
        <v>0</v>
      </c>
      <c r="L218" s="466"/>
    </row>
    <row r="219" spans="1:14" x14ac:dyDescent="0.2">
      <c r="A219" s="1500" t="s">
        <v>279</v>
      </c>
      <c r="B219" s="614">
        <v>1250</v>
      </c>
      <c r="C219" s="616"/>
      <c r="D219" s="466">
        <v>577</v>
      </c>
      <c r="E219" s="616"/>
      <c r="F219" s="616"/>
      <c r="G219" s="616"/>
      <c r="H219" s="616"/>
      <c r="I219" s="616"/>
      <c r="J219" s="616"/>
      <c r="K219" s="1667">
        <f t="shared" si="19"/>
        <v>577</v>
      </c>
      <c r="L219" s="466">
        <v>1585</v>
      </c>
    </row>
    <row r="220" spans="1:14" x14ac:dyDescent="0.2">
      <c r="A220" s="1500" t="s">
        <v>280</v>
      </c>
      <c r="B220" s="614" t="s">
        <v>161</v>
      </c>
      <c r="C220" s="616"/>
      <c r="D220" s="467">
        <v>0</v>
      </c>
      <c r="E220" s="616"/>
      <c r="F220" s="616"/>
      <c r="G220" s="616"/>
      <c r="H220" s="616"/>
      <c r="I220" s="616"/>
      <c r="J220" s="616"/>
      <c r="K220" s="1667">
        <f t="shared" si="19"/>
        <v>0</v>
      </c>
      <c r="L220" s="466"/>
    </row>
    <row r="221" spans="1:14" x14ac:dyDescent="0.2">
      <c r="A221" s="1500" t="s">
        <v>962</v>
      </c>
      <c r="B221" s="614">
        <v>1300</v>
      </c>
      <c r="C221" s="616"/>
      <c r="D221" s="466">
        <v>0</v>
      </c>
      <c r="E221" s="616"/>
      <c r="F221" s="616"/>
      <c r="G221" s="616"/>
      <c r="H221" s="616"/>
      <c r="I221" s="616"/>
      <c r="J221" s="616"/>
      <c r="K221" s="1667">
        <f t="shared" si="19"/>
        <v>0</v>
      </c>
      <c r="L221" s="466"/>
    </row>
    <row r="222" spans="1:14" x14ac:dyDescent="0.2">
      <c r="A222" s="1500" t="s">
        <v>723</v>
      </c>
      <c r="B222" s="614">
        <v>1400</v>
      </c>
      <c r="C222" s="616"/>
      <c r="D222" s="466">
        <v>0</v>
      </c>
      <c r="E222" s="616"/>
      <c r="F222" s="616"/>
      <c r="G222" s="616"/>
      <c r="H222" s="616"/>
      <c r="I222" s="616"/>
      <c r="J222" s="616"/>
      <c r="K222" s="1667">
        <f t="shared" si="19"/>
        <v>0</v>
      </c>
      <c r="L222" s="466"/>
    </row>
    <row r="223" spans="1:14" x14ac:dyDescent="0.2">
      <c r="A223" s="1500" t="s">
        <v>963</v>
      </c>
      <c r="B223" s="614">
        <v>1500</v>
      </c>
      <c r="C223" s="616"/>
      <c r="D223" s="466">
        <v>5770</v>
      </c>
      <c r="E223" s="616"/>
      <c r="F223" s="616"/>
      <c r="G223" s="616"/>
      <c r="H223" s="616"/>
      <c r="I223" s="616"/>
      <c r="J223" s="616"/>
      <c r="K223" s="1667">
        <f t="shared" si="19"/>
        <v>5770</v>
      </c>
      <c r="L223" s="466">
        <v>4983</v>
      </c>
    </row>
    <row r="224" spans="1:14" x14ac:dyDescent="0.2">
      <c r="A224" s="1500" t="s">
        <v>964</v>
      </c>
      <c r="B224" s="614">
        <v>1600</v>
      </c>
      <c r="C224" s="616"/>
      <c r="D224" s="466">
        <v>4362</v>
      </c>
      <c r="E224" s="616"/>
      <c r="F224" s="616"/>
      <c r="G224" s="616"/>
      <c r="H224" s="616"/>
      <c r="I224" s="616"/>
      <c r="J224" s="616"/>
      <c r="K224" s="1667">
        <f t="shared" si="19"/>
        <v>4362</v>
      </c>
      <c r="L224" s="466">
        <v>12063</v>
      </c>
    </row>
    <row r="225" spans="1:12" x14ac:dyDescent="0.2">
      <c r="A225" s="1500" t="s">
        <v>987</v>
      </c>
      <c r="B225" s="614">
        <v>1650</v>
      </c>
      <c r="C225" s="616"/>
      <c r="D225" s="466">
        <v>1255</v>
      </c>
      <c r="E225" s="616"/>
      <c r="F225" s="616"/>
      <c r="G225" s="616"/>
      <c r="H225" s="616"/>
      <c r="I225" s="616"/>
      <c r="J225" s="616"/>
      <c r="K225" s="1667">
        <f t="shared" si="19"/>
        <v>1255</v>
      </c>
      <c r="L225" s="466">
        <v>180</v>
      </c>
    </row>
    <row r="226" spans="1:12" x14ac:dyDescent="0.2">
      <c r="A226" s="1500" t="s">
        <v>724</v>
      </c>
      <c r="B226" s="614" t="s">
        <v>162</v>
      </c>
      <c r="C226" s="616"/>
      <c r="D226" s="467">
        <v>0</v>
      </c>
      <c r="E226" s="616"/>
      <c r="F226" s="616"/>
      <c r="G226" s="616"/>
      <c r="H226" s="616"/>
      <c r="I226" s="616"/>
      <c r="J226" s="616"/>
      <c r="K226" s="1667">
        <f t="shared" si="19"/>
        <v>0</v>
      </c>
      <c r="L226" s="466"/>
    </row>
    <row r="227" spans="1:12" x14ac:dyDescent="0.2">
      <c r="A227" s="1500" t="s">
        <v>1087</v>
      </c>
      <c r="B227" s="614">
        <v>1800</v>
      </c>
      <c r="C227" s="616"/>
      <c r="D227" s="466">
        <v>48624</v>
      </c>
      <c r="E227" s="616"/>
      <c r="F227" s="616"/>
      <c r="G227" s="616"/>
      <c r="H227" s="616"/>
      <c r="I227" s="616"/>
      <c r="J227" s="616"/>
      <c r="K227" s="1667">
        <f t="shared" si="19"/>
        <v>48624</v>
      </c>
      <c r="L227" s="466">
        <v>51318</v>
      </c>
    </row>
    <row r="228" spans="1:12" x14ac:dyDescent="0.2">
      <c r="A228" s="1500" t="s">
        <v>1088</v>
      </c>
      <c r="B228" s="614">
        <v>1900</v>
      </c>
      <c r="C228" s="616"/>
      <c r="D228" s="466">
        <v>0</v>
      </c>
      <c r="E228" s="616"/>
      <c r="F228" s="616"/>
      <c r="G228" s="616"/>
      <c r="H228" s="616"/>
      <c r="I228" s="616"/>
      <c r="J228" s="616"/>
      <c r="K228" s="1667">
        <f t="shared" si="19"/>
        <v>0</v>
      </c>
      <c r="L228" s="466"/>
    </row>
    <row r="229" spans="1:12" ht="12.75" customHeight="1" thickBot="1" x14ac:dyDescent="0.25">
      <c r="A229" s="1664" t="s">
        <v>715</v>
      </c>
      <c r="B229" s="1671" t="s">
        <v>570</v>
      </c>
      <c r="C229" s="616"/>
      <c r="D229" s="1666">
        <f>SUM(D215:D228)</f>
        <v>410994</v>
      </c>
      <c r="E229" s="616"/>
      <c r="F229" s="616"/>
      <c r="G229" s="616"/>
      <c r="H229" s="616"/>
      <c r="I229" s="616"/>
      <c r="J229" s="616"/>
      <c r="K229" s="1666">
        <f>SUM(K215:K228)</f>
        <v>410994</v>
      </c>
      <c r="L229" s="1666">
        <f>SUM(L215:L228)</f>
        <v>455134</v>
      </c>
    </row>
    <row r="230" spans="1:12" ht="15.75" customHeight="1" thickTop="1" x14ac:dyDescent="0.2">
      <c r="A230" s="1608" t="s">
        <v>874</v>
      </c>
      <c r="B230" s="1609"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0" t="s">
        <v>1089</v>
      </c>
      <c r="B232" s="614">
        <v>2110</v>
      </c>
      <c r="C232" s="616"/>
      <c r="D232" s="466">
        <v>6220</v>
      </c>
      <c r="E232" s="616"/>
      <c r="F232" s="616"/>
      <c r="G232" s="616"/>
      <c r="H232" s="616"/>
      <c r="I232" s="616"/>
      <c r="J232" s="616"/>
      <c r="K232" s="1667">
        <f t="shared" ref="K232:K237" si="20">D232</f>
        <v>6220</v>
      </c>
      <c r="L232" s="466">
        <v>9155</v>
      </c>
    </row>
    <row r="233" spans="1:12" x14ac:dyDescent="0.2">
      <c r="A233" s="1500" t="s">
        <v>1090</v>
      </c>
      <c r="B233" s="614">
        <v>2120</v>
      </c>
      <c r="C233" s="616"/>
      <c r="D233" s="466">
        <v>0</v>
      </c>
      <c r="E233" s="616"/>
      <c r="F233" s="616"/>
      <c r="G233" s="616"/>
      <c r="H233" s="616"/>
      <c r="I233" s="616"/>
      <c r="J233" s="616"/>
      <c r="K233" s="1667">
        <f t="shared" si="20"/>
        <v>0</v>
      </c>
      <c r="L233" s="466"/>
    </row>
    <row r="234" spans="1:12" x14ac:dyDescent="0.2">
      <c r="A234" s="1500" t="s">
        <v>198</v>
      </c>
      <c r="B234" s="614">
        <v>2130</v>
      </c>
      <c r="C234" s="616"/>
      <c r="D234" s="466">
        <v>34983</v>
      </c>
      <c r="E234" s="616"/>
      <c r="F234" s="616"/>
      <c r="G234" s="616"/>
      <c r="H234" s="616"/>
      <c r="I234" s="616"/>
      <c r="J234" s="616"/>
      <c r="K234" s="1667">
        <f t="shared" si="20"/>
        <v>34983</v>
      </c>
      <c r="L234" s="466">
        <v>25410</v>
      </c>
    </row>
    <row r="235" spans="1:12" x14ac:dyDescent="0.2">
      <c r="A235" s="1500" t="s">
        <v>199</v>
      </c>
      <c r="B235" s="614">
        <v>2140</v>
      </c>
      <c r="C235" s="616"/>
      <c r="D235" s="466">
        <v>3184</v>
      </c>
      <c r="E235" s="616"/>
      <c r="F235" s="616"/>
      <c r="G235" s="616"/>
      <c r="H235" s="616"/>
      <c r="I235" s="616"/>
      <c r="J235" s="616"/>
      <c r="K235" s="1667">
        <f t="shared" si="20"/>
        <v>3184</v>
      </c>
      <c r="L235" s="466">
        <v>1854</v>
      </c>
    </row>
    <row r="236" spans="1:12" x14ac:dyDescent="0.2">
      <c r="A236" s="1500" t="s">
        <v>200</v>
      </c>
      <c r="B236" s="614">
        <v>2150</v>
      </c>
      <c r="C236" s="616"/>
      <c r="D236" s="466">
        <v>3350</v>
      </c>
      <c r="E236" s="616"/>
      <c r="F236" s="616"/>
      <c r="G236" s="616"/>
      <c r="H236" s="616"/>
      <c r="I236" s="616"/>
      <c r="J236" s="616"/>
      <c r="K236" s="1667">
        <f t="shared" si="20"/>
        <v>3350</v>
      </c>
      <c r="L236" s="466">
        <v>4296</v>
      </c>
    </row>
    <row r="237" spans="1:12" x14ac:dyDescent="0.2">
      <c r="A237" s="1500" t="s">
        <v>165</v>
      </c>
      <c r="B237" s="614">
        <v>2190</v>
      </c>
      <c r="C237" s="616"/>
      <c r="D237" s="466">
        <v>0</v>
      </c>
      <c r="E237" s="616"/>
      <c r="F237" s="616"/>
      <c r="G237" s="616"/>
      <c r="H237" s="616"/>
      <c r="I237" s="616"/>
      <c r="J237" s="616"/>
      <c r="K237" s="1667">
        <f t="shared" si="20"/>
        <v>0</v>
      </c>
      <c r="L237" s="466"/>
    </row>
    <row r="238" spans="1:12" ht="12.75" customHeight="1" thickBot="1" x14ac:dyDescent="0.25">
      <c r="A238" s="1664" t="s">
        <v>560</v>
      </c>
      <c r="B238" s="1671" t="s">
        <v>716</v>
      </c>
      <c r="C238" s="616"/>
      <c r="D238" s="1666">
        <f>SUM(D232:D237)</f>
        <v>47737</v>
      </c>
      <c r="E238" s="616"/>
      <c r="F238" s="616"/>
      <c r="G238" s="616"/>
      <c r="H238" s="616"/>
      <c r="I238" s="616"/>
      <c r="J238" s="616"/>
      <c r="K238" s="1666">
        <f>SUM(K232:K237)</f>
        <v>47737</v>
      </c>
      <c r="L238" s="1666">
        <f>SUM(L232:L237)</f>
        <v>40715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0" t="s">
        <v>814</v>
      </c>
      <c r="B240" s="614">
        <v>2210</v>
      </c>
      <c r="C240" s="616"/>
      <c r="D240" s="481">
        <v>22228</v>
      </c>
      <c r="E240" s="616"/>
      <c r="F240" s="616"/>
      <c r="G240" s="616"/>
      <c r="H240" s="616"/>
      <c r="I240" s="616"/>
      <c r="J240" s="616"/>
      <c r="K240" s="1668">
        <f>D240</f>
        <v>22228</v>
      </c>
      <c r="L240" s="481">
        <v>24894</v>
      </c>
    </row>
    <row r="241" spans="1:12" x14ac:dyDescent="0.2">
      <c r="A241" s="1500" t="s">
        <v>815</v>
      </c>
      <c r="B241" s="614">
        <v>2220</v>
      </c>
      <c r="C241" s="616"/>
      <c r="D241" s="466">
        <v>17148</v>
      </c>
      <c r="E241" s="616"/>
      <c r="F241" s="616"/>
      <c r="G241" s="616"/>
      <c r="H241" s="616"/>
      <c r="I241" s="616"/>
      <c r="J241" s="616"/>
      <c r="K241" s="1668">
        <f>D241</f>
        <v>17148</v>
      </c>
      <c r="L241" s="466">
        <v>19696</v>
      </c>
    </row>
    <row r="242" spans="1:12" x14ac:dyDescent="0.2">
      <c r="A242" s="1500" t="s">
        <v>816</v>
      </c>
      <c r="B242" s="614">
        <v>2230</v>
      </c>
      <c r="C242" s="616"/>
      <c r="D242" s="466">
        <v>1603</v>
      </c>
      <c r="E242" s="616"/>
      <c r="F242" s="616"/>
      <c r="G242" s="616"/>
      <c r="H242" s="616"/>
      <c r="I242" s="616"/>
      <c r="J242" s="616"/>
      <c r="K242" s="1668">
        <f>D242</f>
        <v>1603</v>
      </c>
      <c r="L242" s="466">
        <v>199</v>
      </c>
    </row>
    <row r="243" spans="1:12" ht="12.75" customHeight="1" thickBot="1" x14ac:dyDescent="0.25">
      <c r="A243" s="1690" t="s">
        <v>561</v>
      </c>
      <c r="B243" s="1691">
        <v>2200</v>
      </c>
      <c r="C243" s="616"/>
      <c r="D243" s="1666">
        <f>SUM(D240:D242)</f>
        <v>40979</v>
      </c>
      <c r="E243" s="616"/>
      <c r="F243" s="616"/>
      <c r="G243" s="616"/>
      <c r="H243" s="616"/>
      <c r="I243" s="616"/>
      <c r="J243" s="616"/>
      <c r="K243" s="1666">
        <f>SUM(K240:K242)</f>
        <v>40979</v>
      </c>
      <c r="L243" s="1666">
        <f>SUM(L240:L242)</f>
        <v>44789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0" t="s">
        <v>817</v>
      </c>
      <c r="B245" s="614">
        <v>2310</v>
      </c>
      <c r="C245" s="616"/>
      <c r="D245" s="481">
        <v>0</v>
      </c>
      <c r="E245" s="616"/>
      <c r="F245" s="616"/>
      <c r="G245" s="616"/>
      <c r="H245" s="616"/>
      <c r="I245" s="616"/>
      <c r="J245" s="616"/>
      <c r="K245" s="1668">
        <f>D245</f>
        <v>0</v>
      </c>
      <c r="L245" s="481"/>
    </row>
    <row r="246" spans="1:12" x14ac:dyDescent="0.2">
      <c r="A246" s="1500" t="s">
        <v>818</v>
      </c>
      <c r="B246" s="614">
        <v>2320</v>
      </c>
      <c r="C246" s="616"/>
      <c r="D246" s="466">
        <v>108</v>
      </c>
      <c r="E246" s="616"/>
      <c r="F246" s="616"/>
      <c r="G246" s="616"/>
      <c r="H246" s="616"/>
      <c r="I246" s="616"/>
      <c r="J246" s="616"/>
      <c r="K246" s="1668">
        <f t="shared" ref="K246:K256" si="21">D246</f>
        <v>108</v>
      </c>
      <c r="L246" s="466">
        <v>3720</v>
      </c>
    </row>
    <row r="247" spans="1:12" x14ac:dyDescent="0.2">
      <c r="A247" s="1500" t="s">
        <v>819</v>
      </c>
      <c r="B247" s="614">
        <v>2330</v>
      </c>
      <c r="C247" s="616"/>
      <c r="D247" s="466">
        <v>18942</v>
      </c>
      <c r="E247" s="616"/>
      <c r="F247" s="616"/>
      <c r="G247" s="616"/>
      <c r="H247" s="616"/>
      <c r="I247" s="616"/>
      <c r="J247" s="616"/>
      <c r="K247" s="1668">
        <f t="shared" si="21"/>
        <v>18942</v>
      </c>
      <c r="L247" s="466">
        <v>16736</v>
      </c>
    </row>
    <row r="248" spans="1:12" x14ac:dyDescent="0.2">
      <c r="A248" s="1501" t="s">
        <v>299</v>
      </c>
      <c r="B248" s="602" t="s">
        <v>281</v>
      </c>
      <c r="C248" s="616"/>
      <c r="D248" s="474">
        <v>0</v>
      </c>
      <c r="E248" s="616"/>
      <c r="F248" s="616"/>
      <c r="G248" s="616"/>
      <c r="H248" s="616"/>
      <c r="I248" s="616"/>
      <c r="J248" s="616"/>
      <c r="K248" s="1668">
        <f t="shared" si="21"/>
        <v>0</v>
      </c>
      <c r="L248" s="466"/>
    </row>
    <row r="249" spans="1:12" x14ac:dyDescent="0.2">
      <c r="A249" s="1502" t="s">
        <v>1802</v>
      </c>
      <c r="B249" s="683" t="s">
        <v>282</v>
      </c>
      <c r="C249" s="616"/>
      <c r="D249" s="474">
        <v>0</v>
      </c>
      <c r="E249" s="616"/>
      <c r="F249" s="616"/>
      <c r="G249" s="616"/>
      <c r="H249" s="616"/>
      <c r="I249" s="616"/>
      <c r="J249" s="616"/>
      <c r="K249" s="1668">
        <f t="shared" si="21"/>
        <v>0</v>
      </c>
      <c r="L249" s="466"/>
    </row>
    <row r="250" spans="1:12" x14ac:dyDescent="0.2">
      <c r="A250" s="1501" t="s">
        <v>1803</v>
      </c>
      <c r="B250" s="602" t="s">
        <v>283</v>
      </c>
      <c r="C250" s="616"/>
      <c r="D250" s="474">
        <v>0</v>
      </c>
      <c r="E250" s="616"/>
      <c r="F250" s="616"/>
      <c r="G250" s="616"/>
      <c r="H250" s="616"/>
      <c r="I250" s="616"/>
      <c r="J250" s="616"/>
      <c r="K250" s="1668">
        <f t="shared" si="21"/>
        <v>0</v>
      </c>
      <c r="L250" s="466"/>
    </row>
    <row r="251" spans="1:12" x14ac:dyDescent="0.2">
      <c r="A251" s="1501" t="s">
        <v>238</v>
      </c>
      <c r="B251" s="602" t="s">
        <v>284</v>
      </c>
      <c r="C251" s="616"/>
      <c r="D251" s="474">
        <v>0</v>
      </c>
      <c r="E251" s="616"/>
      <c r="F251" s="616"/>
      <c r="G251" s="616"/>
      <c r="H251" s="616"/>
      <c r="I251" s="616"/>
      <c r="J251" s="616"/>
      <c r="K251" s="1668">
        <f t="shared" si="21"/>
        <v>0</v>
      </c>
      <c r="L251" s="466"/>
    </row>
    <row r="252" spans="1:12" x14ac:dyDescent="0.2">
      <c r="A252" s="1501" t="s">
        <v>702</v>
      </c>
      <c r="B252" s="602" t="s">
        <v>285</v>
      </c>
      <c r="C252" s="616"/>
      <c r="D252" s="474">
        <v>0</v>
      </c>
      <c r="E252" s="616"/>
      <c r="F252" s="616"/>
      <c r="G252" s="616"/>
      <c r="H252" s="616"/>
      <c r="I252" s="616"/>
      <c r="J252" s="616"/>
      <c r="K252" s="1668">
        <f t="shared" si="21"/>
        <v>0</v>
      </c>
      <c r="L252" s="466"/>
    </row>
    <row r="253" spans="1:12" x14ac:dyDescent="0.2">
      <c r="A253" s="1501" t="s">
        <v>239</v>
      </c>
      <c r="B253" s="602" t="s">
        <v>286</v>
      </c>
      <c r="C253" s="616"/>
      <c r="D253" s="474">
        <v>0</v>
      </c>
      <c r="E253" s="616"/>
      <c r="F253" s="616"/>
      <c r="G253" s="616"/>
      <c r="H253" s="616"/>
      <c r="I253" s="616"/>
      <c r="J253" s="616"/>
      <c r="K253" s="1668">
        <f t="shared" si="21"/>
        <v>0</v>
      </c>
      <c r="L253" s="466"/>
    </row>
    <row r="254" spans="1:12" ht="22.5" x14ac:dyDescent="0.2">
      <c r="A254" s="1501" t="s">
        <v>1029</v>
      </c>
      <c r="B254" s="683" t="s">
        <v>287</v>
      </c>
      <c r="C254" s="616"/>
      <c r="D254" s="474">
        <v>1296</v>
      </c>
      <c r="E254" s="616"/>
      <c r="F254" s="616"/>
      <c r="G254" s="616"/>
      <c r="H254" s="616"/>
      <c r="I254" s="616"/>
      <c r="J254" s="616"/>
      <c r="K254" s="1668">
        <f t="shared" si="21"/>
        <v>1296</v>
      </c>
      <c r="L254" s="466">
        <v>1530</v>
      </c>
    </row>
    <row r="255" spans="1:12" x14ac:dyDescent="0.2">
      <c r="A255" s="1501" t="s">
        <v>1030</v>
      </c>
      <c r="B255" s="602" t="s">
        <v>288</v>
      </c>
      <c r="C255" s="616"/>
      <c r="D255" s="474">
        <v>0</v>
      </c>
      <c r="E255" s="616"/>
      <c r="F255" s="616"/>
      <c r="G255" s="616"/>
      <c r="H255" s="616"/>
      <c r="I255" s="616"/>
      <c r="J255" s="616"/>
      <c r="K255" s="1668">
        <f t="shared" si="21"/>
        <v>0</v>
      </c>
      <c r="L255" s="466"/>
    </row>
    <row r="256" spans="1:12" x14ac:dyDescent="0.2">
      <c r="A256" s="1501" t="s">
        <v>971</v>
      </c>
      <c r="B256" s="614" t="s">
        <v>289</v>
      </c>
      <c r="C256" s="616"/>
      <c r="D256" s="474">
        <v>0</v>
      </c>
      <c r="E256" s="616"/>
      <c r="F256" s="616"/>
      <c r="G256" s="616"/>
      <c r="H256" s="616"/>
      <c r="I256" s="616"/>
      <c r="J256" s="616"/>
      <c r="K256" s="1668">
        <f t="shared" si="21"/>
        <v>0</v>
      </c>
      <c r="L256" s="466"/>
    </row>
    <row r="257" spans="1:14" ht="12.75" customHeight="1" thickBot="1" x14ac:dyDescent="0.25">
      <c r="A257" s="1664" t="s">
        <v>717</v>
      </c>
      <c r="B257" s="1692">
        <v>2300</v>
      </c>
      <c r="C257" s="616"/>
      <c r="D257" s="1666">
        <f>SUM(D245:D256)</f>
        <v>20346</v>
      </c>
      <c r="E257" s="616"/>
      <c r="F257" s="616"/>
      <c r="G257" s="616"/>
      <c r="H257" s="616"/>
      <c r="I257" s="616"/>
      <c r="J257" s="616"/>
      <c r="K257" s="1666">
        <f>SUM(K245:K256)</f>
        <v>20346</v>
      </c>
      <c r="L257" s="1666">
        <f>SUM(L245:L256)</f>
        <v>21986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0" t="s">
        <v>1067</v>
      </c>
      <c r="B259" s="685">
        <v>2410</v>
      </c>
      <c r="C259" s="616"/>
      <c r="D259" s="481">
        <v>85743</v>
      </c>
      <c r="E259" s="616"/>
      <c r="F259" s="616"/>
      <c r="G259" s="616"/>
      <c r="H259" s="616"/>
      <c r="I259" s="616"/>
      <c r="J259" s="616"/>
      <c r="K259" s="1668">
        <f>D259</f>
        <v>85743</v>
      </c>
      <c r="L259" s="481">
        <v>97859</v>
      </c>
    </row>
    <row r="260" spans="1:14" s="597" customFormat="1" x14ac:dyDescent="0.2">
      <c r="A260" s="1518" t="s">
        <v>1801</v>
      </c>
      <c r="B260" s="628">
        <v>2490</v>
      </c>
      <c r="C260" s="616"/>
      <c r="D260" s="466">
        <v>0</v>
      </c>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85743</v>
      </c>
      <c r="E261" s="616"/>
      <c r="F261" s="616"/>
      <c r="G261" s="616"/>
      <c r="H261" s="616"/>
      <c r="I261" s="616"/>
      <c r="J261" s="616"/>
      <c r="K261" s="1666">
        <f>SUM(K259:K260)</f>
        <v>85743</v>
      </c>
      <c r="L261" s="1666">
        <f>SUM(L259:L260)</f>
        <v>97859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0" t="s">
        <v>1068</v>
      </c>
      <c r="B263" s="685">
        <v>2510</v>
      </c>
      <c r="C263" s="616"/>
      <c r="D263" s="466">
        <v>21326</v>
      </c>
      <c r="E263" s="616"/>
      <c r="F263" s="616"/>
      <c r="G263" s="616"/>
      <c r="H263" s="616"/>
      <c r="I263" s="616"/>
      <c r="J263" s="616"/>
      <c r="K263" s="1668">
        <f>D263</f>
        <v>21326</v>
      </c>
      <c r="L263" s="481">
        <v>16024</v>
      </c>
    </row>
    <row r="264" spans="1:14" x14ac:dyDescent="0.2">
      <c r="A264" s="1500" t="s">
        <v>463</v>
      </c>
      <c r="B264" s="685">
        <v>2520</v>
      </c>
      <c r="C264" s="616"/>
      <c r="D264" s="466">
        <v>80930</v>
      </c>
      <c r="E264" s="616"/>
      <c r="F264" s="616"/>
      <c r="G264" s="616"/>
      <c r="H264" s="616"/>
      <c r="I264" s="616"/>
      <c r="J264" s="616"/>
      <c r="K264" s="1668">
        <f t="shared" ref="K264:K269" si="22">D264</f>
        <v>80930</v>
      </c>
      <c r="L264" s="466">
        <v>91924</v>
      </c>
    </row>
    <row r="265" spans="1:14" x14ac:dyDescent="0.2">
      <c r="A265" s="1500" t="s">
        <v>4</v>
      </c>
      <c r="B265" s="614">
        <v>2530</v>
      </c>
      <c r="C265" s="616"/>
      <c r="D265" s="466">
        <v>0</v>
      </c>
      <c r="E265" s="616"/>
      <c r="F265" s="616"/>
      <c r="G265" s="616"/>
      <c r="H265" s="616"/>
      <c r="I265" s="616"/>
      <c r="J265" s="616"/>
      <c r="K265" s="1668">
        <f t="shared" si="22"/>
        <v>0</v>
      </c>
      <c r="L265" s="466"/>
    </row>
    <row r="266" spans="1:14" x14ac:dyDescent="0.2">
      <c r="A266" s="1500" t="s">
        <v>197</v>
      </c>
      <c r="B266" s="614">
        <v>2540</v>
      </c>
      <c r="C266" s="616"/>
      <c r="D266" s="466">
        <v>228870</v>
      </c>
      <c r="E266" s="616"/>
      <c r="F266" s="616"/>
      <c r="G266" s="616"/>
      <c r="H266" s="616"/>
      <c r="I266" s="616"/>
      <c r="J266" s="616"/>
      <c r="K266" s="1668">
        <f t="shared" si="22"/>
        <v>228870</v>
      </c>
      <c r="L266" s="466">
        <v>242157</v>
      </c>
    </row>
    <row r="267" spans="1:14" x14ac:dyDescent="0.2">
      <c r="A267" s="1500" t="s">
        <v>953</v>
      </c>
      <c r="B267" s="614">
        <v>2550</v>
      </c>
      <c r="C267" s="616"/>
      <c r="D267" s="466">
        <v>58087</v>
      </c>
      <c r="E267" s="616"/>
      <c r="F267" s="616"/>
      <c r="G267" s="616"/>
      <c r="H267" s="616"/>
      <c r="I267" s="616"/>
      <c r="J267" s="616"/>
      <c r="K267" s="1668">
        <f t="shared" si="22"/>
        <v>58087</v>
      </c>
      <c r="L267" s="466">
        <v>71811</v>
      </c>
    </row>
    <row r="268" spans="1:14" x14ac:dyDescent="0.2">
      <c r="A268" s="1500" t="s">
        <v>100</v>
      </c>
      <c r="B268" s="614">
        <v>2560</v>
      </c>
      <c r="C268" s="616"/>
      <c r="D268" s="466">
        <v>70784</v>
      </c>
      <c r="E268" s="616"/>
      <c r="F268" s="616"/>
      <c r="G268" s="616"/>
      <c r="H268" s="616"/>
      <c r="I268" s="616"/>
      <c r="J268" s="616"/>
      <c r="K268" s="1668">
        <f t="shared" si="22"/>
        <v>70784</v>
      </c>
      <c r="L268" s="466">
        <v>100548</v>
      </c>
    </row>
    <row r="269" spans="1:14" x14ac:dyDescent="0.2">
      <c r="A269" s="1500" t="s">
        <v>101</v>
      </c>
      <c r="B269" s="614">
        <v>2570</v>
      </c>
      <c r="C269" s="616"/>
      <c r="D269" s="466">
        <v>0</v>
      </c>
      <c r="E269" s="616"/>
      <c r="F269" s="616"/>
      <c r="G269" s="616"/>
      <c r="H269" s="616"/>
      <c r="I269" s="616"/>
      <c r="J269" s="616"/>
      <c r="K269" s="1668">
        <f t="shared" si="22"/>
        <v>0</v>
      </c>
      <c r="L269" s="466"/>
    </row>
    <row r="270" spans="1:14" ht="12.75" customHeight="1" thickBot="1" x14ac:dyDescent="0.25">
      <c r="A270" s="1664" t="s">
        <v>719</v>
      </c>
      <c r="B270" s="1671" t="s">
        <v>35</v>
      </c>
      <c r="C270" s="616"/>
      <c r="D270" s="1666">
        <f>SUM(D263:D269)</f>
        <v>459997</v>
      </c>
      <c r="E270" s="616"/>
      <c r="F270" s="616"/>
      <c r="G270" s="616"/>
      <c r="H270" s="616"/>
      <c r="I270" s="616"/>
      <c r="J270" s="616"/>
      <c r="K270" s="1666">
        <f>SUM(K263:K269)</f>
        <v>459997</v>
      </c>
      <c r="L270" s="1666">
        <f>SUM(L263:L269)</f>
        <v>522464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0" t="s">
        <v>1060</v>
      </c>
      <c r="B272" s="614">
        <v>2610</v>
      </c>
      <c r="C272" s="616"/>
      <c r="D272" s="481">
        <v>0</v>
      </c>
      <c r="E272" s="616"/>
      <c r="F272" s="616"/>
      <c r="G272" s="616"/>
      <c r="H272" s="616"/>
      <c r="I272" s="616"/>
      <c r="J272" s="616"/>
      <c r="K272" s="1668">
        <f>D272</f>
        <v>0</v>
      </c>
      <c r="L272" s="481"/>
    </row>
    <row r="273" spans="1:12" x14ac:dyDescent="0.2">
      <c r="A273" s="1500" t="s">
        <v>607</v>
      </c>
      <c r="B273" s="628">
        <v>2620</v>
      </c>
      <c r="C273" s="616"/>
      <c r="D273" s="466">
        <v>9626</v>
      </c>
      <c r="E273" s="616"/>
      <c r="F273" s="616"/>
      <c r="G273" s="616"/>
      <c r="H273" s="616"/>
      <c r="I273" s="616"/>
      <c r="J273" s="616"/>
      <c r="K273" s="1668">
        <f>D273</f>
        <v>9626</v>
      </c>
      <c r="L273" s="466">
        <v>12910</v>
      </c>
    </row>
    <row r="274" spans="1:12" ht="12" customHeight="1" x14ac:dyDescent="0.2">
      <c r="A274" s="1500" t="s">
        <v>1061</v>
      </c>
      <c r="B274" s="614">
        <v>2630</v>
      </c>
      <c r="C274" s="616"/>
      <c r="D274" s="466">
        <v>0</v>
      </c>
      <c r="E274" s="616"/>
      <c r="F274" s="616"/>
      <c r="G274" s="616"/>
      <c r="H274" s="616"/>
      <c r="I274" s="616"/>
      <c r="J274" s="616"/>
      <c r="K274" s="1668">
        <f>D274</f>
        <v>0</v>
      </c>
      <c r="L274" s="466"/>
    </row>
    <row r="275" spans="1:12" x14ac:dyDescent="0.2">
      <c r="A275" s="1500" t="s">
        <v>403</v>
      </c>
      <c r="B275" s="614">
        <v>2640</v>
      </c>
      <c r="C275" s="616"/>
      <c r="D275" s="466">
        <v>2859</v>
      </c>
      <c r="E275" s="616"/>
      <c r="F275" s="616"/>
      <c r="G275" s="616"/>
      <c r="H275" s="616"/>
      <c r="I275" s="616"/>
      <c r="J275" s="616"/>
      <c r="K275" s="1668">
        <f>D275</f>
        <v>2859</v>
      </c>
      <c r="L275" s="466">
        <v>122</v>
      </c>
    </row>
    <row r="276" spans="1:12" x14ac:dyDescent="0.2">
      <c r="A276" s="1500" t="s">
        <v>404</v>
      </c>
      <c r="B276" s="614">
        <v>2660</v>
      </c>
      <c r="C276" s="616"/>
      <c r="D276" s="466">
        <v>50043</v>
      </c>
      <c r="E276" s="616"/>
      <c r="F276" s="616"/>
      <c r="G276" s="616"/>
      <c r="H276" s="616"/>
      <c r="I276" s="616"/>
      <c r="J276" s="616"/>
      <c r="K276" s="1668">
        <f>D276</f>
        <v>50043</v>
      </c>
      <c r="L276" s="466">
        <v>55191</v>
      </c>
    </row>
    <row r="277" spans="1:12" ht="12.75" customHeight="1" thickBot="1" x14ac:dyDescent="0.25">
      <c r="A277" s="1687" t="s">
        <v>37</v>
      </c>
      <c r="B277" s="1665" t="s">
        <v>36</v>
      </c>
      <c r="C277" s="616"/>
      <c r="D277" s="1666">
        <f>SUM(D272:D276)</f>
        <v>62528</v>
      </c>
      <c r="E277" s="616"/>
      <c r="F277" s="616"/>
      <c r="G277" s="616"/>
      <c r="H277" s="616"/>
      <c r="I277" s="616"/>
      <c r="J277" s="616"/>
      <c r="K277" s="1666">
        <f>SUM(K272:K276)</f>
        <v>62528</v>
      </c>
      <c r="L277" s="1666">
        <f>SUM(L272:L276)</f>
        <v>68223</v>
      </c>
    </row>
    <row r="278" spans="1:12" ht="13.5" customHeight="1" thickTop="1" x14ac:dyDescent="0.2">
      <c r="A278" s="1506" t="s">
        <v>980</v>
      </c>
      <c r="B278" s="655" t="s">
        <v>574</v>
      </c>
      <c r="C278" s="616"/>
      <c r="D278" s="656">
        <v>0</v>
      </c>
      <c r="E278" s="616"/>
      <c r="F278" s="616"/>
      <c r="G278" s="616"/>
      <c r="H278" s="616"/>
      <c r="I278" s="616"/>
      <c r="J278" s="616"/>
      <c r="K278" s="1681">
        <f>D278</f>
        <v>0</v>
      </c>
      <c r="L278" s="656"/>
    </row>
    <row r="279" spans="1:12" ht="12.75" customHeight="1" thickBot="1" x14ac:dyDescent="0.25">
      <c r="A279" s="1694" t="s">
        <v>811</v>
      </c>
      <c r="B279" s="1677">
        <v>2000</v>
      </c>
      <c r="C279" s="616"/>
      <c r="D279" s="1673">
        <f>SUM(D238,D243,D257,D261,D270,D277,D278)</f>
        <v>717330</v>
      </c>
      <c r="E279" s="616"/>
      <c r="F279" s="616"/>
      <c r="G279" s="616"/>
      <c r="H279" s="616"/>
      <c r="I279" s="616"/>
      <c r="J279" s="616"/>
      <c r="K279" s="1673">
        <f>SUM(K238,K243,K257,K261,K270,K277,K278)</f>
        <v>717330</v>
      </c>
      <c r="L279" s="1673">
        <f>SUM(L238,L243,L257,L261,L270,L277,L278)</f>
        <v>796036</v>
      </c>
    </row>
    <row r="280" spans="1:12" ht="15.75" customHeight="1" thickTop="1" thickBot="1" x14ac:dyDescent="0.25">
      <c r="A280" s="1620" t="s">
        <v>875</v>
      </c>
      <c r="B280" s="1609">
        <v>3000</v>
      </c>
      <c r="C280" s="616"/>
      <c r="D280" s="576">
        <v>10709</v>
      </c>
      <c r="E280" s="616"/>
      <c r="F280" s="616"/>
      <c r="G280" s="616"/>
      <c r="H280" s="616"/>
      <c r="I280" s="616"/>
      <c r="J280" s="616"/>
      <c r="K280" s="1675">
        <f>D280</f>
        <v>10709</v>
      </c>
      <c r="L280" s="576">
        <v>17349</v>
      </c>
    </row>
    <row r="281" spans="1:12" ht="15.75" customHeight="1" thickTop="1" x14ac:dyDescent="0.2">
      <c r="A281" s="1610" t="s">
        <v>142</v>
      </c>
      <c r="B281" s="1611" t="s">
        <v>860</v>
      </c>
      <c r="C281" s="616"/>
      <c r="D281" s="566"/>
      <c r="E281" s="616"/>
      <c r="F281" s="616"/>
      <c r="G281" s="616"/>
      <c r="H281" s="616"/>
      <c r="I281" s="616"/>
      <c r="J281" s="616"/>
      <c r="K281" s="616"/>
      <c r="L281" s="616"/>
    </row>
    <row r="282" spans="1:12" ht="15.75" customHeight="1" x14ac:dyDescent="0.2">
      <c r="A282" s="1826" t="s">
        <v>496</v>
      </c>
      <c r="B282" s="690" t="s">
        <v>1842</v>
      </c>
      <c r="C282" s="616"/>
      <c r="D282" s="467" t="s">
        <v>1169</v>
      </c>
      <c r="E282" s="616"/>
      <c r="F282" s="616"/>
      <c r="G282" s="616"/>
      <c r="H282" s="616"/>
      <c r="I282" s="616"/>
      <c r="J282" s="616"/>
      <c r="K282" s="1667" t="str">
        <f>D282</f>
        <v xml:space="preserve"> </v>
      </c>
      <c r="L282" s="467"/>
    </row>
    <row r="283" spans="1:12" x14ac:dyDescent="0.2">
      <c r="A283" s="1500" t="s">
        <v>304</v>
      </c>
      <c r="B283" s="614">
        <v>4120</v>
      </c>
      <c r="C283" s="616"/>
      <c r="D283" s="466">
        <v>0</v>
      </c>
      <c r="E283" s="616"/>
      <c r="F283" s="616"/>
      <c r="G283" s="616"/>
      <c r="H283" s="616"/>
      <c r="I283" s="616"/>
      <c r="J283" s="616"/>
      <c r="K283" s="1667">
        <f>D283</f>
        <v>0</v>
      </c>
      <c r="L283" s="466"/>
    </row>
    <row r="284" spans="1:12" x14ac:dyDescent="0.2">
      <c r="A284" s="1500" t="s">
        <v>697</v>
      </c>
      <c r="B284" s="614">
        <v>4140</v>
      </c>
      <c r="C284" s="616"/>
      <c r="D284" s="467">
        <v>0</v>
      </c>
      <c r="E284" s="616"/>
      <c r="F284" s="616"/>
      <c r="G284" s="616"/>
      <c r="H284" s="616"/>
      <c r="I284" s="616"/>
      <c r="J284" s="616"/>
      <c r="K284" s="1667">
        <f>D284</f>
        <v>0</v>
      </c>
      <c r="L284" s="466"/>
    </row>
    <row r="285" spans="1:12" ht="12.75" customHeight="1" thickBot="1" x14ac:dyDescent="0.25">
      <c r="A285" s="1664" t="s">
        <v>1487</v>
      </c>
      <c r="B285" s="1665" t="s">
        <v>860</v>
      </c>
      <c r="C285" s="616"/>
      <c r="D285" s="1666">
        <f>SUM(D282:D284)</f>
        <v>0</v>
      </c>
      <c r="E285" s="616"/>
      <c r="F285" s="616"/>
      <c r="G285" s="616"/>
      <c r="H285" s="616"/>
      <c r="I285" s="616"/>
      <c r="J285" s="616"/>
      <c r="K285" s="1666">
        <f>SUM(K282:K284)</f>
        <v>0</v>
      </c>
      <c r="L285" s="1666">
        <f>SUM(L282:L284)</f>
        <v>0</v>
      </c>
    </row>
    <row r="286" spans="1:12" ht="15.75" customHeight="1" thickTop="1" x14ac:dyDescent="0.2">
      <c r="A286" s="1608" t="s">
        <v>876</v>
      </c>
      <c r="B286" s="1605"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0" t="s">
        <v>87</v>
      </c>
      <c r="B288" s="614">
        <v>5110</v>
      </c>
      <c r="C288" s="616"/>
      <c r="D288" s="616"/>
      <c r="E288" s="616"/>
      <c r="F288" s="616"/>
      <c r="G288" s="616"/>
      <c r="H288" s="466">
        <v>0</v>
      </c>
      <c r="I288" s="616"/>
      <c r="J288" s="616"/>
      <c r="K288" s="1667">
        <f>H288</f>
        <v>0</v>
      </c>
      <c r="L288" s="466"/>
    </row>
    <row r="289" spans="1:14" x14ac:dyDescent="0.2">
      <c r="A289" s="1500" t="s">
        <v>88</v>
      </c>
      <c r="B289" s="614">
        <v>5120</v>
      </c>
      <c r="C289" s="616"/>
      <c r="D289" s="616"/>
      <c r="E289" s="616"/>
      <c r="F289" s="616"/>
      <c r="G289" s="616"/>
      <c r="H289" s="466">
        <v>0</v>
      </c>
      <c r="I289" s="616"/>
      <c r="J289" s="616"/>
      <c r="K289" s="1667">
        <f>H289</f>
        <v>0</v>
      </c>
      <c r="L289" s="466"/>
    </row>
    <row r="290" spans="1:14" ht="12.75" customHeight="1" x14ac:dyDescent="0.2">
      <c r="A290" s="1500" t="s">
        <v>1170</v>
      </c>
      <c r="B290" s="628" t="s">
        <v>617</v>
      </c>
      <c r="C290" s="616"/>
      <c r="D290" s="616"/>
      <c r="E290" s="616"/>
      <c r="F290" s="616"/>
      <c r="G290" s="616"/>
      <c r="H290" s="466">
        <v>0</v>
      </c>
      <c r="I290" s="616"/>
      <c r="J290" s="616"/>
      <c r="K290" s="1667">
        <f>H290</f>
        <v>0</v>
      </c>
      <c r="L290" s="466"/>
    </row>
    <row r="291" spans="1:14" x14ac:dyDescent="0.2">
      <c r="A291" s="1500" t="s">
        <v>89</v>
      </c>
      <c r="B291" s="614" t="s">
        <v>589</v>
      </c>
      <c r="C291" s="616"/>
      <c r="D291" s="616"/>
      <c r="E291" s="616"/>
      <c r="F291" s="616"/>
      <c r="G291" s="616"/>
      <c r="H291" s="466">
        <v>0</v>
      </c>
      <c r="I291" s="616"/>
      <c r="J291" s="616"/>
      <c r="K291" s="1667">
        <f>H291</f>
        <v>0</v>
      </c>
      <c r="L291" s="466"/>
    </row>
    <row r="292" spans="1:14" x14ac:dyDescent="0.2">
      <c r="A292" s="1500" t="s">
        <v>762</v>
      </c>
      <c r="B292" s="614" t="s">
        <v>618</v>
      </c>
      <c r="C292" s="616"/>
      <c r="D292" s="616"/>
      <c r="E292" s="616"/>
      <c r="F292" s="616"/>
      <c r="G292" s="616"/>
      <c r="H292" s="466">
        <v>0</v>
      </c>
      <c r="I292" s="616"/>
      <c r="J292" s="616"/>
      <c r="K292" s="1667">
        <f>H292</f>
        <v>0</v>
      </c>
      <c r="L292" s="466"/>
    </row>
    <row r="293" spans="1:14" ht="12.75" customHeight="1" thickBot="1" x14ac:dyDescent="0.25">
      <c r="A293" s="1664" t="s">
        <v>484</v>
      </c>
      <c r="B293" s="1665" t="s">
        <v>492</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1" t="s">
        <v>877</v>
      </c>
      <c r="B294" s="1609" t="s">
        <v>861</v>
      </c>
      <c r="C294" s="616"/>
      <c r="D294" s="623"/>
      <c r="E294" s="616"/>
      <c r="F294" s="616"/>
      <c r="G294" s="616"/>
      <c r="H294" s="686"/>
      <c r="I294" s="616"/>
      <c r="J294" s="616"/>
      <c r="K294" s="686"/>
      <c r="L294" s="578">
        <v>10000</v>
      </c>
    </row>
    <row r="295" spans="1:14" ht="12.75" customHeight="1" thickTop="1" thickBot="1" x14ac:dyDescent="0.25">
      <c r="A295" s="2176" t="s">
        <v>505</v>
      </c>
      <c r="B295" s="2177"/>
      <c r="C295" s="616"/>
      <c r="D295" s="1666">
        <f>SUM(D229,D279,D280,D285)</f>
        <v>1139033</v>
      </c>
      <c r="E295" s="616"/>
      <c r="F295" s="616"/>
      <c r="G295" s="616"/>
      <c r="H295" s="1666">
        <f>H293</f>
        <v>0</v>
      </c>
      <c r="I295" s="616"/>
      <c r="J295" s="616"/>
      <c r="K295" s="1666">
        <f>SUM(K229,K279,K280,K285,K293,K294)</f>
        <v>1139033</v>
      </c>
      <c r="L295" s="1666">
        <f>SUM(L229,L279,L280,L285,L293,L294)</f>
        <v>1278519</v>
      </c>
    </row>
    <row r="296" spans="1:14" ht="13.5" thickTop="1" x14ac:dyDescent="0.2">
      <c r="A296" s="2185" t="s">
        <v>996</v>
      </c>
      <c r="B296" s="2186"/>
      <c r="C296" s="616"/>
      <c r="D296" s="618"/>
      <c r="E296" s="616"/>
      <c r="F296" s="616"/>
      <c r="G296" s="616"/>
      <c r="H296" s="687"/>
      <c r="I296" s="616"/>
      <c r="J296" s="616"/>
      <c r="K296" s="1680">
        <f>'Revenues 9-14'!G268-'Expenditures 15-22'!K295</f>
        <v>186901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47"/>
      <c r="D298" s="1548"/>
      <c r="E298" s="1548"/>
      <c r="F298" s="1548"/>
      <c r="G298" s="1548"/>
      <c r="H298" s="1548"/>
      <c r="I298" s="1548"/>
      <c r="J298" s="1548"/>
      <c r="K298" s="1548"/>
      <c r="L298" s="1549"/>
    </row>
    <row r="299" spans="1:14" ht="15.75" customHeight="1" x14ac:dyDescent="0.2">
      <c r="A299" s="1608" t="s">
        <v>144</v>
      </c>
      <c r="B299" s="1611"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3" t="s">
        <v>608</v>
      </c>
      <c r="B301" s="689">
        <v>2530</v>
      </c>
      <c r="C301" s="466">
        <v>0</v>
      </c>
      <c r="D301" s="466">
        <v>0</v>
      </c>
      <c r="E301" s="466">
        <v>0</v>
      </c>
      <c r="F301" s="466">
        <v>0</v>
      </c>
      <c r="G301" s="466">
        <v>0</v>
      </c>
      <c r="H301" s="466">
        <v>0</v>
      </c>
      <c r="I301" s="467">
        <v>0</v>
      </c>
      <c r="J301" s="467">
        <v>0</v>
      </c>
      <c r="K301" s="1667">
        <f>SUM(C301:J301)</f>
        <v>0</v>
      </c>
      <c r="L301" s="467"/>
    </row>
    <row r="302" spans="1:14" ht="13.5" customHeight="1" x14ac:dyDescent="0.2">
      <c r="A302" s="1513" t="s">
        <v>980</v>
      </c>
      <c r="B302" s="614" t="s">
        <v>574</v>
      </c>
      <c r="C302" s="466">
        <v>0</v>
      </c>
      <c r="D302" s="466">
        <v>0</v>
      </c>
      <c r="E302" s="466">
        <v>0</v>
      </c>
      <c r="F302" s="466">
        <v>0</v>
      </c>
      <c r="G302" s="466">
        <v>0</v>
      </c>
      <c r="H302" s="466">
        <v>0</v>
      </c>
      <c r="I302" s="467">
        <v>0</v>
      </c>
      <c r="J302" s="467">
        <v>0</v>
      </c>
      <c r="K302" s="1667">
        <f>SUM(C302:J302)</f>
        <v>0</v>
      </c>
      <c r="L302" s="466"/>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8" t="s">
        <v>145</v>
      </c>
      <c r="B304" s="1609"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4" t="s">
        <v>1847</v>
      </c>
      <c r="B306" s="690" t="s">
        <v>1842</v>
      </c>
      <c r="C306" s="616"/>
      <c r="D306" s="616"/>
      <c r="E306" s="467">
        <v>0</v>
      </c>
      <c r="F306" s="616"/>
      <c r="G306" s="616"/>
      <c r="H306" s="467">
        <v>0</v>
      </c>
      <c r="I306" s="616"/>
      <c r="J306" s="616"/>
      <c r="K306" s="1667">
        <f>SUM(E306,H306)</f>
        <v>0</v>
      </c>
      <c r="L306" s="467"/>
    </row>
    <row r="307" spans="1:14" x14ac:dyDescent="0.2">
      <c r="A307" s="1500" t="s">
        <v>304</v>
      </c>
      <c r="B307" s="614">
        <v>4120</v>
      </c>
      <c r="C307" s="616"/>
      <c r="D307" s="616"/>
      <c r="E307" s="467">
        <v>0</v>
      </c>
      <c r="F307" s="616"/>
      <c r="G307" s="616"/>
      <c r="H307" s="467">
        <v>0</v>
      </c>
      <c r="I307" s="477"/>
      <c r="J307" s="616"/>
      <c r="K307" s="1667">
        <f>SUM(E307,H307)</f>
        <v>0</v>
      </c>
      <c r="L307" s="466"/>
    </row>
    <row r="308" spans="1:14" x14ac:dyDescent="0.2">
      <c r="A308" s="1500" t="s">
        <v>697</v>
      </c>
      <c r="B308" s="614">
        <v>4140</v>
      </c>
      <c r="C308" s="616"/>
      <c r="D308" s="616"/>
      <c r="E308" s="467">
        <v>0</v>
      </c>
      <c r="F308" s="616"/>
      <c r="G308" s="616"/>
      <c r="H308" s="467">
        <v>0</v>
      </c>
      <c r="I308" s="477"/>
      <c r="J308" s="616"/>
      <c r="K308" s="1667">
        <f>SUM(E308,H308)</f>
        <v>0</v>
      </c>
      <c r="L308" s="466"/>
    </row>
    <row r="309" spans="1:14" ht="12.75" customHeight="1" x14ac:dyDescent="0.2">
      <c r="A309" s="1504" t="s">
        <v>698</v>
      </c>
      <c r="B309" s="628">
        <v>4190</v>
      </c>
      <c r="C309" s="616"/>
      <c r="D309" s="616"/>
      <c r="E309" s="467">
        <v>0</v>
      </c>
      <c r="F309" s="616"/>
      <c r="G309" s="616"/>
      <c r="H309" s="467">
        <v>0</v>
      </c>
      <c r="I309" s="477"/>
      <c r="J309" s="616"/>
      <c r="K309" s="1667">
        <f>SUM(E309,H309)</f>
        <v>0</v>
      </c>
      <c r="L309" s="466"/>
    </row>
    <row r="310" spans="1:14" ht="12.75" customHeight="1" thickBot="1" x14ac:dyDescent="0.25">
      <c r="A310" s="1664" t="s">
        <v>1487</v>
      </c>
      <c r="B310" s="1671" t="s">
        <v>860</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5" t="s">
        <v>895</v>
      </c>
      <c r="B311" s="1607"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5"/>
      <c r="N312" s="665"/>
    </row>
    <row r="313" spans="1:14" ht="13.5" thickTop="1" x14ac:dyDescent="0.2">
      <c r="A313" s="2169" t="s">
        <v>996</v>
      </c>
      <c r="B313" s="2170"/>
      <c r="C313" s="626"/>
      <c r="D313" s="626"/>
      <c r="E313" s="626"/>
      <c r="F313" s="626"/>
      <c r="G313" s="626"/>
      <c r="H313" s="626"/>
      <c r="I313" s="626"/>
      <c r="J313" s="626"/>
      <c r="K313" s="1681">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2"/>
      <c r="D315" s="1553"/>
      <c r="E315" s="1553"/>
      <c r="F315" s="1553"/>
      <c r="G315" s="1553"/>
      <c r="H315" s="1553"/>
      <c r="I315" s="1553"/>
      <c r="J315" s="1553"/>
      <c r="K315" s="1553"/>
      <c r="L315" s="155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2"/>
      <c r="D317" s="1553"/>
      <c r="E317" s="1553"/>
      <c r="F317" s="1553"/>
      <c r="G317" s="1553"/>
      <c r="H317" s="1553"/>
      <c r="I317" s="1553"/>
      <c r="J317" s="1553"/>
      <c r="K317" s="1553"/>
      <c r="L317" s="1554"/>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5" t="s">
        <v>299</v>
      </c>
      <c r="B319" s="697" t="s">
        <v>281</v>
      </c>
      <c r="C319" s="467">
        <v>0</v>
      </c>
      <c r="D319" s="467">
        <v>0</v>
      </c>
      <c r="E319" s="467">
        <v>0</v>
      </c>
      <c r="F319" s="467">
        <v>0</v>
      </c>
      <c r="G319" s="467">
        <v>0</v>
      </c>
      <c r="H319" s="467">
        <v>0</v>
      </c>
      <c r="I319" s="467">
        <v>0</v>
      </c>
      <c r="J319" s="467">
        <v>0</v>
      </c>
      <c r="K319" s="1667">
        <f>SUM(C319:J319)</f>
        <v>0</v>
      </c>
      <c r="L319" s="467"/>
      <c r="M319" s="665"/>
      <c r="N319" s="665"/>
    </row>
    <row r="320" spans="1:14" s="674" customFormat="1" x14ac:dyDescent="0.2">
      <c r="A320" s="1519" t="s">
        <v>1802</v>
      </c>
      <c r="B320" s="698" t="s">
        <v>282</v>
      </c>
      <c r="C320" s="467">
        <v>0</v>
      </c>
      <c r="D320" s="467">
        <v>0</v>
      </c>
      <c r="E320" s="467">
        <v>0</v>
      </c>
      <c r="F320" s="467">
        <v>0</v>
      </c>
      <c r="G320" s="467">
        <v>0</v>
      </c>
      <c r="H320" s="467">
        <v>0</v>
      </c>
      <c r="I320" s="467">
        <v>0</v>
      </c>
      <c r="J320" s="467">
        <v>0</v>
      </c>
      <c r="K320" s="1667">
        <f t="shared" ref="K320:K327" si="24">SUM(C320:J320)</f>
        <v>0</v>
      </c>
      <c r="L320" s="467">
        <v>177464</v>
      </c>
      <c r="M320" s="665"/>
      <c r="N320" s="665"/>
    </row>
    <row r="321" spans="1:14" s="674" customFormat="1" x14ac:dyDescent="0.2">
      <c r="A321" s="1515" t="s">
        <v>300</v>
      </c>
      <c r="B321" s="697" t="s">
        <v>283</v>
      </c>
      <c r="C321" s="467">
        <v>0</v>
      </c>
      <c r="D321" s="467">
        <v>0</v>
      </c>
      <c r="E321" s="467">
        <v>0</v>
      </c>
      <c r="F321" s="467">
        <v>0</v>
      </c>
      <c r="G321" s="467">
        <v>0</v>
      </c>
      <c r="H321" s="467">
        <v>0</v>
      </c>
      <c r="I321" s="467">
        <v>0</v>
      </c>
      <c r="J321" s="467">
        <v>0</v>
      </c>
      <c r="K321" s="1667">
        <f t="shared" si="24"/>
        <v>0</v>
      </c>
      <c r="L321" s="467"/>
      <c r="M321" s="665"/>
      <c r="N321" s="665"/>
    </row>
    <row r="322" spans="1:14" s="674" customFormat="1" x14ac:dyDescent="0.2">
      <c r="A322" s="1515" t="s">
        <v>238</v>
      </c>
      <c r="B322" s="697" t="s">
        <v>284</v>
      </c>
      <c r="C322" s="467">
        <v>0</v>
      </c>
      <c r="D322" s="467">
        <v>0</v>
      </c>
      <c r="E322" s="467">
        <v>177464</v>
      </c>
      <c r="F322" s="467">
        <v>0</v>
      </c>
      <c r="G322" s="467">
        <v>0</v>
      </c>
      <c r="H322" s="467">
        <v>0</v>
      </c>
      <c r="I322" s="467">
        <v>0</v>
      </c>
      <c r="J322" s="467">
        <v>0</v>
      </c>
      <c r="K322" s="1667">
        <f t="shared" si="24"/>
        <v>177464</v>
      </c>
      <c r="L322" s="467">
        <v>18000</v>
      </c>
      <c r="M322" s="665"/>
      <c r="N322" s="665"/>
    </row>
    <row r="323" spans="1:14" s="674" customFormat="1" x14ac:dyDescent="0.2">
      <c r="A323" s="1515" t="s">
        <v>702</v>
      </c>
      <c r="B323" s="697" t="s">
        <v>285</v>
      </c>
      <c r="C323" s="467">
        <v>0</v>
      </c>
      <c r="D323" s="467">
        <v>0</v>
      </c>
      <c r="E323" s="467">
        <v>0</v>
      </c>
      <c r="F323" s="467">
        <v>0</v>
      </c>
      <c r="G323" s="467">
        <v>0</v>
      </c>
      <c r="H323" s="467">
        <v>0</v>
      </c>
      <c r="I323" s="467">
        <v>0</v>
      </c>
      <c r="J323" s="467">
        <v>0</v>
      </c>
      <c r="K323" s="1667">
        <f t="shared" si="24"/>
        <v>0</v>
      </c>
      <c r="L323" s="467"/>
      <c r="M323" s="665"/>
      <c r="N323" s="665"/>
    </row>
    <row r="324" spans="1:14" s="674" customFormat="1" x14ac:dyDescent="0.2">
      <c r="A324" s="1515" t="s">
        <v>239</v>
      </c>
      <c r="B324" s="697" t="s">
        <v>286</v>
      </c>
      <c r="C324" s="467">
        <v>0</v>
      </c>
      <c r="D324" s="467">
        <v>0</v>
      </c>
      <c r="E324" s="467">
        <v>0</v>
      </c>
      <c r="F324" s="467">
        <v>0</v>
      </c>
      <c r="G324" s="467">
        <v>0</v>
      </c>
      <c r="H324" s="467">
        <v>0</v>
      </c>
      <c r="I324" s="467">
        <v>0</v>
      </c>
      <c r="J324" s="467">
        <v>0</v>
      </c>
      <c r="K324" s="1667">
        <f t="shared" si="24"/>
        <v>0</v>
      </c>
      <c r="L324" s="467"/>
      <c r="M324" s="665"/>
      <c r="N324" s="665"/>
    </row>
    <row r="325" spans="1:14" s="674" customFormat="1" ht="22.5" x14ac:dyDescent="0.2">
      <c r="A325" s="1515" t="s">
        <v>1029</v>
      </c>
      <c r="B325" s="698" t="s">
        <v>287</v>
      </c>
      <c r="C325" s="467">
        <v>15919</v>
      </c>
      <c r="D325" s="467">
        <v>0</v>
      </c>
      <c r="E325" s="467">
        <v>34532</v>
      </c>
      <c r="F325" s="467">
        <v>0</v>
      </c>
      <c r="G325" s="467">
        <v>0</v>
      </c>
      <c r="H325" s="467">
        <v>0</v>
      </c>
      <c r="I325" s="467">
        <v>0</v>
      </c>
      <c r="J325" s="467">
        <v>0</v>
      </c>
      <c r="K325" s="1667">
        <f t="shared" si="24"/>
        <v>50451</v>
      </c>
      <c r="L325" s="467">
        <v>50227</v>
      </c>
      <c r="M325" s="665"/>
      <c r="N325" s="665"/>
    </row>
    <row r="326" spans="1:14" s="674" customFormat="1" x14ac:dyDescent="0.2">
      <c r="A326" s="1515" t="s">
        <v>1030</v>
      </c>
      <c r="B326" s="697" t="s">
        <v>288</v>
      </c>
      <c r="C326" s="467">
        <v>0</v>
      </c>
      <c r="D326" s="467">
        <v>0</v>
      </c>
      <c r="E326" s="467">
        <v>0</v>
      </c>
      <c r="F326" s="467">
        <v>0</v>
      </c>
      <c r="G326" s="467">
        <v>0</v>
      </c>
      <c r="H326" s="467">
        <v>0</v>
      </c>
      <c r="I326" s="467">
        <v>0</v>
      </c>
      <c r="J326" s="467">
        <v>0</v>
      </c>
      <c r="K326" s="1667">
        <f t="shared" si="24"/>
        <v>0</v>
      </c>
      <c r="L326" s="467"/>
      <c r="M326" s="665"/>
      <c r="N326" s="665"/>
    </row>
    <row r="327" spans="1:14" s="674" customFormat="1" x14ac:dyDescent="0.2">
      <c r="A327" s="1515" t="s">
        <v>971</v>
      </c>
      <c r="B327" s="697" t="s">
        <v>289</v>
      </c>
      <c r="C327" s="467">
        <v>0</v>
      </c>
      <c r="D327" s="467">
        <v>0</v>
      </c>
      <c r="E327" s="467">
        <v>77197</v>
      </c>
      <c r="F327" s="467">
        <v>0</v>
      </c>
      <c r="G327" s="467">
        <v>0</v>
      </c>
      <c r="H327" s="467">
        <v>0</v>
      </c>
      <c r="I327" s="467">
        <v>0</v>
      </c>
      <c r="J327" s="467">
        <v>0</v>
      </c>
      <c r="K327" s="1667">
        <f t="shared" si="24"/>
        <v>77197</v>
      </c>
      <c r="L327" s="467">
        <v>44000</v>
      </c>
      <c r="M327" s="665"/>
      <c r="N327" s="665"/>
    </row>
    <row r="328" spans="1:14" s="674" customFormat="1" x14ac:dyDescent="0.2">
      <c r="A328" s="1516" t="s">
        <v>472</v>
      </c>
      <c r="B328" s="690" t="s">
        <v>1132</v>
      </c>
      <c r="C328" s="474">
        <v>0</v>
      </c>
      <c r="D328" s="474">
        <v>0</v>
      </c>
      <c r="E328" s="474">
        <v>0</v>
      </c>
      <c r="F328" s="474">
        <v>0</v>
      </c>
      <c r="G328" s="474">
        <v>0</v>
      </c>
      <c r="H328" s="474">
        <v>0</v>
      </c>
      <c r="I328" s="474">
        <v>0</v>
      </c>
      <c r="J328" s="474">
        <v>0</v>
      </c>
      <c r="K328" s="1695">
        <f>SUM(C328:J328)</f>
        <v>0</v>
      </c>
      <c r="L328" s="474"/>
      <c r="M328" s="665"/>
      <c r="N328" s="665"/>
    </row>
    <row r="329" spans="1:14" s="674" customFormat="1" x14ac:dyDescent="0.2">
      <c r="A329" s="1516" t="s">
        <v>1133</v>
      </c>
      <c r="B329" s="690" t="s">
        <v>1134</v>
      </c>
      <c r="C329" s="474">
        <v>0</v>
      </c>
      <c r="D329" s="474">
        <v>0</v>
      </c>
      <c r="E329" s="474">
        <v>0</v>
      </c>
      <c r="F329" s="474">
        <v>0</v>
      </c>
      <c r="G329" s="474">
        <v>0</v>
      </c>
      <c r="H329" s="474">
        <v>0</v>
      </c>
      <c r="I329" s="474">
        <v>0</v>
      </c>
      <c r="J329" s="474">
        <v>0</v>
      </c>
      <c r="K329" s="1695">
        <f>SUM(C329:J329)</f>
        <v>0</v>
      </c>
      <c r="L329" s="474"/>
      <c r="M329" s="665"/>
      <c r="N329" s="665"/>
    </row>
    <row r="330" spans="1:14" s="674" customFormat="1" ht="12.75" customHeight="1" thickBot="1" x14ac:dyDescent="0.25">
      <c r="A330" s="1696" t="s">
        <v>717</v>
      </c>
      <c r="B330" s="1665" t="s">
        <v>569</v>
      </c>
      <c r="C330" s="1666">
        <f>SUM(C319:C329)</f>
        <v>15919</v>
      </c>
      <c r="D330" s="1666">
        <f t="shared" ref="D330:J330" si="25">SUM(D319:D329)</f>
        <v>0</v>
      </c>
      <c r="E330" s="1666">
        <f t="shared" si="25"/>
        <v>289193</v>
      </c>
      <c r="F330" s="1666">
        <f t="shared" si="25"/>
        <v>0</v>
      </c>
      <c r="G330" s="1666">
        <f t="shared" si="25"/>
        <v>0</v>
      </c>
      <c r="H330" s="1666">
        <f t="shared" si="25"/>
        <v>0</v>
      </c>
      <c r="I330" s="1666">
        <f t="shared" si="25"/>
        <v>0</v>
      </c>
      <c r="J330" s="1666">
        <f t="shared" si="25"/>
        <v>0</v>
      </c>
      <c r="K330" s="1666">
        <f>SUM(K319:K329)</f>
        <v>305112</v>
      </c>
      <c r="L330" s="1666">
        <f>SUM(L319:L329)</f>
        <v>289691</v>
      </c>
      <c r="M330" s="665"/>
      <c r="N330" s="665"/>
    </row>
    <row r="331" spans="1:14" s="674" customFormat="1" ht="12.75" customHeight="1" thickTop="1" x14ac:dyDescent="0.2">
      <c r="A331" s="1827" t="s">
        <v>1848</v>
      </c>
      <c r="B331" s="647" t="s">
        <v>860</v>
      </c>
      <c r="C331" s="1829"/>
      <c r="D331" s="1829"/>
      <c r="E331" s="1829"/>
      <c r="F331" s="1829"/>
      <c r="G331" s="1829"/>
      <c r="H331" s="1829"/>
      <c r="I331" s="1829"/>
      <c r="J331" s="1829"/>
      <c r="K331" s="1829"/>
      <c r="L331" s="1829"/>
      <c r="M331" s="665"/>
      <c r="N331" s="665"/>
    </row>
    <row r="332" spans="1:14" s="674" customFormat="1" ht="12.75" customHeight="1" x14ac:dyDescent="0.2">
      <c r="A332" s="1828" t="s">
        <v>496</v>
      </c>
      <c r="B332" s="1823" t="s">
        <v>1842</v>
      </c>
      <c r="C332" s="1829"/>
      <c r="D332" s="1829"/>
      <c r="E332" s="1829"/>
      <c r="F332" s="1829"/>
      <c r="G332" s="1829"/>
      <c r="H332" s="467">
        <v>0</v>
      </c>
      <c r="I332" s="1829"/>
      <c r="J332" s="1829"/>
      <c r="K332" s="1667">
        <f>H332</f>
        <v>0</v>
      </c>
      <c r="L332" s="467"/>
      <c r="M332" s="665"/>
      <c r="N332" s="665"/>
    </row>
    <row r="333" spans="1:14" s="674" customFormat="1" ht="12.75" customHeight="1" x14ac:dyDescent="0.2">
      <c r="A333" s="1828" t="s">
        <v>304</v>
      </c>
      <c r="B333" s="1823" t="s">
        <v>1844</v>
      </c>
      <c r="C333" s="1829"/>
      <c r="D333" s="1829"/>
      <c r="E333" s="1829"/>
      <c r="F333" s="1829"/>
      <c r="G333" s="1829"/>
      <c r="H333" s="467">
        <v>0</v>
      </c>
      <c r="I333" s="1829"/>
      <c r="J333" s="1829"/>
      <c r="K333" s="1667">
        <f>H333</f>
        <v>0</v>
      </c>
      <c r="L333" s="467"/>
      <c r="M333" s="665"/>
      <c r="N333" s="665"/>
    </row>
    <row r="334" spans="1:14" s="674" customFormat="1" ht="12.75" customHeight="1" thickBot="1" x14ac:dyDescent="0.25">
      <c r="A334" s="1828" t="s">
        <v>1849</v>
      </c>
      <c r="B334" s="1823" t="s">
        <v>860</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2" t="s">
        <v>899</v>
      </c>
      <c r="B335" s="1603"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4" t="s">
        <v>87</v>
      </c>
      <c r="B337" s="690" t="s">
        <v>900</v>
      </c>
      <c r="C337" s="638"/>
      <c r="D337" s="638"/>
      <c r="E337" s="638"/>
      <c r="F337" s="638"/>
      <c r="G337" s="638"/>
      <c r="H337" s="478">
        <v>0</v>
      </c>
      <c r="I337" s="638"/>
      <c r="J337" s="638"/>
      <c r="K337" s="1667">
        <f>H337</f>
        <v>0</v>
      </c>
      <c r="L337" s="478"/>
    </row>
    <row r="338" spans="1:14" ht="12.75" customHeight="1" x14ac:dyDescent="0.2">
      <c r="A338" s="1514" t="s">
        <v>1170</v>
      </c>
      <c r="B338" s="690" t="s">
        <v>617</v>
      </c>
      <c r="C338" s="638"/>
      <c r="D338" s="638"/>
      <c r="E338" s="638"/>
      <c r="F338" s="638"/>
      <c r="G338" s="638"/>
      <c r="H338" s="478">
        <v>0</v>
      </c>
      <c r="I338" s="638"/>
      <c r="J338" s="638"/>
      <c r="K338" s="1667">
        <f>H338</f>
        <v>0</v>
      </c>
      <c r="L338" s="478"/>
    </row>
    <row r="339" spans="1:14" x14ac:dyDescent="0.2">
      <c r="A339" s="1500" t="s">
        <v>901</v>
      </c>
      <c r="B339" s="628">
        <v>5150</v>
      </c>
      <c r="C339" s="638"/>
      <c r="D339" s="638"/>
      <c r="E339" s="638"/>
      <c r="F339" s="638"/>
      <c r="G339" s="638"/>
      <c r="H339" s="467">
        <v>0</v>
      </c>
      <c r="I339" s="638"/>
      <c r="J339" s="638"/>
      <c r="K339" s="1667">
        <f>H339</f>
        <v>0</v>
      </c>
      <c r="L339" s="467"/>
    </row>
    <row r="340" spans="1:14" ht="13.5" thickBot="1" x14ac:dyDescent="0.25">
      <c r="A340" s="1690" t="s">
        <v>902</v>
      </c>
      <c r="B340" s="1665" t="s">
        <v>492</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5" t="s">
        <v>903</v>
      </c>
      <c r="B341" s="1607" t="s">
        <v>861</v>
      </c>
      <c r="C341" s="616"/>
      <c r="D341" s="616"/>
      <c r="E341" s="477"/>
      <c r="F341" s="468"/>
      <c r="G341" s="468"/>
      <c r="H341" s="477"/>
      <c r="I341" s="477"/>
      <c r="J341" s="468"/>
      <c r="K341" s="477"/>
      <c r="L341" s="576"/>
    </row>
    <row r="342" spans="1:14" ht="12.75" customHeight="1" thickTop="1" thickBot="1" x14ac:dyDescent="0.25">
      <c r="A342" s="1682" t="s">
        <v>505</v>
      </c>
      <c r="B342" s="1697"/>
      <c r="C342" s="1666">
        <f>SUM(C330)</f>
        <v>15919</v>
      </c>
      <c r="D342" s="1666">
        <f>SUM(D330)</f>
        <v>0</v>
      </c>
      <c r="E342" s="1666">
        <f>SUM(E330)</f>
        <v>289193</v>
      </c>
      <c r="F342" s="1666">
        <f>SUM(F330)</f>
        <v>0</v>
      </c>
      <c r="G342" s="1666">
        <f>SUM(G330)</f>
        <v>0</v>
      </c>
      <c r="H342" s="1666">
        <f>SUM(H330,H334,H340)</f>
        <v>0</v>
      </c>
      <c r="I342" s="1666">
        <f>SUM(I330)</f>
        <v>0</v>
      </c>
      <c r="J342" s="1666">
        <f>SUM(J330)</f>
        <v>0</v>
      </c>
      <c r="K342" s="1666">
        <f>SUM(K330,K334,K340)</f>
        <v>305112</v>
      </c>
      <c r="L342" s="1673">
        <f>SUM(L330,L340,L341)</f>
        <v>289691</v>
      </c>
    </row>
    <row r="343" spans="1:14" ht="12.75" customHeight="1" thickTop="1" x14ac:dyDescent="0.2">
      <c r="A343" s="2171" t="s">
        <v>996</v>
      </c>
      <c r="B343" s="2172"/>
      <c r="C343" s="616"/>
      <c r="D343" s="616"/>
      <c r="E343" s="616"/>
      <c r="F343" s="616"/>
      <c r="G343" s="616"/>
      <c r="H343" s="616"/>
      <c r="I343" s="616"/>
      <c r="J343" s="616"/>
      <c r="K343" s="1680">
        <f>'Revenues 9-14'!J268-'Expenditures 15-22'!K342</f>
        <v>-23862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47"/>
      <c r="D345" s="1548"/>
      <c r="E345" s="1548"/>
      <c r="F345" s="1548"/>
      <c r="G345" s="1548"/>
      <c r="H345" s="1548"/>
      <c r="I345" s="1548"/>
      <c r="J345" s="1548"/>
      <c r="K345" s="1548"/>
      <c r="L345" s="1549"/>
      <c r="M345" s="667"/>
      <c r="N345" s="667"/>
    </row>
    <row r="346" spans="1:14" s="343" customFormat="1" ht="15.75" customHeight="1" x14ac:dyDescent="0.2">
      <c r="A346" s="1619" t="s">
        <v>844</v>
      </c>
      <c r="B346" s="1611"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0" t="s">
        <v>4</v>
      </c>
      <c r="B348" s="614">
        <v>2530</v>
      </c>
      <c r="C348" s="466">
        <v>0</v>
      </c>
      <c r="D348" s="466">
        <v>0</v>
      </c>
      <c r="E348" s="466">
        <v>1525</v>
      </c>
      <c r="F348" s="466">
        <v>0</v>
      </c>
      <c r="G348" s="466">
        <v>0</v>
      </c>
      <c r="H348" s="466">
        <v>0</v>
      </c>
      <c r="I348" s="467">
        <v>0</v>
      </c>
      <c r="J348" s="467">
        <v>0</v>
      </c>
      <c r="K348" s="1667">
        <f>SUM(C348:J348)</f>
        <v>1525</v>
      </c>
      <c r="L348" s="466">
        <v>10000</v>
      </c>
    </row>
    <row r="349" spans="1:14" x14ac:dyDescent="0.2">
      <c r="A349" s="1500" t="s">
        <v>197</v>
      </c>
      <c r="B349" s="614">
        <v>2540</v>
      </c>
      <c r="C349" s="466">
        <v>0</v>
      </c>
      <c r="D349" s="466">
        <v>0</v>
      </c>
      <c r="E349" s="466">
        <v>0</v>
      </c>
      <c r="F349" s="466">
        <v>0</v>
      </c>
      <c r="G349" s="466">
        <v>0</v>
      </c>
      <c r="H349" s="466">
        <v>0</v>
      </c>
      <c r="I349" s="467">
        <v>0</v>
      </c>
      <c r="J349" s="467">
        <v>0</v>
      </c>
      <c r="K349" s="1667">
        <f>SUM(C349:J349)</f>
        <v>0</v>
      </c>
      <c r="L349" s="466"/>
    </row>
    <row r="350" spans="1:14" ht="12.75" customHeight="1" thickBot="1" x14ac:dyDescent="0.25">
      <c r="A350" s="1664" t="s">
        <v>719</v>
      </c>
      <c r="B350" s="1665" t="s">
        <v>35</v>
      </c>
      <c r="C350" s="1666">
        <f>SUM(C348:C349)</f>
        <v>0</v>
      </c>
      <c r="D350" s="1666">
        <f t="shared" ref="D350:L350" si="26">SUM(D348:D349)</f>
        <v>0</v>
      </c>
      <c r="E350" s="1666">
        <f t="shared" si="26"/>
        <v>1525</v>
      </c>
      <c r="F350" s="1666">
        <f t="shared" si="26"/>
        <v>0</v>
      </c>
      <c r="G350" s="1666">
        <f t="shared" si="26"/>
        <v>0</v>
      </c>
      <c r="H350" s="1666">
        <f t="shared" si="26"/>
        <v>0</v>
      </c>
      <c r="I350" s="1666">
        <f t="shared" si="26"/>
        <v>0</v>
      </c>
      <c r="J350" s="1666">
        <f t="shared" si="26"/>
        <v>0</v>
      </c>
      <c r="K350" s="1666">
        <f t="shared" si="26"/>
        <v>1525</v>
      </c>
      <c r="L350" s="1666">
        <f t="shared" si="26"/>
        <v>10000</v>
      </c>
    </row>
    <row r="351" spans="1:14" ht="12.75" customHeight="1" thickTop="1" x14ac:dyDescent="0.2">
      <c r="A351" s="1506"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4" t="s">
        <v>624</v>
      </c>
      <c r="B352" s="1671" t="s">
        <v>569</v>
      </c>
      <c r="C352" s="1666">
        <f>SUM(C350:C351)</f>
        <v>0</v>
      </c>
      <c r="D352" s="1666">
        <f t="shared" ref="D352:L352" si="27">SUM(D350:D351)</f>
        <v>0</v>
      </c>
      <c r="E352" s="1666">
        <f t="shared" si="27"/>
        <v>1525</v>
      </c>
      <c r="F352" s="1666">
        <f t="shared" si="27"/>
        <v>0</v>
      </c>
      <c r="G352" s="1666">
        <f t="shared" si="27"/>
        <v>0</v>
      </c>
      <c r="H352" s="1666">
        <f t="shared" si="27"/>
        <v>0</v>
      </c>
      <c r="I352" s="1666">
        <f t="shared" si="27"/>
        <v>0</v>
      </c>
      <c r="J352" s="1666">
        <f t="shared" si="27"/>
        <v>0</v>
      </c>
      <c r="K352" s="1666">
        <f t="shared" si="27"/>
        <v>1525</v>
      </c>
      <c r="L352" s="1666">
        <f t="shared" si="27"/>
        <v>10000</v>
      </c>
    </row>
    <row r="353" spans="1:14" s="343" customFormat="1" ht="15.75" customHeight="1" thickTop="1" x14ac:dyDescent="0.2">
      <c r="A353" s="1608" t="s">
        <v>625</v>
      </c>
      <c r="B353" s="1605" t="s">
        <v>860</v>
      </c>
      <c r="C353" s="616"/>
      <c r="D353" s="616"/>
      <c r="E353" s="616"/>
      <c r="F353" s="616"/>
      <c r="G353" s="616"/>
      <c r="H353" s="616"/>
      <c r="I353" s="616"/>
      <c r="J353" s="616"/>
      <c r="K353" s="616"/>
      <c r="L353" s="616"/>
      <c r="M353" s="609"/>
      <c r="N353" s="609"/>
    </row>
    <row r="354" spans="1:14" x14ac:dyDescent="0.2">
      <c r="A354" s="1830" t="s">
        <v>1850</v>
      </c>
      <c r="B354" s="683" t="s">
        <v>1842</v>
      </c>
      <c r="C354" s="616"/>
      <c r="D354" s="616"/>
      <c r="E354" s="616"/>
      <c r="F354" s="616"/>
      <c r="G354" s="616"/>
      <c r="H354" s="474">
        <v>0</v>
      </c>
      <c r="I354" s="701"/>
      <c r="J354" s="616"/>
      <c r="K354" s="1695">
        <f>H354</f>
        <v>0</v>
      </c>
      <c r="L354" s="471"/>
    </row>
    <row r="355" spans="1:14" ht="12.75" customHeight="1" x14ac:dyDescent="0.2">
      <c r="A355" s="1509" t="s">
        <v>1851</v>
      </c>
      <c r="B355" s="690" t="s">
        <v>1844</v>
      </c>
      <c r="C355" s="616"/>
      <c r="D355" s="616"/>
      <c r="E355" s="616"/>
      <c r="F355" s="616"/>
      <c r="G355" s="616"/>
      <c r="H355" s="467">
        <v>0</v>
      </c>
      <c r="I355" s="701"/>
      <c r="J355" s="616"/>
      <c r="K355" s="1739">
        <f>H355</f>
        <v>0</v>
      </c>
      <c r="L355" s="467"/>
    </row>
    <row r="356" spans="1:14" ht="12.75" customHeight="1" x14ac:dyDescent="0.2">
      <c r="A356" s="1830" t="s">
        <v>698</v>
      </c>
      <c r="B356" s="683" t="s">
        <v>558</v>
      </c>
      <c r="C356" s="616"/>
      <c r="D356" s="616"/>
      <c r="E356" s="616"/>
      <c r="F356" s="616"/>
      <c r="G356" s="616"/>
      <c r="H356" s="479">
        <v>0</v>
      </c>
      <c r="I356" s="701"/>
      <c r="J356" s="616"/>
      <c r="K356" s="1736">
        <f>H356</f>
        <v>0</v>
      </c>
      <c r="L356" s="479"/>
    </row>
    <row r="357" spans="1:14" ht="12.75" customHeight="1" thickBot="1" x14ac:dyDescent="0.25">
      <c r="A357" s="1664" t="s">
        <v>1487</v>
      </c>
      <c r="B357" s="1665" t="s">
        <v>860</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8" t="s">
        <v>948</v>
      </c>
      <c r="B358" s="1605"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0" t="s">
        <v>87</v>
      </c>
      <c r="B360" s="614">
        <v>5110</v>
      </c>
      <c r="C360" s="616"/>
      <c r="D360" s="616"/>
      <c r="E360" s="616"/>
      <c r="F360" s="616"/>
      <c r="G360" s="616"/>
      <c r="H360" s="467">
        <v>0</v>
      </c>
      <c r="I360" s="616"/>
      <c r="J360" s="616"/>
      <c r="K360" s="1667">
        <f>SUM(C360:J360)</f>
        <v>0</v>
      </c>
      <c r="L360" s="466"/>
    </row>
    <row r="361" spans="1:14" ht="12.75" customHeight="1" x14ac:dyDescent="0.2">
      <c r="A361" s="1501" t="s">
        <v>619</v>
      </c>
      <c r="B361" s="602" t="s">
        <v>618</v>
      </c>
      <c r="C361" s="616"/>
      <c r="D361" s="616"/>
      <c r="E361" s="616"/>
      <c r="F361" s="616"/>
      <c r="G361" s="616"/>
      <c r="H361" s="467">
        <v>0</v>
      </c>
      <c r="I361" s="616"/>
      <c r="J361" s="616"/>
      <c r="K361" s="1667">
        <f>SUM(C361:J361)</f>
        <v>0</v>
      </c>
      <c r="L361" s="466"/>
    </row>
    <row r="362" spans="1:14" ht="12.75" customHeight="1" thickBot="1" x14ac:dyDescent="0.25">
      <c r="A362" s="1664" t="s">
        <v>626</v>
      </c>
      <c r="B362" s="1665" t="s">
        <v>718</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v>0</v>
      </c>
      <c r="I363" s="638"/>
      <c r="J363" s="638"/>
      <c r="K363" s="1695">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67">
        <f>SUM(C364:J364)</f>
        <v>0</v>
      </c>
      <c r="L364" s="707"/>
    </row>
    <row r="365" spans="1:14" s="674" customFormat="1" ht="12.75" customHeight="1" thickBot="1" x14ac:dyDescent="0.25">
      <c r="A365" s="1517" t="s">
        <v>590</v>
      </c>
      <c r="B365" s="659" t="s">
        <v>492</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2" t="s">
        <v>949</v>
      </c>
      <c r="B366" s="1609" t="s">
        <v>861</v>
      </c>
      <c r="C366" s="623"/>
      <c r="D366" s="623"/>
      <c r="E366" s="623"/>
      <c r="F366" s="623"/>
      <c r="G366" s="623"/>
      <c r="H366" s="623"/>
      <c r="I366" s="623"/>
      <c r="J366" s="616"/>
      <c r="K366" s="623"/>
      <c r="L366" s="573"/>
      <c r="M366" s="609"/>
      <c r="N366" s="609"/>
    </row>
    <row r="367" spans="1:14" ht="12.75" customHeight="1" thickTop="1" thickBot="1" x14ac:dyDescent="0.25">
      <c r="A367" s="1688" t="s">
        <v>505</v>
      </c>
      <c r="B367" s="1700"/>
      <c r="C367" s="1666">
        <f t="shared" ref="C367:L367" si="28">SUM(C352,C357,C365,C366)</f>
        <v>0</v>
      </c>
      <c r="D367" s="1666">
        <f t="shared" si="28"/>
        <v>0</v>
      </c>
      <c r="E367" s="1666">
        <f t="shared" si="28"/>
        <v>1525</v>
      </c>
      <c r="F367" s="1666">
        <f t="shared" si="28"/>
        <v>0</v>
      </c>
      <c r="G367" s="1666">
        <f t="shared" si="28"/>
        <v>0</v>
      </c>
      <c r="H367" s="1666">
        <f t="shared" si="28"/>
        <v>0</v>
      </c>
      <c r="I367" s="1666">
        <f t="shared" si="28"/>
        <v>0</v>
      </c>
      <c r="J367" s="1666">
        <f t="shared" si="28"/>
        <v>0</v>
      </c>
      <c r="K367" s="1666">
        <f t="shared" si="28"/>
        <v>1525</v>
      </c>
      <c r="L367" s="1666">
        <f t="shared" si="28"/>
        <v>10000</v>
      </c>
    </row>
    <row r="368" spans="1:14" ht="13.5" thickTop="1" x14ac:dyDescent="0.2">
      <c r="A368" s="2185" t="s">
        <v>996</v>
      </c>
      <c r="B368" s="2186"/>
      <c r="C368" s="654"/>
      <c r="D368" s="654"/>
      <c r="E368" s="626"/>
      <c r="F368" s="626"/>
      <c r="G368" s="626"/>
      <c r="H368" s="626"/>
      <c r="I368" s="626"/>
      <c r="J368" s="623"/>
      <c r="K368" s="1667">
        <f>'Revenues 9-14'!K268-'Expenditures 15-22'!K367</f>
        <v>13925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87" t="s">
        <v>1799</v>
      </c>
      <c r="B2" s="1524" t="s">
        <v>1948</v>
      </c>
      <c r="C2" s="714" t="s">
        <v>1949</v>
      </c>
      <c r="D2" s="714" t="s">
        <v>1950</v>
      </c>
      <c r="E2" s="714" t="s">
        <v>1951</v>
      </c>
      <c r="F2" s="714" t="s">
        <v>1952</v>
      </c>
    </row>
    <row r="3" spans="1:6" ht="12" customHeight="1" x14ac:dyDescent="0.2">
      <c r="A3" s="2188"/>
      <c r="B3" s="1521"/>
      <c r="C3" s="1522"/>
      <c r="D3" s="1523" t="s">
        <v>256</v>
      </c>
      <c r="E3" s="1522"/>
      <c r="F3" s="1523" t="s">
        <v>257</v>
      </c>
    </row>
    <row r="4" spans="1:6" ht="13.7" customHeight="1" x14ac:dyDescent="0.2">
      <c r="A4" s="715" t="s">
        <v>1155</v>
      </c>
      <c r="B4" s="1745">
        <f>'Revenues 9-14'!C5</f>
        <v>5228426</v>
      </c>
      <c r="C4" s="1520">
        <v>2755385</v>
      </c>
      <c r="D4" s="1748">
        <f>B4-C4</f>
        <v>2473041</v>
      </c>
      <c r="E4" s="1520">
        <f>5397088</f>
        <v>5397088</v>
      </c>
      <c r="F4" s="1748">
        <f>E4-C4</f>
        <v>2641703</v>
      </c>
    </row>
    <row r="5" spans="1:6" ht="13.7" customHeight="1" x14ac:dyDescent="0.2">
      <c r="A5" s="715" t="s">
        <v>870</v>
      </c>
      <c r="B5" s="1746">
        <f>'Revenues 9-14'!D5</f>
        <v>1156664</v>
      </c>
      <c r="C5" s="585">
        <v>618278</v>
      </c>
      <c r="D5" s="1749">
        <f t="shared" ref="D5:D18" si="0">B5-C5</f>
        <v>538386</v>
      </c>
      <c r="E5" s="585">
        <f>1211008</f>
        <v>1211008</v>
      </c>
      <c r="F5" s="1749">
        <f>E5-C5</f>
        <v>592730</v>
      </c>
    </row>
    <row r="6" spans="1:6" ht="13.7" customHeight="1" x14ac:dyDescent="0.2">
      <c r="A6" s="715" t="s">
        <v>411</v>
      </c>
      <c r="B6" s="1746">
        <f>'Revenues 9-14'!E5</f>
        <v>0</v>
      </c>
      <c r="C6" s="585"/>
      <c r="D6" s="1749">
        <f t="shared" si="0"/>
        <v>0</v>
      </c>
      <c r="E6" s="585"/>
      <c r="F6" s="1749">
        <f t="shared" ref="F6:F18" si="1">E6-C6</f>
        <v>0</v>
      </c>
    </row>
    <row r="7" spans="1:6" ht="13.7" customHeight="1" x14ac:dyDescent="0.2">
      <c r="A7" s="715" t="s">
        <v>155</v>
      </c>
      <c r="B7" s="1746">
        <f>'Revenues 9-14'!F5</f>
        <v>697529</v>
      </c>
      <c r="C7" s="585">
        <v>390349</v>
      </c>
      <c r="D7" s="1749">
        <f t="shared" si="0"/>
        <v>307180</v>
      </c>
      <c r="E7" s="585">
        <f>764573</f>
        <v>764573</v>
      </c>
      <c r="F7" s="1749">
        <f t="shared" si="1"/>
        <v>374224</v>
      </c>
    </row>
    <row r="8" spans="1:6" ht="13.7" customHeight="1" x14ac:dyDescent="0.2">
      <c r="A8" s="715" t="s">
        <v>1179</v>
      </c>
      <c r="B8" s="1746">
        <f>'Revenues 9-14'!G5</f>
        <v>634379</v>
      </c>
      <c r="C8" s="585">
        <v>352314</v>
      </c>
      <c r="D8" s="1749">
        <f t="shared" si="0"/>
        <v>282065</v>
      </c>
      <c r="E8" s="585">
        <f>690045</f>
        <v>690045</v>
      </c>
      <c r="F8" s="1749">
        <f t="shared" si="1"/>
        <v>337731</v>
      </c>
    </row>
    <row r="9" spans="1:6" ht="13.7" customHeight="1" x14ac:dyDescent="0.2">
      <c r="A9" s="715" t="s">
        <v>408</v>
      </c>
      <c r="B9" s="1746">
        <f>'Revenues 9-14'!H5</f>
        <v>0</v>
      </c>
      <c r="C9" s="585"/>
      <c r="D9" s="1749">
        <f t="shared" si="0"/>
        <v>0</v>
      </c>
      <c r="E9" s="585"/>
      <c r="F9" s="1749">
        <f t="shared" si="1"/>
        <v>0</v>
      </c>
    </row>
    <row r="10" spans="1:6" ht="13.7" customHeight="1" x14ac:dyDescent="0.2">
      <c r="A10" s="715" t="s">
        <v>407</v>
      </c>
      <c r="B10" s="1746">
        <f>'Revenues 9-14'!I5</f>
        <v>0</v>
      </c>
      <c r="C10" s="585"/>
      <c r="D10" s="1749">
        <f t="shared" si="0"/>
        <v>0</v>
      </c>
      <c r="E10" s="585"/>
      <c r="F10" s="1749">
        <f t="shared" si="1"/>
        <v>0</v>
      </c>
    </row>
    <row r="11" spans="1:6" x14ac:dyDescent="0.2">
      <c r="A11" s="715" t="s">
        <v>409</v>
      </c>
      <c r="B11" s="1746">
        <f>'Revenues 9-14'!J5</f>
        <v>279569</v>
      </c>
      <c r="C11" s="585">
        <v>153495</v>
      </c>
      <c r="D11" s="1749">
        <f t="shared" si="0"/>
        <v>126074</v>
      </c>
      <c r="E11" s="585">
        <f>300615</f>
        <v>300615</v>
      </c>
      <c r="F11" s="1749">
        <f t="shared" si="1"/>
        <v>147120</v>
      </c>
    </row>
    <row r="12" spans="1:6" ht="13.7" customHeight="1" x14ac:dyDescent="0.2">
      <c r="A12" s="715" t="s">
        <v>157</v>
      </c>
      <c r="B12" s="1746">
        <f>'Revenues 9-14'!K5</f>
        <v>14209</v>
      </c>
      <c r="C12" s="585">
        <v>7943</v>
      </c>
      <c r="D12" s="1749">
        <f t="shared" si="0"/>
        <v>6266</v>
      </c>
      <c r="E12" s="585">
        <f>15594</f>
        <v>15594</v>
      </c>
      <c r="F12" s="1749">
        <f t="shared" si="1"/>
        <v>7651</v>
      </c>
    </row>
    <row r="13" spans="1:6" ht="13.7" customHeight="1" x14ac:dyDescent="0.2">
      <c r="A13" s="715" t="s">
        <v>936</v>
      </c>
      <c r="B13" s="1746">
        <f>SUM('Revenues 9-14'!C6:D6)</f>
        <v>0</v>
      </c>
      <c r="C13" s="585"/>
      <c r="D13" s="1749">
        <f t="shared" si="0"/>
        <v>0</v>
      </c>
      <c r="E13" s="585"/>
      <c r="F13" s="1749">
        <f t="shared" si="1"/>
        <v>0</v>
      </c>
    </row>
    <row r="14" spans="1:6" ht="13.7" customHeight="1" x14ac:dyDescent="0.2">
      <c r="A14" s="715" t="s">
        <v>410</v>
      </c>
      <c r="B14" s="1746">
        <f>SUM('Revenues 9-14'!C7:D7,'Revenues 9-14'!F7:H7)</f>
        <v>57599</v>
      </c>
      <c r="C14" s="585">
        <v>30793</v>
      </c>
      <c r="D14" s="1749">
        <f t="shared" si="0"/>
        <v>26806</v>
      </c>
      <c r="E14" s="585">
        <f>60288</f>
        <v>60288</v>
      </c>
      <c r="F14" s="1749">
        <f t="shared" si="1"/>
        <v>29495</v>
      </c>
    </row>
    <row r="15" spans="1:6" ht="13.7" customHeight="1" x14ac:dyDescent="0.2">
      <c r="A15" s="715" t="s">
        <v>1158</v>
      </c>
      <c r="B15" s="1746">
        <f>SUM('Revenues 9-14'!D9:E9,'Revenues 9-14'!H9)</f>
        <v>0</v>
      </c>
      <c r="C15" s="585"/>
      <c r="D15" s="1749">
        <f t="shared" si="0"/>
        <v>0</v>
      </c>
      <c r="E15" s="585"/>
      <c r="F15" s="1749">
        <f t="shared" si="1"/>
        <v>0</v>
      </c>
    </row>
    <row r="16" spans="1:6" ht="13.7" customHeight="1" x14ac:dyDescent="0.2">
      <c r="A16" s="715" t="s">
        <v>1159</v>
      </c>
      <c r="B16" s="1746">
        <f>'Revenues 9-14'!G8</f>
        <v>671096</v>
      </c>
      <c r="C16" s="585">
        <v>364042</v>
      </c>
      <c r="D16" s="1749">
        <f t="shared" si="0"/>
        <v>307054</v>
      </c>
      <c r="E16" s="585">
        <f>713051</f>
        <v>713051</v>
      </c>
      <c r="F16" s="1749">
        <f t="shared" si="1"/>
        <v>349009</v>
      </c>
    </row>
    <row r="17" spans="1:6" ht="13.7" customHeight="1" x14ac:dyDescent="0.2">
      <c r="A17" s="715" t="s">
        <v>1160</v>
      </c>
      <c r="B17" s="1746">
        <f>'Revenues 9-14'!C10</f>
        <v>0</v>
      </c>
      <c r="C17" s="585"/>
      <c r="D17" s="1749">
        <f t="shared" si="0"/>
        <v>0</v>
      </c>
      <c r="E17" s="585"/>
      <c r="F17" s="1749">
        <f t="shared" si="1"/>
        <v>0</v>
      </c>
    </row>
    <row r="18" spans="1:6" ht="13.7" customHeight="1" x14ac:dyDescent="0.2">
      <c r="A18" s="715" t="s">
        <v>762</v>
      </c>
      <c r="B18" s="1746">
        <f>SUM('Revenues 9-14'!C11:K11)</f>
        <v>0</v>
      </c>
      <c r="C18" s="585"/>
      <c r="D18" s="1749">
        <f t="shared" si="0"/>
        <v>0</v>
      </c>
      <c r="E18" s="585"/>
      <c r="F18" s="1749">
        <f t="shared" si="1"/>
        <v>0</v>
      </c>
    </row>
    <row r="19" spans="1:6" ht="13.7" customHeight="1" thickBot="1" x14ac:dyDescent="0.25">
      <c r="A19" s="1750" t="s">
        <v>1161</v>
      </c>
      <c r="B19" s="1747">
        <f>SUM(B4:B18)</f>
        <v>8739471</v>
      </c>
      <c r="C19" s="1747">
        <f>SUM(C4:C18)</f>
        <v>4672599</v>
      </c>
      <c r="D19" s="1747">
        <f>SUM(D4:D18)</f>
        <v>4066872</v>
      </c>
      <c r="E19" s="1747">
        <f>SUM(E4:E18)</f>
        <v>9152262</v>
      </c>
      <c r="F19" s="1747">
        <f>SUM(F4:F18)</f>
        <v>4479663</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1799</v>
      </c>
      <c r="B2" s="2203"/>
      <c r="C2" s="1880" t="s">
        <v>1953</v>
      </c>
      <c r="D2" s="723" t="s">
        <v>1954</v>
      </c>
      <c r="E2" s="723" t="s">
        <v>1955</v>
      </c>
      <c r="F2" s="1880" t="s">
        <v>1956</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1">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508</v>
      </c>
      <c r="B8" s="725"/>
      <c r="C8" s="726"/>
      <c r="D8" s="585"/>
      <c r="E8" s="726"/>
      <c r="F8" s="1751">
        <f t="shared" si="0"/>
        <v>0</v>
      </c>
    </row>
    <row r="9" spans="1:7" ht="12.75" customHeight="1" thickTop="1" thickBot="1" x14ac:dyDescent="0.25">
      <c r="A9" s="724" t="s">
        <v>509</v>
      </c>
      <c r="B9" s="725"/>
      <c r="C9" s="726"/>
      <c r="D9" s="585"/>
      <c r="E9" s="726"/>
      <c r="F9" s="1751">
        <f t="shared" si="0"/>
        <v>0</v>
      </c>
    </row>
    <row r="10" spans="1:7" ht="12.75" customHeight="1" thickTop="1" thickBot="1" x14ac:dyDescent="0.25">
      <c r="A10" s="724" t="s">
        <v>510</v>
      </c>
      <c r="B10" s="725"/>
      <c r="C10" s="726"/>
      <c r="D10" s="585"/>
      <c r="E10" s="726"/>
      <c r="F10" s="1751">
        <f t="shared" si="0"/>
        <v>0</v>
      </c>
    </row>
    <row r="11" spans="1:7" ht="12.75" customHeight="1" thickTop="1" thickBot="1" x14ac:dyDescent="0.25">
      <c r="A11" s="724" t="s">
        <v>341</v>
      </c>
      <c r="B11" s="725"/>
      <c r="C11" s="726"/>
      <c r="D11" s="585"/>
      <c r="E11" s="726"/>
      <c r="F11" s="1751">
        <f t="shared" si="0"/>
        <v>0</v>
      </c>
    </row>
    <row r="12" spans="1:7" ht="12.75" customHeight="1" thickTop="1" thickBot="1" x14ac:dyDescent="0.25">
      <c r="A12" s="724" t="s">
        <v>1157</v>
      </c>
      <c r="B12" s="725"/>
      <c r="C12" s="726"/>
      <c r="D12" s="585"/>
      <c r="E12" s="726"/>
      <c r="F12" s="1751">
        <f t="shared" si="0"/>
        <v>0</v>
      </c>
    </row>
    <row r="13" spans="1:7" ht="12.75" customHeight="1" thickTop="1" thickBot="1" x14ac:dyDescent="0.25">
      <c r="A13" s="724" t="s">
        <v>388</v>
      </c>
      <c r="B13" s="725"/>
      <c r="C13" s="726"/>
      <c r="D13" s="585"/>
      <c r="E13" s="726"/>
      <c r="F13" s="1751">
        <f t="shared" si="0"/>
        <v>0</v>
      </c>
    </row>
    <row r="14" spans="1:7" ht="12.75" customHeight="1" thickTop="1" thickBot="1" x14ac:dyDescent="0.25">
      <c r="A14" s="724" t="s">
        <v>448</v>
      </c>
      <c r="B14" s="725"/>
      <c r="C14" s="726"/>
      <c r="D14" s="585"/>
      <c r="E14" s="726"/>
      <c r="F14" s="1751">
        <f t="shared" si="0"/>
        <v>0</v>
      </c>
    </row>
    <row r="15" spans="1:7" ht="14.25" thickTop="1" thickBot="1" x14ac:dyDescent="0.25">
      <c r="A15" s="2191" t="s">
        <v>631</v>
      </c>
      <c r="B15" s="2192"/>
      <c r="C15" s="1751">
        <f>SUM(C6:C14)</f>
        <v>0</v>
      </c>
      <c r="D15" s="1751">
        <f>SUM(D6:D14)</f>
        <v>0</v>
      </c>
      <c r="E15" s="1751">
        <f>SUM(E6:E14)</f>
        <v>0</v>
      </c>
      <c r="F15" s="1751">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1">
        <f>SUM(C17+D17)-E17</f>
        <v>0</v>
      </c>
    </row>
    <row r="18" spans="1:11" ht="12.75" customHeight="1" thickTop="1" thickBot="1" x14ac:dyDescent="0.25">
      <c r="A18" s="2214" t="s">
        <v>6</v>
      </c>
      <c r="B18" s="2215"/>
      <c r="C18" s="726"/>
      <c r="D18" s="585"/>
      <c r="E18" s="726"/>
      <c r="F18" s="1751">
        <f>SUM(C18+D18)-E18</f>
        <v>0</v>
      </c>
    </row>
    <row r="19" spans="1:11" ht="12.75" customHeight="1" thickTop="1" thickBot="1" x14ac:dyDescent="0.25">
      <c r="A19" s="2214" t="s">
        <v>388</v>
      </c>
      <c r="B19" s="2215"/>
      <c r="C19" s="726"/>
      <c r="D19" s="585"/>
      <c r="E19" s="726"/>
      <c r="F19" s="1751">
        <f>SUM(C19+D19)-E19</f>
        <v>0</v>
      </c>
    </row>
    <row r="20" spans="1:11" ht="12.75" customHeight="1" thickTop="1" thickBot="1" x14ac:dyDescent="0.25">
      <c r="A20" s="2214" t="s">
        <v>448</v>
      </c>
      <c r="B20" s="2215"/>
      <c r="C20" s="726"/>
      <c r="D20" s="585"/>
      <c r="E20" s="726"/>
      <c r="F20" s="1751">
        <f>SUM(C20+D20)-E20</f>
        <v>0</v>
      </c>
    </row>
    <row r="21" spans="1:11" ht="14.25" thickTop="1" thickBot="1" x14ac:dyDescent="0.25">
      <c r="A21" s="2191" t="s">
        <v>632</v>
      </c>
      <c r="B21" s="2192"/>
      <c r="C21" s="1751">
        <f>SUM(C17:C20)</f>
        <v>0</v>
      </c>
      <c r="D21" s="1751">
        <f>SUM(D17:D20)</f>
        <v>0</v>
      </c>
      <c r="E21" s="1751">
        <f>SUM(E17:E20)</f>
        <v>0</v>
      </c>
      <c r="F21" s="1751">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1">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1">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1">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5" t="s">
        <v>1071</v>
      </c>
      <c r="B30" s="730" t="s">
        <v>1124</v>
      </c>
      <c r="C30" s="1881" t="s">
        <v>583</v>
      </c>
      <c r="D30" s="1881" t="s">
        <v>1673</v>
      </c>
      <c r="E30" s="1881" t="s">
        <v>1957</v>
      </c>
      <c r="F30" s="1881" t="s">
        <v>1958</v>
      </c>
      <c r="G30" s="1881" t="s">
        <v>1908</v>
      </c>
      <c r="H30" s="1881" t="s">
        <v>1959</v>
      </c>
      <c r="I30" s="1881" t="s">
        <v>1960</v>
      </c>
      <c r="J30" s="1882" t="s">
        <v>2</v>
      </c>
      <c r="K30" s="731"/>
    </row>
    <row r="31" spans="1:11" ht="12" customHeight="1" x14ac:dyDescent="0.2">
      <c r="A31" s="732"/>
      <c r="B31" s="733"/>
      <c r="C31" s="734"/>
      <c r="D31" s="735"/>
      <c r="E31" s="734"/>
      <c r="F31" s="734"/>
      <c r="G31" s="734"/>
      <c r="H31" s="734"/>
      <c r="I31" s="1752">
        <f>((E31+F31)-H31)+G31</f>
        <v>0</v>
      </c>
      <c r="J31" s="734"/>
      <c r="K31" s="736"/>
    </row>
    <row r="32" spans="1:11" ht="12" customHeight="1" x14ac:dyDescent="0.2">
      <c r="A32" s="732"/>
      <c r="B32" s="733"/>
      <c r="C32" s="734"/>
      <c r="D32" s="735"/>
      <c r="E32" s="734"/>
      <c r="F32" s="734"/>
      <c r="G32" s="734"/>
      <c r="H32" s="734"/>
      <c r="I32" s="1752">
        <f>((E32+F32)-H32)+G32</f>
        <v>0</v>
      </c>
      <c r="J32" s="734"/>
      <c r="K32" s="736"/>
    </row>
    <row r="33" spans="1:11" ht="12" customHeight="1" x14ac:dyDescent="0.2">
      <c r="A33" s="732"/>
      <c r="B33" s="733"/>
      <c r="C33" s="734"/>
      <c r="D33" s="735"/>
      <c r="E33" s="734"/>
      <c r="F33" s="734"/>
      <c r="G33" s="734"/>
      <c r="H33" s="734"/>
      <c r="I33" s="1752">
        <f t="shared" ref="I33:I48" si="1">((E33+F33)-H33)+G33</f>
        <v>0</v>
      </c>
      <c r="J33" s="734"/>
      <c r="K33" s="736"/>
    </row>
    <row r="34" spans="1:11" ht="12" customHeight="1" x14ac:dyDescent="0.2">
      <c r="A34" s="732"/>
      <c r="B34" s="733"/>
      <c r="C34" s="734"/>
      <c r="D34" s="735"/>
      <c r="E34" s="734"/>
      <c r="F34" s="734"/>
      <c r="G34" s="734"/>
      <c r="H34" s="734"/>
      <c r="I34" s="1752">
        <f t="shared" si="1"/>
        <v>0</v>
      </c>
      <c r="J34" s="734"/>
      <c r="K34" s="737"/>
    </row>
    <row r="35" spans="1:11" ht="12" customHeight="1" x14ac:dyDescent="0.2">
      <c r="A35" s="732"/>
      <c r="B35" s="733"/>
      <c r="C35" s="738"/>
      <c r="D35" s="735"/>
      <c r="E35" s="738"/>
      <c r="F35" s="738"/>
      <c r="G35" s="738"/>
      <c r="H35" s="738"/>
      <c r="I35" s="1752">
        <f t="shared" si="1"/>
        <v>0</v>
      </c>
      <c r="J35" s="738"/>
      <c r="K35" s="737"/>
    </row>
    <row r="36" spans="1:11" ht="12" customHeight="1" x14ac:dyDescent="0.2">
      <c r="A36" s="732"/>
      <c r="B36" s="733"/>
      <c r="C36" s="734"/>
      <c r="D36" s="735"/>
      <c r="E36" s="734"/>
      <c r="F36" s="734"/>
      <c r="G36" s="734"/>
      <c r="H36" s="734"/>
      <c r="I36" s="1752">
        <f t="shared" si="1"/>
        <v>0</v>
      </c>
      <c r="J36" s="734"/>
      <c r="K36" s="739"/>
    </row>
    <row r="37" spans="1:11" ht="12" customHeight="1" x14ac:dyDescent="0.2">
      <c r="A37" s="732"/>
      <c r="B37" s="733"/>
      <c r="C37" s="467"/>
      <c r="D37" s="740"/>
      <c r="E37" s="467"/>
      <c r="F37" s="467"/>
      <c r="G37" s="467"/>
      <c r="H37" s="467"/>
      <c r="I37" s="1752">
        <f t="shared" si="1"/>
        <v>0</v>
      </c>
      <c r="J37" s="467"/>
      <c r="K37" s="737"/>
    </row>
    <row r="38" spans="1:11" ht="12" customHeight="1" x14ac:dyDescent="0.2">
      <c r="A38" s="732"/>
      <c r="B38" s="733"/>
      <c r="C38" s="734"/>
      <c r="D38" s="741"/>
      <c r="E38" s="742"/>
      <c r="F38" s="742"/>
      <c r="G38" s="742"/>
      <c r="H38" s="742"/>
      <c r="I38" s="1752">
        <f t="shared" si="1"/>
        <v>0</v>
      </c>
      <c r="J38" s="743" t="s">
        <v>264</v>
      </c>
      <c r="K38" s="744"/>
    </row>
    <row r="39" spans="1:11" ht="12" customHeight="1" x14ac:dyDescent="0.2">
      <c r="A39" s="732"/>
      <c r="B39" s="733"/>
      <c r="C39" s="734"/>
      <c r="D39" s="741"/>
      <c r="E39" s="742"/>
      <c r="F39" s="742"/>
      <c r="G39" s="742"/>
      <c r="H39" s="742"/>
      <c r="I39" s="1752">
        <f t="shared" si="1"/>
        <v>0</v>
      </c>
      <c r="J39" s="743"/>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0</v>
      </c>
      <c r="D49" s="745"/>
      <c r="E49" s="1752">
        <f t="shared" ref="E49:J49" si="2">SUM(E31:E48)</f>
        <v>0</v>
      </c>
      <c r="F49" s="1752">
        <f t="shared" si="2"/>
        <v>0</v>
      </c>
      <c r="G49" s="1752">
        <f t="shared" si="2"/>
        <v>0</v>
      </c>
      <c r="H49" s="1752">
        <f t="shared" si="2"/>
        <v>0</v>
      </c>
      <c r="I49" s="1752">
        <f t="shared" si="2"/>
        <v>0</v>
      </c>
      <c r="J49" s="1752">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26"/>
      <c r="I1" s="760"/>
      <c r="J1" s="433"/>
    </row>
    <row r="2" spans="1:11" ht="26.25" x14ac:dyDescent="0.2">
      <c r="A2" s="2221" t="s">
        <v>1677</v>
      </c>
      <c r="B2" s="2222"/>
      <c r="C2" s="2222"/>
      <c r="D2" s="2222"/>
      <c r="E2" s="2223"/>
      <c r="F2" s="761" t="s">
        <v>904</v>
      </c>
      <c r="G2" s="762" t="s">
        <v>1674</v>
      </c>
      <c r="H2" s="762" t="s">
        <v>410</v>
      </c>
      <c r="I2" s="762" t="s">
        <v>1158</v>
      </c>
      <c r="J2" s="762" t="s">
        <v>1809</v>
      </c>
      <c r="K2" s="762" t="s">
        <v>138</v>
      </c>
    </row>
    <row r="3" spans="1:11" x14ac:dyDescent="0.2">
      <c r="A3" s="2224" t="s">
        <v>1961</v>
      </c>
      <c r="B3" s="2225"/>
      <c r="C3" s="2225"/>
      <c r="D3" s="2225"/>
      <c r="E3" s="2226"/>
      <c r="F3" s="763"/>
      <c r="G3" s="764"/>
      <c r="H3" s="764">
        <v>0</v>
      </c>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57599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5" t="s">
        <v>1810</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3"/>
      <c r="G12" s="1754">
        <f>SUM(G5:G11)</f>
        <v>0</v>
      </c>
      <c r="H12" s="1754">
        <f>SUM(H5:H11)</f>
        <v>57599</v>
      </c>
      <c r="I12" s="1754">
        <f>SUM(I5:I11)</f>
        <v>0</v>
      </c>
      <c r="J12" s="1754">
        <f>SUM(J5:J11)</f>
        <v>0</v>
      </c>
      <c r="K12" s="1754">
        <f>SUM(K5:K11)</f>
        <v>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57599</v>
      </c>
      <c r="I14" s="771"/>
      <c r="J14" s="773"/>
      <c r="K14" s="765"/>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1806</v>
      </c>
      <c r="B19" s="2253"/>
      <c r="C19" s="2253"/>
      <c r="D19" s="2253"/>
      <c r="E19" s="2254"/>
      <c r="F19" s="789" t="s">
        <v>933</v>
      </c>
      <c r="G19" s="782"/>
      <c r="H19" s="782"/>
      <c r="I19" s="782"/>
      <c r="J19" s="765"/>
      <c r="K19" s="795"/>
    </row>
    <row r="20" spans="1:11" x14ac:dyDescent="0.2">
      <c r="A20" s="2232" t="s">
        <v>1811</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5"/>
      <c r="G21" s="792"/>
      <c r="H21" s="796"/>
      <c r="I21" s="796"/>
      <c r="J21" s="1756">
        <f>SUM(J18:J20)</f>
        <v>0</v>
      </c>
      <c r="K21" s="793"/>
    </row>
    <row r="22" spans="1:11" ht="13.5" thickTop="1" x14ac:dyDescent="0.2">
      <c r="A22" s="2218" t="s">
        <v>1812</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57"/>
      <c r="G23" s="1754">
        <f>SUM(G14:G16,G21,G22)</f>
        <v>0</v>
      </c>
      <c r="H23" s="1754">
        <f>SUM(H14:H16,H21,H22)</f>
        <v>57599</v>
      </c>
      <c r="I23" s="1754">
        <f>SUM(I14:I16,I21,I22)</f>
        <v>0</v>
      </c>
      <c r="J23" s="1754">
        <f>SUM(J14:J16,J21,J22)</f>
        <v>0</v>
      </c>
      <c r="K23" s="1754">
        <f>SUM(K14:K16,K21,K22)</f>
        <v>0</v>
      </c>
    </row>
    <row r="24" spans="1:11" ht="14.25" thickTop="1" thickBot="1" x14ac:dyDescent="0.25">
      <c r="A24" s="2239" t="s">
        <v>1962</v>
      </c>
      <c r="B24" s="2238"/>
      <c r="C24" s="2238"/>
      <c r="D24" s="2238"/>
      <c r="E24" s="2238"/>
      <c r="F24" s="1758"/>
      <c r="G24" s="1759">
        <f>SUM(G3,G12)-G23</f>
        <v>0</v>
      </c>
      <c r="H24" s="1759">
        <f>SUM(H3,H12)-H23</f>
        <v>0</v>
      </c>
      <c r="I24" s="1759">
        <f>SUM(I3,I12)-I23</f>
        <v>0</v>
      </c>
      <c r="J24" s="1759">
        <f>SUM(J3,J12)-J23</f>
        <v>0</v>
      </c>
      <c r="K24" s="175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1907</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7" t="s">
        <v>1807</v>
      </c>
      <c r="B46" s="408" t="s">
        <v>1675</v>
      </c>
    </row>
    <row r="47" spans="1:11" s="823" customFormat="1" ht="12.75" customHeight="1" x14ac:dyDescent="0.2">
      <c r="A47" s="821"/>
      <c r="B47" s="822" t="s">
        <v>1676</v>
      </c>
      <c r="E47" s="822"/>
      <c r="K47" s="824"/>
    </row>
    <row r="48" spans="1:11" ht="12.75" customHeight="1" x14ac:dyDescent="0.2">
      <c r="A48" s="1528"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1906</v>
      </c>
      <c r="B1" s="2258"/>
      <c r="C1" s="2259"/>
      <c r="D1" s="826"/>
      <c r="E1" s="827"/>
      <c r="F1" s="827"/>
      <c r="G1" s="828"/>
      <c r="H1" s="829"/>
      <c r="I1" s="830"/>
      <c r="J1" s="2255"/>
      <c r="K1" s="2256"/>
      <c r="L1" s="2256"/>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5" t="s">
        <v>892</v>
      </c>
      <c r="B3" s="1626">
        <v>210</v>
      </c>
      <c r="C3" s="835"/>
      <c r="D3" s="835"/>
      <c r="E3" s="835"/>
      <c r="F3" s="1756">
        <f>(C3+D3)-E3</f>
        <v>0</v>
      </c>
      <c r="G3" s="836"/>
      <c r="H3" s="835"/>
      <c r="I3" s="835"/>
      <c r="J3" s="835"/>
      <c r="K3" s="1765">
        <f>(H3+I3)-J3</f>
        <v>0</v>
      </c>
      <c r="L3" s="1765">
        <f>F3-K3</f>
        <v>0</v>
      </c>
      <c r="M3" s="834"/>
      <c r="N3" s="834"/>
    </row>
    <row r="4" spans="1:14" ht="15" customHeight="1" thickTop="1" x14ac:dyDescent="0.2">
      <c r="A4" s="1627" t="s">
        <v>158</v>
      </c>
      <c r="B4" s="1626">
        <v>220</v>
      </c>
      <c r="C4" s="781"/>
      <c r="D4" s="781"/>
      <c r="E4" s="781"/>
      <c r="F4" s="773"/>
      <c r="G4" s="837"/>
      <c r="H4" s="838"/>
      <c r="I4" s="838"/>
      <c r="J4" s="838"/>
      <c r="K4" s="839"/>
      <c r="L4" s="773"/>
    </row>
    <row r="5" spans="1:14" ht="13.5" thickBot="1" x14ac:dyDescent="0.25">
      <c r="A5" s="778" t="s">
        <v>893</v>
      </c>
      <c r="B5" s="840">
        <v>221</v>
      </c>
      <c r="C5" s="841">
        <v>255810</v>
      </c>
      <c r="D5" s="841"/>
      <c r="E5" s="841"/>
      <c r="F5" s="1756">
        <f>(C5+D5)-E5</f>
        <v>255810</v>
      </c>
      <c r="G5" s="837"/>
      <c r="H5" s="842"/>
      <c r="I5" s="842"/>
      <c r="J5" s="842"/>
      <c r="K5" s="793"/>
      <c r="L5" s="1765">
        <f>F5-K5</f>
        <v>255810</v>
      </c>
    </row>
    <row r="6" spans="1:14" ht="14.25" thickTop="1" thickBot="1" x14ac:dyDescent="0.25">
      <c r="A6" s="778" t="s">
        <v>1117</v>
      </c>
      <c r="B6" s="840">
        <v>222</v>
      </c>
      <c r="C6" s="765"/>
      <c r="D6" s="765"/>
      <c r="E6" s="765"/>
      <c r="F6" s="1756">
        <f>(C6+D6)-E6</f>
        <v>0</v>
      </c>
      <c r="G6" s="837">
        <v>50</v>
      </c>
      <c r="H6" s="765"/>
      <c r="I6" s="765"/>
      <c r="J6" s="765"/>
      <c r="K6" s="1765">
        <f>(H6+I6)-J6</f>
        <v>0</v>
      </c>
      <c r="L6" s="1765">
        <f>F6-K6</f>
        <v>0</v>
      </c>
    </row>
    <row r="7" spans="1:14" ht="15" customHeight="1" thickTop="1" x14ac:dyDescent="0.2">
      <c r="A7" s="1627" t="s">
        <v>159</v>
      </c>
      <c r="B7" s="1626">
        <v>230</v>
      </c>
      <c r="C7" s="781"/>
      <c r="D7" s="781"/>
      <c r="E7" s="781"/>
      <c r="F7" s="773"/>
      <c r="G7" s="843"/>
      <c r="H7" s="781"/>
      <c r="I7" s="781"/>
      <c r="J7" s="781"/>
      <c r="K7" s="773"/>
      <c r="L7" s="773"/>
    </row>
    <row r="8" spans="1:14" ht="13.5" thickBot="1" x14ac:dyDescent="0.25">
      <c r="A8" s="778" t="s">
        <v>1118</v>
      </c>
      <c r="B8" s="840">
        <v>231</v>
      </c>
      <c r="C8" s="844">
        <v>45437339</v>
      </c>
      <c r="D8" s="844"/>
      <c r="E8" s="844"/>
      <c r="F8" s="1756">
        <f>(C8+D8)-E8</f>
        <v>45437339</v>
      </c>
      <c r="G8" s="843">
        <v>50</v>
      </c>
      <c r="H8" s="765">
        <v>15692747</v>
      </c>
      <c r="I8" s="765">
        <v>1085627</v>
      </c>
      <c r="J8" s="765"/>
      <c r="K8" s="1765">
        <f>(H8+I8)-J8</f>
        <v>16778374</v>
      </c>
      <c r="L8" s="1765">
        <f>F8-K8</f>
        <v>28658965</v>
      </c>
    </row>
    <row r="9" spans="1:14" ht="14.25" thickTop="1" thickBot="1" x14ac:dyDescent="0.25">
      <c r="A9" s="778" t="s">
        <v>1119</v>
      </c>
      <c r="B9" s="840">
        <v>232</v>
      </c>
      <c r="C9" s="765"/>
      <c r="D9" s="765"/>
      <c r="E9" s="765"/>
      <c r="F9" s="1756">
        <f>(C9+D9)-E9</f>
        <v>0</v>
      </c>
      <c r="G9" s="843">
        <v>20</v>
      </c>
      <c r="H9" s="765"/>
      <c r="I9" s="765"/>
      <c r="J9" s="765"/>
      <c r="K9" s="1765">
        <f>(H9+I9)-J9</f>
        <v>0</v>
      </c>
      <c r="L9" s="1765">
        <f>F9-K9</f>
        <v>0</v>
      </c>
    </row>
    <row r="10" spans="1:14" ht="24" thickTop="1" thickBot="1" x14ac:dyDescent="0.25">
      <c r="A10" s="845" t="s">
        <v>1120</v>
      </c>
      <c r="B10" s="840">
        <v>240</v>
      </c>
      <c r="C10" s="846">
        <v>606699</v>
      </c>
      <c r="D10" s="846"/>
      <c r="E10" s="846"/>
      <c r="F10" s="1760">
        <f>(C10+D10)-E10</f>
        <v>606699</v>
      </c>
      <c r="G10" s="843">
        <v>20</v>
      </c>
      <c r="H10" s="847">
        <v>460362</v>
      </c>
      <c r="I10" s="847">
        <v>23596</v>
      </c>
      <c r="J10" s="847"/>
      <c r="K10" s="1765">
        <f>(H10+I10)-J10</f>
        <v>483958</v>
      </c>
      <c r="L10" s="1765">
        <f>F10-K10</f>
        <v>122741</v>
      </c>
    </row>
    <row r="11" spans="1:14" ht="13.5" thickTop="1" x14ac:dyDescent="0.2">
      <c r="A11" s="1628" t="s">
        <v>1136</v>
      </c>
      <c r="B11" s="1626">
        <v>250</v>
      </c>
      <c r="C11" s="781"/>
      <c r="D11" s="781"/>
      <c r="E11" s="781"/>
      <c r="F11" s="773"/>
      <c r="G11" s="843"/>
      <c r="H11" s="781"/>
      <c r="I11" s="781"/>
      <c r="J11" s="781"/>
      <c r="K11" s="773"/>
      <c r="L11" s="773"/>
    </row>
    <row r="12" spans="1:14" ht="13.5" thickBot="1" x14ac:dyDescent="0.25">
      <c r="A12" s="848" t="s">
        <v>1121</v>
      </c>
      <c r="B12" s="840">
        <v>251</v>
      </c>
      <c r="C12" s="844">
        <v>3461637</v>
      </c>
      <c r="D12" s="844">
        <v>238063</v>
      </c>
      <c r="E12" s="844">
        <v>167406</v>
      </c>
      <c r="F12" s="1756">
        <f>(C12+D12)-E12</f>
        <v>3532294</v>
      </c>
      <c r="G12" s="843">
        <v>10</v>
      </c>
      <c r="H12" s="765">
        <v>2882037</v>
      </c>
      <c r="I12" s="765">
        <v>202551</v>
      </c>
      <c r="J12" s="765">
        <v>139362</v>
      </c>
      <c r="K12" s="1765">
        <f>(H12+I12)-J12</f>
        <v>2945226</v>
      </c>
      <c r="L12" s="1765">
        <f>F12-K12</f>
        <v>587068</v>
      </c>
    </row>
    <row r="13" spans="1:14" ht="14.25" thickTop="1" thickBot="1" x14ac:dyDescent="0.25">
      <c r="A13" s="848" t="s">
        <v>1122</v>
      </c>
      <c r="B13" s="840">
        <v>252</v>
      </c>
      <c r="C13" s="844">
        <v>519718</v>
      </c>
      <c r="D13" s="844">
        <v>261187</v>
      </c>
      <c r="E13" s="844">
        <v>119274</v>
      </c>
      <c r="F13" s="1756">
        <f>(C13+D13)-E13</f>
        <v>661631</v>
      </c>
      <c r="G13" s="843">
        <v>5</v>
      </c>
      <c r="H13" s="765">
        <v>455304</v>
      </c>
      <c r="I13" s="765">
        <v>27350</v>
      </c>
      <c r="J13" s="765">
        <v>119274</v>
      </c>
      <c r="K13" s="1765">
        <f>(H13+I13)-J13</f>
        <v>363380</v>
      </c>
      <c r="L13" s="1765">
        <f>F13-K13</f>
        <v>298251</v>
      </c>
    </row>
    <row r="14" spans="1:14" ht="14.25" thickTop="1" thickBot="1" x14ac:dyDescent="0.25">
      <c r="A14" s="848" t="s">
        <v>1123</v>
      </c>
      <c r="B14" s="840">
        <v>253</v>
      </c>
      <c r="C14" s="765"/>
      <c r="D14" s="765"/>
      <c r="E14" s="765"/>
      <c r="F14" s="1756">
        <f>(C14+D14)-E14</f>
        <v>0</v>
      </c>
      <c r="G14" s="843">
        <v>3</v>
      </c>
      <c r="H14" s="765"/>
      <c r="I14" s="765"/>
      <c r="J14" s="765"/>
      <c r="K14" s="1765">
        <f>(H14+I14)-J14</f>
        <v>0</v>
      </c>
      <c r="L14" s="1765">
        <f>F14-K14</f>
        <v>0</v>
      </c>
    </row>
    <row r="15" spans="1:14" ht="15" customHeight="1" thickTop="1" thickBot="1" x14ac:dyDescent="0.25">
      <c r="A15" s="1627" t="s">
        <v>528</v>
      </c>
      <c r="B15" s="1626">
        <v>260</v>
      </c>
      <c r="C15" s="844"/>
      <c r="D15" s="844"/>
      <c r="E15" s="844"/>
      <c r="F15" s="1756">
        <f>(C15+D15)-E15</f>
        <v>0</v>
      </c>
      <c r="G15" s="849" t="s">
        <v>862</v>
      </c>
      <c r="H15" s="781"/>
      <c r="I15" s="781"/>
      <c r="J15" s="781"/>
      <c r="K15" s="781"/>
      <c r="L15" s="1765">
        <f>F15-K15</f>
        <v>0</v>
      </c>
    </row>
    <row r="16" spans="1:14" ht="15" customHeight="1" thickTop="1" thickBot="1" x14ac:dyDescent="0.25">
      <c r="A16" s="1761" t="s">
        <v>643</v>
      </c>
      <c r="B16" s="1762">
        <v>200</v>
      </c>
      <c r="C16" s="1756">
        <f>SUM(C3,C5:C6,C8:C10,C12:C15)</f>
        <v>50281203</v>
      </c>
      <c r="D16" s="1756">
        <f>SUM(D3,D5:D6,D8:D10,D12:D15)</f>
        <v>499250</v>
      </c>
      <c r="E16" s="1756">
        <f>SUM(E3,E5:E6,E8:E10,E12:E15)</f>
        <v>286680</v>
      </c>
      <c r="F16" s="1756">
        <f>SUM(F3,F5:F6,F8:F10,F12:F15)</f>
        <v>50493773</v>
      </c>
      <c r="G16" s="843"/>
      <c r="H16" s="1756">
        <f>SUM(H3,H6,H8:H10,H12:H14,)</f>
        <v>19490450</v>
      </c>
      <c r="I16" s="1756">
        <f>SUM(I3,I6,I8:I10,I12:I14,)</f>
        <v>1339124</v>
      </c>
      <c r="J16" s="1756">
        <f>SUM(J3,J6,J8:J10,J12:J14,)</f>
        <v>258636</v>
      </c>
      <c r="K16" s="1756">
        <f>(H16+I16)-J16</f>
        <v>20570938</v>
      </c>
      <c r="L16" s="1756">
        <f>F16-K16</f>
        <v>29922835</v>
      </c>
    </row>
    <row r="17" spans="1:12" ht="15" customHeight="1" thickTop="1" thickBot="1" x14ac:dyDescent="0.25">
      <c r="A17" s="1629" t="s">
        <v>291</v>
      </c>
      <c r="B17" s="1626">
        <v>700</v>
      </c>
      <c r="C17" s="769"/>
      <c r="D17" s="769"/>
      <c r="E17" s="769"/>
      <c r="F17" s="1756">
        <f>SUM('Expenditures 15-22'!I114,'Expenditures 15-22'!I151,'Expenditures 15-22'!I210,'Expenditures 15-22'!I312,'Expenditures 15-22'!I342,'Expenditures 15-22'!I367)</f>
        <v>574984</v>
      </c>
      <c r="G17" s="837">
        <v>10</v>
      </c>
      <c r="H17" s="769"/>
      <c r="I17" s="1765">
        <f>F17/G17</f>
        <v>57498.400000000001</v>
      </c>
      <c r="J17" s="769"/>
      <c r="K17" s="795"/>
      <c r="L17" s="795"/>
    </row>
    <row r="18" spans="1:12" ht="14.25" thickTop="1" thickBot="1" x14ac:dyDescent="0.25">
      <c r="A18" s="1763" t="s">
        <v>685</v>
      </c>
      <c r="B18" s="1764"/>
      <c r="C18" s="771"/>
      <c r="D18" s="771"/>
      <c r="E18" s="771"/>
      <c r="F18" s="850"/>
      <c r="G18" s="851"/>
      <c r="H18" s="773"/>
      <c r="I18" s="1756">
        <f>SUM(I16,I17)</f>
        <v>1396622.4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L67" sqref="L6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1972</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32052884</v>
      </c>
      <c r="G8" s="865"/>
    </row>
    <row r="9" spans="1:7" x14ac:dyDescent="0.2">
      <c r="A9" s="869" t="s">
        <v>460</v>
      </c>
      <c r="B9" s="870" t="s">
        <v>1874</v>
      </c>
      <c r="C9" s="871"/>
      <c r="D9" s="869" t="s">
        <v>501</v>
      </c>
      <c r="E9" s="868"/>
      <c r="F9" s="1905">
        <f>'Expenditures 15-22'!K151</f>
        <v>3266478</v>
      </c>
      <c r="G9" s="872"/>
    </row>
    <row r="10" spans="1:7" x14ac:dyDescent="0.2">
      <c r="A10" s="869" t="s">
        <v>499</v>
      </c>
      <c r="B10" s="870" t="s">
        <v>1875</v>
      </c>
      <c r="C10" s="871"/>
      <c r="D10" s="869" t="s">
        <v>501</v>
      </c>
      <c r="E10" s="868"/>
      <c r="F10" s="1905">
        <f>'Expenditures 15-22'!K174</f>
        <v>0</v>
      </c>
      <c r="G10" s="872"/>
    </row>
    <row r="11" spans="1:7" x14ac:dyDescent="0.2">
      <c r="A11" s="869" t="s">
        <v>461</v>
      </c>
      <c r="B11" s="870" t="s">
        <v>1876</v>
      </c>
      <c r="C11" s="871"/>
      <c r="D11" s="869" t="s">
        <v>501</v>
      </c>
      <c r="E11" s="868"/>
      <c r="F11" s="1905">
        <f>'Expenditures 15-22'!K210</f>
        <v>1615132</v>
      </c>
      <c r="G11" s="872"/>
    </row>
    <row r="12" spans="1:7" x14ac:dyDescent="0.2">
      <c r="A12" s="869" t="s">
        <v>462</v>
      </c>
      <c r="B12" s="870" t="s">
        <v>1877</v>
      </c>
      <c r="C12" s="871"/>
      <c r="D12" s="869" t="s">
        <v>501</v>
      </c>
      <c r="E12" s="868"/>
      <c r="F12" s="1905">
        <f>'Expenditures 15-22'!K295</f>
        <v>1139033</v>
      </c>
      <c r="G12" s="872"/>
    </row>
    <row r="13" spans="1:7" x14ac:dyDescent="0.2">
      <c r="A13" s="869" t="s">
        <v>106</v>
      </c>
      <c r="B13" s="870" t="s">
        <v>1878</v>
      </c>
      <c r="C13" s="871"/>
      <c r="D13" s="869" t="s">
        <v>501</v>
      </c>
      <c r="E13" s="868"/>
      <c r="F13" s="1905">
        <f>'Expenditures 15-22'!K342</f>
        <v>305112</v>
      </c>
      <c r="G13" s="873"/>
    </row>
    <row r="14" spans="1:7" ht="12" customHeight="1" thickBot="1" x14ac:dyDescent="0.25">
      <c r="A14" s="1766"/>
      <c r="B14" s="1767"/>
      <c r="C14" s="1768"/>
      <c r="D14" s="1769" t="s">
        <v>501</v>
      </c>
      <c r="E14" s="1770" t="s">
        <v>958</v>
      </c>
      <c r="F14" s="1771">
        <f>SUM(F8:F13)</f>
        <v>38378639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0">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1999</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18267</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84668</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1384686</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167823</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264257</v>
      </c>
      <c r="G52" s="865"/>
    </row>
    <row r="53" spans="1:7" x14ac:dyDescent="0.2">
      <c r="A53" s="869" t="s">
        <v>459</v>
      </c>
      <c r="B53" s="869" t="s">
        <v>1475</v>
      </c>
      <c r="C53" s="889">
        <f>'Expenditures 15-22'!B102</f>
        <v>4000</v>
      </c>
      <c r="D53" s="888" t="str">
        <f>'Expenditures 15-22'!A102</f>
        <v>Total Payments to Other Govt Units</v>
      </c>
      <c r="E53" s="868"/>
      <c r="F53" s="1909">
        <f>'Expenditures 15-22'!K102</f>
        <v>6663</v>
      </c>
      <c r="G53" s="865"/>
    </row>
    <row r="54" spans="1:7" x14ac:dyDescent="0.2">
      <c r="A54" s="869" t="s">
        <v>459</v>
      </c>
      <c r="B54" s="869" t="s">
        <v>1476</v>
      </c>
      <c r="C54" s="889" t="s">
        <v>982</v>
      </c>
      <c r="D54" s="885" t="s">
        <v>1095</v>
      </c>
      <c r="E54" s="868"/>
      <c r="F54" s="1909">
        <f>'Expenditures 15-22'!G114</f>
        <v>197534</v>
      </c>
      <c r="G54" s="865"/>
    </row>
    <row r="55" spans="1:7" x14ac:dyDescent="0.2">
      <c r="A55" s="869" t="s">
        <v>459</v>
      </c>
      <c r="B55" s="869" t="s">
        <v>1477</v>
      </c>
      <c r="C55" s="889" t="s">
        <v>982</v>
      </c>
      <c r="D55" s="885" t="s">
        <v>291</v>
      </c>
      <c r="E55" s="868"/>
      <c r="F55" s="1909">
        <f>'Expenditures 15-22'!I114</f>
        <v>574984</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09">
        <f>'Expenditures 15-22'!K139</f>
        <v>0</v>
      </c>
      <c r="G57" s="865"/>
    </row>
    <row r="58" spans="1:7" x14ac:dyDescent="0.2">
      <c r="A58" s="869" t="s">
        <v>460</v>
      </c>
      <c r="B58" s="869" t="s">
        <v>1880</v>
      </c>
      <c r="C58" s="886" t="s">
        <v>982</v>
      </c>
      <c r="D58" s="885" t="s">
        <v>1095</v>
      </c>
      <c r="E58" s="868"/>
      <c r="F58" s="1911">
        <f>'Expenditures 15-22'!G151</f>
        <v>6266</v>
      </c>
      <c r="G58" s="865"/>
    </row>
    <row r="59" spans="1:7" x14ac:dyDescent="0.2">
      <c r="A59" s="893" t="s">
        <v>460</v>
      </c>
      <c r="B59" s="856" t="s">
        <v>1881</v>
      </c>
      <c r="C59" s="894" t="s">
        <v>982</v>
      </c>
      <c r="D59" s="856" t="s">
        <v>291</v>
      </c>
      <c r="F59" s="1912">
        <f>'Expenditures 15-22'!I151</f>
        <v>0</v>
      </c>
      <c r="G59" s="865"/>
    </row>
    <row r="60" spans="1:7" x14ac:dyDescent="0.2">
      <c r="A60" s="893" t="s">
        <v>499</v>
      </c>
      <c r="B60" s="856" t="s">
        <v>1882</v>
      </c>
      <c r="C60" s="894">
        <v>4000</v>
      </c>
      <c r="D60" s="856" t="s">
        <v>312</v>
      </c>
      <c r="F60" s="1910">
        <f>'Expenditures 15-22'!K160</f>
        <v>0</v>
      </c>
      <c r="G60" s="865"/>
    </row>
    <row r="61" spans="1:7" x14ac:dyDescent="0.2">
      <c r="A61" s="895" t="s">
        <v>499</v>
      </c>
      <c r="B61" s="895" t="s">
        <v>1883</v>
      </c>
      <c r="C61" s="896" t="str">
        <f>'Expenditures 15-22'!B170</f>
        <v>5300</v>
      </c>
      <c r="D61" s="897" t="s">
        <v>311</v>
      </c>
      <c r="E61" s="879"/>
      <c r="F61" s="1909">
        <f>'Expenditures 15-22'!K170</f>
        <v>0</v>
      </c>
      <c r="G61" s="865"/>
    </row>
    <row r="62" spans="1:7" x14ac:dyDescent="0.2">
      <c r="A62" s="869" t="s">
        <v>461</v>
      </c>
      <c r="B62" s="869" t="s">
        <v>1884</v>
      </c>
      <c r="C62" s="886">
        <f>'Expenditures 15-22'!B185</f>
        <v>3000</v>
      </c>
      <c r="D62" s="876" t="s">
        <v>449</v>
      </c>
      <c r="E62" s="868"/>
      <c r="F62" s="1909">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1886</v>
      </c>
      <c r="C64" s="896" t="str">
        <f>'Expenditures 15-22'!B206</f>
        <v>5300</v>
      </c>
      <c r="D64" s="892" t="s">
        <v>311</v>
      </c>
      <c r="E64" s="868"/>
      <c r="F64" s="1909">
        <f>'Expenditures 15-22'!K206</f>
        <v>0</v>
      </c>
      <c r="G64" s="865"/>
    </row>
    <row r="65" spans="1:8" x14ac:dyDescent="0.2">
      <c r="A65" s="869" t="s">
        <v>461</v>
      </c>
      <c r="B65" s="869" t="s">
        <v>1887</v>
      </c>
      <c r="C65" s="886" t="s">
        <v>982</v>
      </c>
      <c r="D65" s="885" t="s">
        <v>1095</v>
      </c>
      <c r="E65" s="868"/>
      <c r="F65" s="1909">
        <f>'Expenditures 15-22'!G210</f>
        <v>264315</v>
      </c>
      <c r="G65" s="865"/>
    </row>
    <row r="66" spans="1:8" x14ac:dyDescent="0.2">
      <c r="A66" s="869" t="s">
        <v>461</v>
      </c>
      <c r="B66" s="869" t="s">
        <v>1888</v>
      </c>
      <c r="C66" s="886" t="s">
        <v>982</v>
      </c>
      <c r="D66" s="885" t="s">
        <v>291</v>
      </c>
      <c r="E66" s="868"/>
      <c r="F66" s="1909">
        <f>'Expenditures 15-22'!I210</f>
        <v>0</v>
      </c>
      <c r="G66" s="865"/>
    </row>
    <row r="67" spans="1:8" x14ac:dyDescent="0.2">
      <c r="A67" s="869" t="s">
        <v>462</v>
      </c>
      <c r="B67" s="869" t="s">
        <v>1889</v>
      </c>
      <c r="C67" s="886" t="str">
        <f>'Expenditures 15-22'!B216</f>
        <v>1125</v>
      </c>
      <c r="D67" s="892" t="str">
        <f>'Expenditures 15-22'!A216</f>
        <v>Pre-K Programs</v>
      </c>
      <c r="E67" s="868"/>
      <c r="F67" s="1909">
        <f>'Expenditures 15-22'!K216</f>
        <v>0</v>
      </c>
      <c r="G67" s="865"/>
    </row>
    <row r="68" spans="1:8" x14ac:dyDescent="0.2">
      <c r="A68" s="869" t="s">
        <v>462</v>
      </c>
      <c r="B68" s="869" t="s">
        <v>1479</v>
      </c>
      <c r="C68" s="886" t="str">
        <f>'Expenditures 15-22'!B218</f>
        <v>1225</v>
      </c>
      <c r="D68" s="892" t="str">
        <f>'Expenditures 15-22'!A218</f>
        <v>Special Education Programs - Pre-K</v>
      </c>
      <c r="E68" s="868"/>
      <c r="F68" s="1909">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1891</v>
      </c>
      <c r="C70" s="886">
        <f>'Expenditures 15-22'!B221</f>
        <v>1300</v>
      </c>
      <c r="D70" s="887" t="str">
        <f>'Expenditures 15-22'!A221</f>
        <v>Adult/Continuing Education Programs</v>
      </c>
      <c r="E70" s="868"/>
      <c r="F70" s="1909">
        <f>'Expenditures 15-22'!K221</f>
        <v>0</v>
      </c>
      <c r="G70" s="865"/>
    </row>
    <row r="71" spans="1:8" x14ac:dyDescent="0.2">
      <c r="A71" s="869" t="s">
        <v>462</v>
      </c>
      <c r="B71" s="869" t="s">
        <v>1892</v>
      </c>
      <c r="C71" s="886">
        <f>'Expenditures 15-22'!B224</f>
        <v>1600</v>
      </c>
      <c r="D71" s="887" t="str">
        <f>'Expenditures 15-22'!A224</f>
        <v>Summer School Programs</v>
      </c>
      <c r="E71" s="868"/>
      <c r="F71" s="1909">
        <f>'Expenditures 15-22'!K224</f>
        <v>4362</v>
      </c>
      <c r="G71" s="865"/>
    </row>
    <row r="72" spans="1:8" x14ac:dyDescent="0.2">
      <c r="A72" s="869" t="s">
        <v>462</v>
      </c>
      <c r="B72" s="869" t="s">
        <v>1893</v>
      </c>
      <c r="C72" s="886">
        <f>'Expenditures 15-22'!B280</f>
        <v>3000</v>
      </c>
      <c r="D72" s="876" t="s">
        <v>449</v>
      </c>
      <c r="E72" s="868"/>
      <c r="F72" s="1909">
        <f>'Expenditures 15-22'!K280</f>
        <v>10709</v>
      </c>
      <c r="G72" s="865"/>
    </row>
    <row r="73" spans="1:8" x14ac:dyDescent="0.2">
      <c r="A73" s="869" t="s">
        <v>462</v>
      </c>
      <c r="B73" s="869" t="s">
        <v>1894</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1895</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1896</v>
      </c>
      <c r="E76" s="1770" t="s">
        <v>958</v>
      </c>
      <c r="F76" s="1774">
        <f>SUM(F18:F74)</f>
        <v>2984534</v>
      </c>
      <c r="G76" s="865"/>
    </row>
    <row r="77" spans="1:8" s="893" customFormat="1" ht="12" customHeight="1" thickTop="1" thickBot="1" x14ac:dyDescent="0.25">
      <c r="A77" s="1775"/>
      <c r="B77" s="1772"/>
      <c r="C77" s="1768"/>
      <c r="D77" s="1773" t="s">
        <v>1897</v>
      </c>
      <c r="E77" s="1770"/>
      <c r="F77" s="1776">
        <f>(F14-F76)</f>
        <v>35394105</v>
      </c>
      <c r="G77" s="869"/>
    </row>
    <row r="78" spans="1:8" s="893" customFormat="1" ht="12" customHeight="1" thickTop="1" x14ac:dyDescent="0.2">
      <c r="A78" s="1777"/>
      <c r="B78" s="1772"/>
      <c r="C78" s="1768"/>
      <c r="D78" s="1773" t="s">
        <v>2059</v>
      </c>
      <c r="E78" s="1770"/>
      <c r="F78" s="898">
        <v>2634.1</v>
      </c>
      <c r="G78" s="899"/>
      <c r="H78" s="869"/>
    </row>
    <row r="79" spans="1:8" s="893" customFormat="1" ht="12" customHeight="1" thickBot="1" x14ac:dyDescent="0.25">
      <c r="A79" s="1778"/>
      <c r="B79" s="1772"/>
      <c r="C79" s="1768"/>
      <c r="D79" s="1773" t="s">
        <v>1898</v>
      </c>
      <c r="E79" s="1770" t="s">
        <v>958</v>
      </c>
      <c r="F79" s="1779">
        <f>IF(F78&gt;0,F77/F78," Complete Line 78")</f>
        <v>13436.887361907293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5">
        <f>'Revenues 9-14'!F45</f>
        <v>0</v>
      </c>
      <c r="G86" s="914"/>
    </row>
    <row r="87" spans="1:7" x14ac:dyDescent="0.2">
      <c r="A87" s="908" t="s">
        <v>461</v>
      </c>
      <c r="B87" s="908" t="s">
        <v>167</v>
      </c>
      <c r="C87" s="910">
        <v>1416</v>
      </c>
      <c r="D87" s="911" t="str">
        <f>'Revenues 9-14'!A46</f>
        <v>Regular Transp Fees from Other Sources (Out of State)</v>
      </c>
      <c r="E87" s="906"/>
      <c r="F87" s="1785">
        <f>'Revenues 9-14'!F46</f>
        <v>0</v>
      </c>
      <c r="G87" s="914"/>
    </row>
    <row r="88" spans="1:7" x14ac:dyDescent="0.2">
      <c r="A88" s="908" t="s">
        <v>461</v>
      </c>
      <c r="B88" s="908" t="s">
        <v>168</v>
      </c>
      <c r="C88" s="910">
        <f>'Revenues 9-14'!B51</f>
        <v>1431</v>
      </c>
      <c r="D88" s="911" t="str">
        <f>'Revenues 9-14'!A51</f>
        <v>CTE - Transp Fees from Pupils or Parents (In State)</v>
      </c>
      <c r="E88" s="906"/>
      <c r="F88" s="1785">
        <f>'Revenues 9-14'!F51</f>
        <v>0</v>
      </c>
      <c r="G88" s="914"/>
    </row>
    <row r="89" spans="1:7" x14ac:dyDescent="0.2">
      <c r="A89" s="908" t="s">
        <v>461</v>
      </c>
      <c r="B89" s="908" t="s">
        <v>169</v>
      </c>
      <c r="C89" s="910">
        <f>'Revenues 9-14'!B53</f>
        <v>1433</v>
      </c>
      <c r="D89" s="911" t="str">
        <f>'Revenues 9-14'!A53</f>
        <v>CTE - Transp Fees from Other Sources (In State)</v>
      </c>
      <c r="E89" s="906"/>
      <c r="F89" s="1785">
        <f>'Revenues 9-14'!F53</f>
        <v>0</v>
      </c>
      <c r="G89" s="914"/>
    </row>
    <row r="90" spans="1:7" x14ac:dyDescent="0.2">
      <c r="A90" s="908" t="s">
        <v>461</v>
      </c>
      <c r="B90" s="908" t="s">
        <v>170</v>
      </c>
      <c r="C90" s="910">
        <f>'Revenues 9-14'!B54</f>
        <v>1434</v>
      </c>
      <c r="D90" s="911" t="str">
        <f>'Revenues 9-14'!A54</f>
        <v>CTE - Transp Fees from Other Sources (Out of State)</v>
      </c>
      <c r="E90" s="906"/>
      <c r="F90" s="1785">
        <f>'Revenues 9-14'!F54</f>
        <v>0</v>
      </c>
      <c r="G90" s="914"/>
    </row>
    <row r="91" spans="1:7" x14ac:dyDescent="0.2">
      <c r="A91" s="908" t="s">
        <v>461</v>
      </c>
      <c r="B91" s="908" t="s">
        <v>171</v>
      </c>
      <c r="C91" s="915">
        <f>'Revenues 9-14'!B55</f>
        <v>1441</v>
      </c>
      <c r="D91" s="911" t="str">
        <f>'Revenues 9-14'!A55</f>
        <v>Special Ed - Transp Fees from Pupils or Parents (In State)</v>
      </c>
      <c r="E91" s="906"/>
      <c r="F91" s="1785">
        <f>'Revenues 9-14'!F55</f>
        <v>0</v>
      </c>
      <c r="G91" s="914"/>
    </row>
    <row r="92" spans="1:7" x14ac:dyDescent="0.2">
      <c r="A92" s="908" t="s">
        <v>461</v>
      </c>
      <c r="B92" s="908" t="s">
        <v>172</v>
      </c>
      <c r="C92" s="910">
        <f>'Revenues 9-14'!B57</f>
        <v>1443</v>
      </c>
      <c r="D92" s="911" t="str">
        <f>'Revenues 9-14'!A57</f>
        <v>Special Ed - Transp Fees from Other Sources (In State)</v>
      </c>
      <c r="E92" s="906"/>
      <c r="F92" s="1785">
        <f>'Revenues 9-14'!F57</f>
        <v>0</v>
      </c>
      <c r="G92" s="916"/>
    </row>
    <row r="93" spans="1:7" x14ac:dyDescent="0.2">
      <c r="A93" s="908" t="s">
        <v>461</v>
      </c>
      <c r="B93" s="908" t="s">
        <v>173</v>
      </c>
      <c r="C93" s="910">
        <f>'Revenues 9-14'!B58</f>
        <v>1444</v>
      </c>
      <c r="D93" s="911" t="str">
        <f>'Revenues 9-14'!A58</f>
        <v>Special Ed - Transp Fees from Other Sources (Out of State)</v>
      </c>
      <c r="E93" s="906"/>
      <c r="F93" s="1785">
        <f>'Revenues 9-14'!F58</f>
        <v>0</v>
      </c>
      <c r="G93" s="916"/>
    </row>
    <row r="94" spans="1:7" x14ac:dyDescent="0.2">
      <c r="A94" s="908" t="s">
        <v>459</v>
      </c>
      <c r="B94" s="908" t="s">
        <v>174</v>
      </c>
      <c r="C94" s="910">
        <v>1600</v>
      </c>
      <c r="D94" s="917" t="str">
        <f>'Revenues 9-14'!A75</f>
        <v>Total Food Service</v>
      </c>
      <c r="E94" s="906"/>
      <c r="F94" s="1785">
        <f>'Revenues 9-14'!C75</f>
        <v>63063</v>
      </c>
      <c r="G94" s="912"/>
    </row>
    <row r="95" spans="1:7" x14ac:dyDescent="0.2">
      <c r="A95" s="908" t="s">
        <v>140</v>
      </c>
      <c r="B95" s="908" t="s">
        <v>175</v>
      </c>
      <c r="C95" s="910">
        <v>1700</v>
      </c>
      <c r="D95" s="918" t="str">
        <f>'Revenues 9-14'!A82</f>
        <v>Total District/School Activity Income</v>
      </c>
      <c r="E95" s="906"/>
      <c r="F95" s="1785">
        <f>SUM('Revenues 9-14'!C82,'Revenues 9-14'!D82)</f>
        <v>0</v>
      </c>
      <c r="G95" s="912"/>
    </row>
    <row r="96" spans="1:7" x14ac:dyDescent="0.2">
      <c r="A96" s="908" t="s">
        <v>459</v>
      </c>
      <c r="B96" s="908" t="s">
        <v>176</v>
      </c>
      <c r="C96" s="910">
        <f>'Revenues 9-14'!B84</f>
        <v>1811</v>
      </c>
      <c r="D96" s="911" t="str">
        <f>'Revenues 9-14'!A84</f>
        <v>Rentals - Regular Textbooks</v>
      </c>
      <c r="E96" s="906"/>
      <c r="F96" s="1785">
        <f>'Revenues 9-14'!C84</f>
        <v>0</v>
      </c>
      <c r="G96" s="912"/>
    </row>
    <row r="97" spans="1:7" x14ac:dyDescent="0.2">
      <c r="A97" s="908" t="s">
        <v>459</v>
      </c>
      <c r="B97" s="908" t="s">
        <v>177</v>
      </c>
      <c r="C97" s="910">
        <f>'Revenues 9-14'!B87</f>
        <v>1819</v>
      </c>
      <c r="D97" s="911" t="str">
        <f>'Revenues 9-14'!A87</f>
        <v>Rentals - Other (Describe &amp; Itemize)</v>
      </c>
      <c r="E97" s="906"/>
      <c r="F97" s="1785">
        <f>'Revenues 9-14'!C87</f>
        <v>0</v>
      </c>
      <c r="G97" s="912"/>
    </row>
    <row r="98" spans="1:7" x14ac:dyDescent="0.2">
      <c r="A98" s="908" t="s">
        <v>459</v>
      </c>
      <c r="B98" s="908" t="s">
        <v>178</v>
      </c>
      <c r="C98" s="910">
        <f>'Revenues 9-14'!B88</f>
        <v>1821</v>
      </c>
      <c r="D98" s="911" t="str">
        <f>'Revenues 9-14'!A88</f>
        <v>Sales - Regular Textbooks</v>
      </c>
      <c r="E98" s="906"/>
      <c r="F98" s="1785">
        <f>'Revenues 9-14'!C88</f>
        <v>0</v>
      </c>
      <c r="G98" s="912"/>
    </row>
    <row r="99" spans="1:7" x14ac:dyDescent="0.2">
      <c r="A99" s="908" t="s">
        <v>459</v>
      </c>
      <c r="B99" s="908" t="s">
        <v>179</v>
      </c>
      <c r="C99" s="910">
        <f>'Revenues 9-14'!B91</f>
        <v>1829</v>
      </c>
      <c r="D99" s="911" t="str">
        <f>'Revenues 9-14'!A91</f>
        <v>Sales - Other (Describe &amp; Itemize)</v>
      </c>
      <c r="E99" s="906"/>
      <c r="F99" s="1785">
        <f>'Revenues 9-14'!C91</f>
        <v>0</v>
      </c>
      <c r="G99" s="912"/>
    </row>
    <row r="100" spans="1:7" x14ac:dyDescent="0.2">
      <c r="A100" s="908" t="s">
        <v>459</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450</v>
      </c>
      <c r="G101" s="912"/>
    </row>
    <row r="102" spans="1:7" x14ac:dyDescent="0.2">
      <c r="A102" s="908" t="s">
        <v>503</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5">
        <f>('Revenues 9-14'!C106)</f>
        <v>44664</v>
      </c>
      <c r="G104" s="912"/>
    </row>
    <row r="105" spans="1:7" x14ac:dyDescent="0.2">
      <c r="A105" s="908" t="s">
        <v>503</v>
      </c>
      <c r="B105" s="908" t="s">
        <v>2000</v>
      </c>
      <c r="C105" s="913">
        <v>3100</v>
      </c>
      <c r="D105" s="919" t="str">
        <f>'Revenues 9-14'!A132</f>
        <v>Total Special Education</v>
      </c>
      <c r="E105" s="906"/>
      <c r="F105" s="1785">
        <f>SUM('Revenues 9-14'!C132:D132,'Revenues 9-14'!F132)</f>
        <v>747178</v>
      </c>
      <c r="G105" s="912"/>
    </row>
    <row r="106" spans="1:7" x14ac:dyDescent="0.2">
      <c r="A106" s="908" t="s">
        <v>673</v>
      </c>
      <c r="B106" s="908" t="s">
        <v>2001</v>
      </c>
      <c r="C106" s="920">
        <v>3200</v>
      </c>
      <c r="D106" s="911" t="str">
        <f>'Revenues 9-14'!A141</f>
        <v>Total Career and Technical Education</v>
      </c>
      <c r="E106" s="906"/>
      <c r="F106" s="1785">
        <f>SUM('Revenues 9-14'!C141,'Revenues 9-14'!D141,'Revenues 9-14'!G141)</f>
        <v>0</v>
      </c>
      <c r="G106" s="912"/>
    </row>
    <row r="107" spans="1:7" x14ac:dyDescent="0.2">
      <c r="A107" s="921" t="s">
        <v>664</v>
      </c>
      <c r="B107" s="908" t="s">
        <v>2002</v>
      </c>
      <c r="C107" s="920">
        <v>3300</v>
      </c>
      <c r="D107" s="911" t="str">
        <f>'Revenues 9-14'!A145</f>
        <v>Total Bilingual Ed</v>
      </c>
      <c r="E107" s="906"/>
      <c r="F107" s="1785">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5">
        <f>'Revenues 9-14'!C146</f>
        <v>28852</v>
      </c>
      <c r="G108" s="912"/>
    </row>
    <row r="109" spans="1:7" x14ac:dyDescent="0.2">
      <c r="A109" s="908" t="s">
        <v>673</v>
      </c>
      <c r="B109" s="908" t="s">
        <v>2004</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5">
        <f>SUM('Revenues 9-14'!C148,'Revenues 9-14'!D148)</f>
        <v>0</v>
      </c>
      <c r="G110" s="912"/>
    </row>
    <row r="111" spans="1:7" x14ac:dyDescent="0.2">
      <c r="A111" s="908" t="s">
        <v>668</v>
      </c>
      <c r="B111" s="908" t="s">
        <v>2006</v>
      </c>
      <c r="C111" s="922">
        <v>3500</v>
      </c>
      <c r="D111" s="911" t="str">
        <f>'Revenues 9-14'!A155</f>
        <v>Total Transportation</v>
      </c>
      <c r="E111" s="906"/>
      <c r="F111" s="1785">
        <f>SUM('Revenues 9-14'!C155,'Revenues 9-14'!D155,'Revenues 9-14'!F155,'Revenues 9-14'!G155)</f>
        <v>1037941</v>
      </c>
      <c r="G111" s="912"/>
    </row>
    <row r="112" spans="1:7" x14ac:dyDescent="0.2">
      <c r="A112" s="908" t="s">
        <v>459</v>
      </c>
      <c r="B112" s="908" t="s">
        <v>2007</v>
      </c>
      <c r="C112" s="920">
        <f>'Revenues 9-14'!B156</f>
        <v>3610</v>
      </c>
      <c r="D112" s="911" t="str">
        <f>'Revenues 9-14'!A156</f>
        <v>Learning Improvement - Change Grants</v>
      </c>
      <c r="E112" s="906"/>
      <c r="F112" s="1785">
        <f>'Revenues 9-14'!C156</f>
        <v>0</v>
      </c>
      <c r="G112" s="912"/>
    </row>
    <row r="113" spans="1:7" x14ac:dyDescent="0.2">
      <c r="A113" s="908" t="s">
        <v>668</v>
      </c>
      <c r="B113" s="908" t="s">
        <v>2008</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3">
        <f>SUM('Revenues 9-14'!C163:G163)</f>
        <v>0</v>
      </c>
      <c r="G118" s="912"/>
    </row>
    <row r="119" spans="1:7" x14ac:dyDescent="0.2">
      <c r="A119" s="923" t="s">
        <v>504</v>
      </c>
      <c r="B119" s="923" t="s">
        <v>2014</v>
      </c>
      <c r="C119" s="924">
        <f>'Revenues 9-14'!B164</f>
        <v>3815</v>
      </c>
      <c r="D119" s="925" t="str">
        <f>'Revenues 9-14'!A164</f>
        <v>State Charter Schools</v>
      </c>
      <c r="E119" s="906"/>
      <c r="F119" s="1903">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5">
        <f>'Revenues 9-14'!D167</f>
        <v>0</v>
      </c>
      <c r="G120" s="930"/>
    </row>
    <row r="121" spans="1:7" x14ac:dyDescent="0.2">
      <c r="A121" s="927" t="s">
        <v>500</v>
      </c>
      <c r="B121" s="927" t="s">
        <v>2016</v>
      </c>
      <c r="C121" s="928">
        <f>'Revenues 9-14'!B168</f>
        <v>3999</v>
      </c>
      <c r="D121" s="929" t="s">
        <v>543</v>
      </c>
      <c r="E121" s="931"/>
      <c r="F121" s="1785">
        <f>SUM('Revenues 9-14'!C168:G168,'Revenues 9-14'!J168)</f>
        <v>104457</v>
      </c>
      <c r="G121" s="930"/>
    </row>
    <row r="122" spans="1:7" x14ac:dyDescent="0.2">
      <c r="A122" s="927" t="s">
        <v>459</v>
      </c>
      <c r="B122" s="927" t="s">
        <v>2017</v>
      </c>
      <c r="C122" s="932">
        <f>'Revenues 9-14'!B177</f>
        <v>4045</v>
      </c>
      <c r="D122" s="929" t="str">
        <f>'Revenues 9-14'!A177 &amp; " (Subtract)"</f>
        <v>Head Start (Subtract)</v>
      </c>
      <c r="E122" s="906"/>
      <c r="F122" s="1785">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668</v>
      </c>
      <c r="B124" s="927" t="s">
        <v>2019</v>
      </c>
      <c r="C124" s="932">
        <v>4100</v>
      </c>
      <c r="D124" s="933" t="str">
        <f>'Revenues 9-14'!A188</f>
        <v>Total Title V</v>
      </c>
      <c r="E124" s="906"/>
      <c r="F124" s="1785">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5">
        <f>SUM('Revenues 9-14'!C198,'Revenues 9-14'!G198)</f>
        <v>1572908</v>
      </c>
      <c r="G125" s="930"/>
    </row>
    <row r="126" spans="1:7" x14ac:dyDescent="0.2">
      <c r="A126" s="927" t="s">
        <v>668</v>
      </c>
      <c r="B126" s="927" t="s">
        <v>2021</v>
      </c>
      <c r="C126" s="932">
        <v>4300</v>
      </c>
      <c r="D126" s="933" t="str">
        <f>'Revenues 9-14'!A204</f>
        <v>Total Title I</v>
      </c>
      <c r="E126" s="906"/>
      <c r="F126" s="1785">
        <f>SUM('Revenues 9-14'!C204,'Revenues 9-14'!D204,'Revenues 9-14'!F204,'Revenues 9-14'!G204)</f>
        <v>1325188</v>
      </c>
      <c r="G126" s="930"/>
    </row>
    <row r="127" spans="1:7" x14ac:dyDescent="0.2">
      <c r="A127" s="927" t="s">
        <v>668</v>
      </c>
      <c r="B127" s="927" t="s">
        <v>2022</v>
      </c>
      <c r="C127" s="932">
        <v>4400</v>
      </c>
      <c r="D127" s="933" t="str">
        <f>'Revenues 9-14'!A209</f>
        <v>Total Title IV</v>
      </c>
      <c r="E127" s="906"/>
      <c r="F127" s="1785">
        <f>SUM('Revenues 9-14'!C209,'Revenues 9-14'!D209,'Revenues 9-14'!F209,'Revenues 9-14'!G209)</f>
        <v>32388</v>
      </c>
      <c r="G127" s="930"/>
    </row>
    <row r="128" spans="1:7" x14ac:dyDescent="0.2">
      <c r="A128" s="927" t="s">
        <v>668</v>
      </c>
      <c r="B128" s="927" t="s">
        <v>2023</v>
      </c>
      <c r="C128" s="932">
        <f>'Revenues 9-14'!B213</f>
        <v>4620</v>
      </c>
      <c r="D128" s="933" t="str">
        <f>'Revenues 9-14'!A213</f>
        <v>Fed - Spec Education - IDEA - Flow Through</v>
      </c>
      <c r="E128" s="906"/>
      <c r="F128" s="1785">
        <f>SUM('Revenues 9-14'!C213:D213,'Revenues 9-14'!F213:G213)</f>
        <v>819077</v>
      </c>
      <c r="G128" s="930"/>
    </row>
    <row r="129" spans="1:7" x14ac:dyDescent="0.2">
      <c r="A129" s="927" t="s">
        <v>668</v>
      </c>
      <c r="B129" s="927" t="s">
        <v>2024</v>
      </c>
      <c r="C129" s="932">
        <f>'Revenues 9-14'!B214</f>
        <v>4625</v>
      </c>
      <c r="D129" s="933" t="str">
        <f>'Revenues 9-14'!A214</f>
        <v>Fed - Spec Education - IDEA - Room &amp; Board</v>
      </c>
      <c r="E129" s="906"/>
      <c r="F129" s="1785">
        <f>SUM('Revenues 9-14'!C214,'Revenues 9-14'!D214,'Revenues 9-14'!F214,'Revenues 9-14'!G214)</f>
        <v>65689</v>
      </c>
      <c r="G129" s="930"/>
    </row>
    <row r="130" spans="1:7" x14ac:dyDescent="0.2">
      <c r="A130" s="927" t="s">
        <v>668</v>
      </c>
      <c r="B130" s="927" t="s">
        <v>2025</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673</v>
      </c>
      <c r="B132" s="927" t="s">
        <v>2026</v>
      </c>
      <c r="C132" s="932">
        <v>4700</v>
      </c>
      <c r="D132" s="929" t="str">
        <f>'Revenues 9-14'!A221</f>
        <v>Total CTE - Perkins</v>
      </c>
      <c r="E132" s="906"/>
      <c r="F132" s="1785">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5">
        <v>0</v>
      </c>
      <c r="G138" s="905"/>
    </row>
    <row r="139" spans="1:7" s="867" customFormat="1" hidden="1" x14ac:dyDescent="0.2">
      <c r="A139" s="934" t="s">
        <v>206</v>
      </c>
      <c r="B139" s="934" t="s">
        <v>2033</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1417</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500</v>
      </c>
      <c r="B157" s="939" t="s">
        <v>2041</v>
      </c>
      <c r="C157" s="940" t="s">
        <v>841</v>
      </c>
      <c r="D157" s="941" t="s">
        <v>777</v>
      </c>
      <c r="E157" s="942"/>
      <c r="F157" s="1785">
        <f>SUM(F133:F156)</f>
        <v>0</v>
      </c>
      <c r="G157" s="905"/>
    </row>
    <row r="158" spans="1:7" s="867" customFormat="1" x14ac:dyDescent="0.2">
      <c r="A158" s="938" t="s">
        <v>459</v>
      </c>
      <c r="B158" s="939" t="s">
        <v>2042</v>
      </c>
      <c r="C158" s="940" t="s">
        <v>1427</v>
      </c>
      <c r="D158" s="941" t="s">
        <v>1428</v>
      </c>
      <c r="E158" s="942"/>
      <c r="F158" s="1785">
        <f>SUM('Revenues 9-14'!C253)</f>
        <v>0</v>
      </c>
      <c r="G158" s="905"/>
    </row>
    <row r="159" spans="1:7" s="867" customFormat="1" x14ac:dyDescent="0.2">
      <c r="A159" s="938" t="s">
        <v>500</v>
      </c>
      <c r="B159" s="939" t="s">
        <v>2043</v>
      </c>
      <c r="C159" s="940" t="s">
        <v>1466</v>
      </c>
      <c r="D159" s="941" t="s">
        <v>1467</v>
      </c>
      <c r="E159" s="942"/>
      <c r="F159" s="1785">
        <f>SUM('Revenues 9-14'!C254:H254,'Revenues 9-14'!J254:K254)</f>
        <v>279115</v>
      </c>
      <c r="G159" s="905"/>
    </row>
    <row r="160" spans="1:7" x14ac:dyDescent="0.2">
      <c r="A160" s="927" t="s">
        <v>5</v>
      </c>
      <c r="B160" s="927" t="s">
        <v>2044</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5">
        <f>SUM('Revenues 9-14'!C256,'Revenues 9-14'!F256,'Revenues 9-14'!G256)</f>
        <v>120695</v>
      </c>
      <c r="G161" s="943"/>
    </row>
    <row r="162" spans="1:7" x14ac:dyDescent="0.2">
      <c r="A162" s="927" t="s">
        <v>668</v>
      </c>
      <c r="B162" s="927" t="s">
        <v>2046</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3">
        <f>SUM('Revenues 9-14'!C259,'Revenues 9-14'!D259,'Revenues 9-14'!F259,'Revenues 9-14'!G259)</f>
        <v>122654</v>
      </c>
      <c r="G164" s="930"/>
    </row>
    <row r="165" spans="1:7" x14ac:dyDescent="0.2">
      <c r="A165" s="927" t="s">
        <v>668</v>
      </c>
      <c r="B165" s="927" t="s">
        <v>2049</v>
      </c>
      <c r="C165" s="932">
        <f>'Revenues 9-14'!B260</f>
        <v>4960</v>
      </c>
      <c r="D165" s="929" t="str">
        <f>'Revenues 9-14'!A260</f>
        <v>Federal Charter Schools</v>
      </c>
      <c r="E165" s="906"/>
      <c r="F165" s="1785">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5">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5">
        <f>SUM('Revenues 9-14'!C263:D263,'Revenues 9-14'!F263:G263)</f>
        <v>143421</v>
      </c>
      <c r="G168" s="947">
        <v>6320</v>
      </c>
    </row>
    <row r="169" spans="1:7" x14ac:dyDescent="0.2">
      <c r="A169" s="927" t="s">
        <v>668</v>
      </c>
      <c r="B169" s="927" t="s">
        <v>2051</v>
      </c>
      <c r="C169" s="932">
        <f>'Revenues 9-14'!B264</f>
        <v>4992</v>
      </c>
      <c r="D169" s="933" t="str">
        <f>'Revenues 9-14'!A264</f>
        <v>Medicaid Matching Funds - Fee-for-Service Program</v>
      </c>
      <c r="E169" s="906"/>
      <c r="F169" s="1785">
        <f>SUM('Revenues 9-14'!C264:D264,'Revenues 9-14'!F264:G264)</f>
        <v>411126</v>
      </c>
      <c r="G169" s="947"/>
    </row>
    <row r="170" spans="1:7" x14ac:dyDescent="0.2">
      <c r="A170" s="948" t="s">
        <v>668</v>
      </c>
      <c r="B170" s="944" t="s">
        <v>2052</v>
      </c>
      <c r="C170" s="945">
        <f>'Revenues 9-14'!B265</f>
        <v>4999</v>
      </c>
      <c r="D170" s="946" t="str">
        <f>'Revenues 9-14'!A265</f>
        <v>Other Restricted Revenue from Federal Sources (Describe &amp; Itemize)</v>
      </c>
      <c r="E170" s="906"/>
      <c r="F170" s="1785">
        <f>SUM('Revenues 9-14'!C265:D265,'Revenues 9-14'!F265:G265)</f>
        <v>0</v>
      </c>
      <c r="G170" s="927"/>
    </row>
    <row r="171" spans="1:7" x14ac:dyDescent="0.2">
      <c r="A171" s="1914" t="s">
        <v>5</v>
      </c>
      <c r="B171" s="1915" t="s">
        <v>1917</v>
      </c>
      <c r="C171" s="1916">
        <v>3100</v>
      </c>
      <c r="D171" s="1917" t="s">
        <v>1919</v>
      </c>
      <c r="E171" s="906"/>
      <c r="F171" s="1902">
        <v>1483886</v>
      </c>
      <c r="G171" s="927"/>
    </row>
    <row r="172" spans="1:7" x14ac:dyDescent="0.2">
      <c r="A172" s="1914" t="s">
        <v>664</v>
      </c>
      <c r="B172" s="1915" t="s">
        <v>1917</v>
      </c>
      <c r="C172" s="1916">
        <v>3300</v>
      </c>
      <c r="D172" s="1917" t="s">
        <v>1920</v>
      </c>
      <c r="E172" s="906"/>
      <c r="F172" s="1902">
        <v>619051</v>
      </c>
      <c r="G172" s="927"/>
    </row>
    <row r="173" spans="1:7" ht="6" customHeight="1" x14ac:dyDescent="0.2">
      <c r="A173" s="927"/>
      <c r="B173" s="927"/>
      <c r="C173" s="949"/>
      <c r="D173" s="927"/>
      <c r="E173" s="906"/>
      <c r="F173" s="950"/>
      <c r="G173" s="947"/>
    </row>
    <row r="174" spans="1:7" x14ac:dyDescent="0.2">
      <c r="A174" s="1766"/>
      <c r="B174" s="1780"/>
      <c r="C174" s="1781"/>
      <c r="D174" s="1782" t="s">
        <v>2053</v>
      </c>
      <c r="E174" s="1783" t="s">
        <v>958</v>
      </c>
      <c r="F174" s="1784">
        <f>SUM(F84:F132,F157:F172)</f>
        <v>9021803</v>
      </c>
    </row>
    <row r="175" spans="1:7" ht="12" customHeight="1" x14ac:dyDescent="0.2">
      <c r="A175" s="1766"/>
      <c r="B175" s="1780"/>
      <c r="C175" s="1781"/>
      <c r="D175" s="1782" t="s">
        <v>2054</v>
      </c>
      <c r="E175" s="1783"/>
      <c r="F175" s="1785">
        <f>'PCTC-OEPP 27-28'!F77-F174</f>
        <v>26372302</v>
      </c>
    </row>
    <row r="176" spans="1:7" ht="12" customHeight="1" x14ac:dyDescent="0.2">
      <c r="A176" s="1766"/>
      <c r="B176" s="1780"/>
      <c r="C176" s="1781"/>
      <c r="D176" s="1782" t="s">
        <v>1814</v>
      </c>
      <c r="E176" s="1783"/>
      <c r="F176" s="1785">
        <f>'Cap Outlay Deprec 26'!I18</f>
        <v>1396622.4</v>
      </c>
    </row>
    <row r="177" spans="1:7" ht="12" customHeight="1" x14ac:dyDescent="0.2">
      <c r="A177" s="1766"/>
      <c r="B177" s="1780"/>
      <c r="C177" s="1781"/>
      <c r="D177" s="1782" t="s">
        <v>2055</v>
      </c>
      <c r="E177" s="1783"/>
      <c r="F177" s="1785">
        <f>F175+F176</f>
        <v>27768924.399999999</v>
      </c>
    </row>
    <row r="178" spans="1:7" ht="12" customHeight="1" x14ac:dyDescent="0.2">
      <c r="A178" s="1766"/>
      <c r="B178" s="1786"/>
      <c r="C178" s="1781"/>
      <c r="D178" s="1782" t="str">
        <f>D78</f>
        <v>9 Month ADA from District Average Daily Attendance/Prior General State Aid Inquiry 2018-2019</v>
      </c>
      <c r="E178" s="1783"/>
      <c r="F178" s="1787">
        <f>'PCTC-OEPP 27-28'!F78</f>
        <v>2634.1</v>
      </c>
      <c r="G178" s="930"/>
    </row>
    <row r="179" spans="1:7" ht="12" customHeight="1" thickBot="1" x14ac:dyDescent="0.25">
      <c r="A179" s="1766"/>
      <c r="B179" s="1786"/>
      <c r="C179" s="1781"/>
      <c r="D179" s="1782" t="s">
        <v>2056</v>
      </c>
      <c r="E179" s="1783" t="s">
        <v>1545</v>
      </c>
      <c r="F179" s="1788">
        <f>F177/F178</f>
        <v>10542.091947913897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8" customFormat="1" ht="12.2" customHeight="1" x14ac:dyDescent="0.2">
      <c r="A182" s="1918" t="s">
        <v>1991</v>
      </c>
      <c r="B182" s="1919"/>
      <c r="C182" s="1920"/>
      <c r="D182" s="1919"/>
      <c r="E182" s="1920"/>
      <c r="F182" s="1919"/>
      <c r="G182" s="1919"/>
    </row>
    <row r="183" spans="1:7" s="1918" customFormat="1" ht="12.2" customHeight="1" x14ac:dyDescent="0.2">
      <c r="A183" s="1921" t="s">
        <v>1993</v>
      </c>
      <c r="C183" s="1920"/>
      <c r="D183" s="1919"/>
      <c r="E183" s="1920"/>
      <c r="F183" s="1919"/>
      <c r="G183" s="1919"/>
    </row>
    <row r="184" spans="1:7" ht="12" customHeight="1" x14ac:dyDescent="0.2">
      <c r="C184" s="949"/>
      <c r="D184" s="930"/>
      <c r="E184" s="949"/>
      <c r="F184" s="930"/>
      <c r="G184" s="930"/>
    </row>
    <row r="185" spans="1:7" x14ac:dyDescent="0.2">
      <c r="A185" s="1922" t="s">
        <v>1922</v>
      </c>
      <c r="B185" s="1923"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5" zoomScaleNormal="100" workbookViewId="0">
      <selection activeCell="D17" sqref="D1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1829</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530" t="s">
        <v>1816</v>
      </c>
      <c r="B6" s="1531"/>
      <c r="C6" s="1531"/>
      <c r="D6" s="1531"/>
      <c r="E6" s="1531"/>
      <c r="F6" s="1531"/>
      <c r="G6" s="1532"/>
    </row>
    <row r="7" spans="1:7" ht="30.75" customHeight="1" x14ac:dyDescent="0.25">
      <c r="A7" s="2280" t="s">
        <v>1929</v>
      </c>
      <c r="B7" s="2281"/>
      <c r="C7" s="2281"/>
      <c r="D7" s="2281"/>
      <c r="E7" s="2281"/>
      <c r="F7" s="2281"/>
      <c r="G7" s="2282"/>
    </row>
    <row r="8" spans="1:7" ht="15.75" customHeight="1" x14ac:dyDescent="0.25">
      <c r="A8" s="2283" t="s">
        <v>1904</v>
      </c>
      <c r="B8" s="2284"/>
      <c r="C8" s="2284"/>
      <c r="D8" s="2284"/>
      <c r="E8" s="2284"/>
      <c r="F8" s="2284"/>
      <c r="G8" s="2285"/>
    </row>
    <row r="9" spans="1:7" ht="35.25" customHeight="1" x14ac:dyDescent="0.25">
      <c r="A9" s="2280" t="s">
        <v>1932</v>
      </c>
      <c r="B9" s="2281"/>
      <c r="C9" s="2281"/>
      <c r="D9" s="2281"/>
      <c r="E9" s="2281"/>
      <c r="F9" s="2281"/>
      <c r="G9" s="2282"/>
    </row>
    <row r="10" spans="1:7" ht="15" customHeight="1" x14ac:dyDescent="0.25">
      <c r="A10" s="1533" t="s">
        <v>1817</v>
      </c>
      <c r="B10" s="1534"/>
      <c r="C10" s="1534"/>
      <c r="D10" s="1534"/>
      <c r="E10" s="1534"/>
      <c r="F10" s="1534"/>
      <c r="G10" s="1535"/>
    </row>
    <row r="11" spans="1:7" ht="17.25" customHeight="1" x14ac:dyDescent="0.25">
      <c r="A11" s="2280" t="s">
        <v>1931</v>
      </c>
      <c r="B11" s="2281"/>
      <c r="C11" s="2281"/>
      <c r="D11" s="2281"/>
      <c r="E11" s="2281"/>
      <c r="F11" s="2281"/>
      <c r="G11" s="2282"/>
    </row>
    <row r="12" spans="1:7" ht="15" customHeight="1" x14ac:dyDescent="0.25">
      <c r="A12" s="1533" t="s">
        <v>1822</v>
      </c>
      <c r="B12" s="1534"/>
      <c r="C12" s="1534"/>
      <c r="D12" s="1534"/>
      <c r="E12" s="1534"/>
      <c r="F12" s="1534"/>
      <c r="G12" s="1535"/>
    </row>
    <row r="13" spans="1:7" ht="32.25" customHeight="1" x14ac:dyDescent="0.25">
      <c r="A13" s="2271" t="s">
        <v>1973</v>
      </c>
      <c r="B13" s="2272"/>
      <c r="C13" s="2272"/>
      <c r="D13" s="2272"/>
      <c r="E13" s="2272"/>
      <c r="F13" s="2272"/>
      <c r="G13" s="2273"/>
    </row>
    <row r="14" spans="1:7" x14ac:dyDescent="0.25">
      <c r="A14" s="1657" t="s">
        <v>1830</v>
      </c>
      <c r="B14" s="1658"/>
      <c r="C14" s="1658"/>
      <c r="D14" s="1658"/>
      <c r="E14" s="1658"/>
      <c r="F14" s="1658"/>
      <c r="G14" s="1659"/>
    </row>
    <row r="15" spans="1:7" ht="61.5" customHeight="1" x14ac:dyDescent="0.25">
      <c r="A15" s="1542" t="s">
        <v>1823</v>
      </c>
      <c r="B15" s="1542" t="s">
        <v>1824</v>
      </c>
      <c r="C15" s="1542" t="s">
        <v>1825</v>
      </c>
      <c r="D15" s="1543" t="s">
        <v>1826</v>
      </c>
      <c r="E15" s="1543" t="s">
        <v>1818</v>
      </c>
      <c r="F15" s="1543" t="s">
        <v>1827</v>
      </c>
      <c r="G15" s="1543" t="s">
        <v>1828</v>
      </c>
    </row>
    <row r="16" spans="1:7" x14ac:dyDescent="0.25">
      <c r="A16" s="1644" t="s">
        <v>1831</v>
      </c>
      <c r="B16" s="1645" t="s">
        <v>1821</v>
      </c>
      <c r="C16" s="1646" t="s">
        <v>1819</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42" t="s">
        <v>2150</v>
      </c>
      <c r="B17" s="1943" t="s">
        <v>1821</v>
      </c>
      <c r="C17" s="1941" t="s">
        <v>2149</v>
      </c>
      <c r="D17" s="1840">
        <v>303197</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278197</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303197</v>
      </c>
      <c r="E141" s="1537">
        <f t="shared" si="0"/>
        <v>25000</v>
      </c>
      <c r="F141" s="1929">
        <f>SUM(F17:F140)</f>
        <v>25000</v>
      </c>
      <c r="G141" s="1791">
        <f>SUM(G17:G140)</f>
        <v>278197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F23" sqref="F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3"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1059660</v>
      </c>
      <c r="F10" s="974"/>
      <c r="G10" s="975"/>
      <c r="H10" s="162"/>
      <c r="I10" s="162"/>
    </row>
    <row r="11" spans="1:9" s="668" customFormat="1" ht="22.5" customHeight="1" x14ac:dyDescent="0.2">
      <c r="A11" s="2291" t="s">
        <v>1974</v>
      </c>
      <c r="B11" s="2292"/>
      <c r="C11" s="2292"/>
      <c r="D11" s="2293"/>
      <c r="E11" s="977">
        <v>115463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4" t="s">
        <v>532</v>
      </c>
      <c r="E17" s="1635"/>
      <c r="F17" s="1634" t="s">
        <v>433</v>
      </c>
      <c r="G17" s="1636"/>
      <c r="H17" s="162"/>
      <c r="I17" s="162"/>
    </row>
    <row r="18" spans="1:9" s="259" customFormat="1" ht="11.25" x14ac:dyDescent="0.2">
      <c r="A18" s="988"/>
      <c r="C18" s="989" t="s">
        <v>434</v>
      </c>
      <c r="D18" s="1637" t="s">
        <v>435</v>
      </c>
      <c r="E18" s="1637" t="s">
        <v>53</v>
      </c>
      <c r="F18" s="1637" t="s">
        <v>435</v>
      </c>
      <c r="G18" s="1637" t="s">
        <v>53</v>
      </c>
      <c r="H18" s="178"/>
      <c r="I18" s="178"/>
    </row>
    <row r="19" spans="1:9" s="668" customFormat="1" ht="12" customHeight="1" x14ac:dyDescent="0.2">
      <c r="A19" s="990" t="s">
        <v>456</v>
      </c>
      <c r="B19" s="991"/>
      <c r="C19" s="992" t="s">
        <v>570</v>
      </c>
      <c r="D19" s="1795"/>
      <c r="E19" s="1796">
        <f>'Expenditures 15-22'!K33-SUM('Expenditures 15-22'!G33,'Expenditures 15-22'!I33)+'Expenditures 15-22'!D229</f>
        <v>21824217</v>
      </c>
      <c r="F19" s="1795"/>
      <c r="G19" s="1797">
        <f>'Expenditures 15-22'!K33-SUM('Expenditures 15-22'!G33,'Expenditures 15-22'!I33)+'Expenditures 15-22'!D229</f>
        <v>21824217</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401</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2076138</v>
      </c>
      <c r="F21" s="1798"/>
      <c r="G21" s="1801">
        <f>'Expenditures 15-22'!K42-SUM('Expenditures 15-22'!G42,'Expenditures 15-22'!I42)+'Expenditures 15-22'!K120-SUM('Expenditures 15-22'!G120,'Expenditures 15-22'!I120)+'Expenditures 15-22'!K180-SUM('Expenditures 15-22'!G180,'Expenditures 15-22'!I180)+'Expenditures 15-22'!D238</f>
        <v>2076138</v>
      </c>
      <c r="H21" s="987"/>
      <c r="I21" s="162"/>
    </row>
    <row r="22" spans="1:9" s="668" customFormat="1" ht="12" customHeight="1" x14ac:dyDescent="0.2">
      <c r="A22" s="994" t="s">
        <v>564</v>
      </c>
      <c r="B22" s="995"/>
      <c r="C22" s="993">
        <v>2200</v>
      </c>
      <c r="D22" s="1798"/>
      <c r="E22" s="1800">
        <f>'Expenditures 15-22'!K47-SUM('Expenditures 15-22'!G47,'Expenditures 15-22'!I47)+'Expenditures 15-22'!D243</f>
        <v>1658900</v>
      </c>
      <c r="F22" s="1798"/>
      <c r="G22" s="1801">
        <f>'Expenditures 15-22'!K47-SUM('Expenditures 15-22'!G47,'Expenditures 15-22'!I47)+'Expenditures 15-22'!D243</f>
        <v>1658900</v>
      </c>
      <c r="H22" s="987"/>
      <c r="I22" s="162"/>
    </row>
    <row r="23" spans="1:9" s="668" customFormat="1" ht="12" customHeight="1" x14ac:dyDescent="0.2">
      <c r="A23" s="994" t="s">
        <v>565</v>
      </c>
      <c r="B23" s="995"/>
      <c r="C23" s="993">
        <v>2300</v>
      </c>
      <c r="D23" s="1798"/>
      <c r="E23" s="1800">
        <f>'Expenditures 15-22'!K53-SUM('Expenditures 15-22'!G53,'Expenditures 15-22'!I53)+'Expenditures 15-22'!D257+'Expenditures 15-22'!K330-SUM('Expenditures 15-22'!G330,'Expenditures 15-22'!I330)</f>
        <v>1053107</v>
      </c>
      <c r="F23" s="1798"/>
      <c r="G23" s="1800">
        <f>'Expenditures 15-22'!K53-SUM('Expenditures 15-22'!G53,'Expenditures 15-22'!I53)+'Expenditures 15-22'!D257+'Expenditures 15-22'!K330-SUM('Expenditures 15-22'!G330,'Expenditures 15-22'!I330)</f>
        <v>1053107</v>
      </c>
      <c r="H23" s="987"/>
      <c r="I23" s="162"/>
    </row>
    <row r="24" spans="1:9" s="668" customFormat="1" ht="12" customHeight="1" x14ac:dyDescent="0.2">
      <c r="A24" s="994" t="s">
        <v>566</v>
      </c>
      <c r="B24" s="995"/>
      <c r="C24" s="993">
        <v>2400</v>
      </c>
      <c r="D24" s="1798"/>
      <c r="E24" s="1800">
        <f>'Expenditures 15-22'!K57-SUM('Expenditures 15-22'!G57,'Expenditures 15-22'!I57)+'Expenditures 15-22'!D261</f>
        <v>1685957</v>
      </c>
      <c r="F24" s="1798"/>
      <c r="G24" s="1801">
        <f>'Expenditures 15-22'!K57-SUM('Expenditures 15-22'!G57,'Expenditures 15-22'!I57)+'Expenditures 15-22'!D261</f>
        <v>1685957</v>
      </c>
      <c r="H24" s="987"/>
      <c r="I24" s="162"/>
    </row>
    <row r="25" spans="1:9" s="668" customFormat="1" ht="12" customHeight="1" x14ac:dyDescent="0.2">
      <c r="A25" s="990" t="s">
        <v>567</v>
      </c>
      <c r="B25" s="996"/>
      <c r="C25" s="993"/>
      <c r="D25" s="1798"/>
      <c r="E25" s="1800"/>
      <c r="F25" s="1798"/>
      <c r="G25" s="1801"/>
      <c r="H25" s="987"/>
      <c r="I25" s="162"/>
    </row>
    <row r="26" spans="1:9" s="668" customFormat="1" ht="12" customHeight="1" x14ac:dyDescent="0.2">
      <c r="A26" s="994" t="s">
        <v>515</v>
      </c>
      <c r="B26" s="997"/>
      <c r="C26" s="993">
        <v>2510</v>
      </c>
      <c r="D26" s="1800">
        <f>'Expenditures 15-22'!K59-SUM('Expenditures 15-22'!G59,'Expenditures 15-22'!I59)+'Expenditures 15-22'!D263-E7</f>
        <v>90076</v>
      </c>
      <c r="E26" s="1800">
        <f>'Expenditures 15-22'!K122-SUM('Expenditures 15-22'!G122,'Expenditures 15-22'!I122)+E7</f>
        <v>0</v>
      </c>
      <c r="F26" s="1800">
        <f>'Expenditures 15-22'!K59-SUM('Expenditures 15-22'!G59,'Expenditures 15-22'!I59)+'Expenditures 15-22'!D263-E7</f>
        <v>90076</v>
      </c>
      <c r="G26" s="1801">
        <f>'Expenditures 15-22'!K122-SUM('Expenditures 15-22'!G122,'Expenditures 15-22'!I122)+E7</f>
        <v>0</v>
      </c>
      <c r="H26" s="987"/>
      <c r="I26" s="162"/>
    </row>
    <row r="27" spans="1:9" s="668" customFormat="1" ht="12" customHeight="1" x14ac:dyDescent="0.2">
      <c r="A27" s="994" t="s">
        <v>463</v>
      </c>
      <c r="B27" s="997"/>
      <c r="C27" s="993">
        <v>2520</v>
      </c>
      <c r="D27" s="1800">
        <f>'Expenditures 15-22'!K60-SUM('Expenditures 15-22'!G60,'Expenditures 15-22'!I60)+'Expenditures 15-22'!D264-E8</f>
        <v>895499</v>
      </c>
      <c r="E27" s="1800">
        <f>E8</f>
        <v>0</v>
      </c>
      <c r="F27" s="1800">
        <f>'Expenditures 15-22'!K60-SUM('Expenditures 15-22'!G60,'Expenditures 15-22'!I60)+'Expenditures 15-22'!D264-E8</f>
        <v>895499</v>
      </c>
      <c r="G27" s="1801">
        <f>E8</f>
        <v>0</v>
      </c>
      <c r="H27" s="987"/>
      <c r="I27" s="162"/>
    </row>
    <row r="28" spans="1:9" s="668" customFormat="1" ht="12" customHeight="1" x14ac:dyDescent="0.2">
      <c r="A28" s="994" t="s">
        <v>516</v>
      </c>
      <c r="B28" s="997"/>
      <c r="C28" s="993">
        <v>2540</v>
      </c>
      <c r="D28" s="1802"/>
      <c r="E28" s="1800">
        <f>'Expenditures 15-22'!K61-SUM('Expenditures 15-22'!G61,'Expenditures 15-22'!I61)+'Expenditures 15-22'!K124-SUM('Expenditures 15-22'!G124,'Expenditures 15-22'!I124)+'Expenditures 15-22'!D266</f>
        <v>3476072</v>
      </c>
      <c r="F28" s="1802">
        <f>'Expenditures 15-22'!K61-SUM('Expenditures 15-22'!G61,'Expenditures 15-22'!I61)+'Expenditures 15-22'!K124-SUM('Expenditures 15-22'!G124,'Expenditures 15-22'!I124)+'Expenditures 15-22'!D266-E9</f>
        <v>3476072</v>
      </c>
      <c r="G28" s="1801">
        <f>E9</f>
        <v>0</v>
      </c>
      <c r="H28" s="987"/>
      <c r="I28" s="162"/>
    </row>
    <row r="29" spans="1:9" ht="12" customHeight="1" x14ac:dyDescent="0.2">
      <c r="A29" s="994" t="s">
        <v>517</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1408904</v>
      </c>
      <c r="F29" s="1798"/>
      <c r="G29" s="1801">
        <f>'Expenditures 15-22'!K62-SUM('Expenditures 15-22'!G62,'Expenditures 15-22'!I62)+'Expenditures 15-22'!K125-SUM('Expenditures 15-22'!G125,'Expenditures 15-22'!I125)+'Expenditures 15-22'!K182-SUM('Expenditures 15-22'!G182,'Expenditures 15-22'!I182)+'Expenditures 15-22'!D267</f>
        <v>1408904</v>
      </c>
      <c r="H29" s="985"/>
    </row>
    <row r="30" spans="1:9" ht="12" customHeight="1" x14ac:dyDescent="0.2">
      <c r="A30" s="994" t="s">
        <v>100</v>
      </c>
      <c r="B30" s="997"/>
      <c r="C30" s="993">
        <v>2560</v>
      </c>
      <c r="D30" s="1798"/>
      <c r="E30" s="1800">
        <f>'Expenditures 15-22'!K63-SUM('Expenditures 15-22'!G63,'Expenditures 15-22'!I63)+'Expenditures 15-22'!D268-E10</f>
        <v>621992</v>
      </c>
      <c r="F30" s="1798"/>
      <c r="G30" s="1800">
        <f>'Expenditures 15-22'!K63-SUM('Expenditures 15-22'!G63,'Expenditures 15-22'!I63)+'Expenditures 15-22'!D268-E10</f>
        <v>621992</v>
      </c>
    </row>
    <row r="31" spans="1:9" ht="12" customHeight="1" x14ac:dyDescent="0.2">
      <c r="A31" s="994" t="s">
        <v>101</v>
      </c>
      <c r="B31" s="997"/>
      <c r="C31" s="99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90" t="s">
        <v>518</v>
      </c>
      <c r="B32" s="996"/>
      <c r="C32" s="993"/>
      <c r="D32" s="1798"/>
      <c r="E32" s="1798"/>
      <c r="F32" s="1798"/>
      <c r="G32" s="1798"/>
    </row>
    <row r="33" spans="1:7" ht="12" customHeight="1" x14ac:dyDescent="0.2">
      <c r="A33" s="994" t="s">
        <v>519</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520</v>
      </c>
      <c r="B34" s="997"/>
      <c r="C34" s="993">
        <v>2620</v>
      </c>
      <c r="D34" s="1798"/>
      <c r="E34" s="1800">
        <f>'Expenditures 15-22'!K68-SUM('Expenditures 15-22'!G68,'Expenditures 15-22'!I68)+'Expenditures 15-22'!D273</f>
        <v>290461</v>
      </c>
      <c r="F34" s="1798"/>
      <c r="G34" s="1800">
        <f>'Expenditures 15-22'!K68-SUM('Expenditures 15-22'!G68,'Expenditures 15-22'!I68)+'Expenditures 15-22'!D273</f>
        <v>290461</v>
      </c>
    </row>
    <row r="35" spans="1:7" ht="12" customHeight="1" x14ac:dyDescent="0.2">
      <c r="A35" s="994" t="s">
        <v>1061</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403</v>
      </c>
      <c r="B36" s="997"/>
      <c r="C36" s="993">
        <v>2640</v>
      </c>
      <c r="D36" s="1800">
        <f>'Expenditures 15-22'!K70-SUM('Expenditures 15-22'!G70,'Expenditures 15-22'!I70)+'Expenditures 15-22'!D275-E13</f>
        <v>13957</v>
      </c>
      <c r="E36" s="1800">
        <f>E13</f>
        <v>0</v>
      </c>
      <c r="F36" s="1800">
        <f>'Expenditures 15-22'!K70-SUM('Expenditures 15-22'!G70,'Expenditures 15-22'!I70)+'Expenditures 15-22'!D275-E13</f>
        <v>13957</v>
      </c>
      <c r="G36" s="1800">
        <f>E13</f>
        <v>0</v>
      </c>
    </row>
    <row r="37" spans="1:7" ht="12" customHeight="1" x14ac:dyDescent="0.2">
      <c r="A37" s="994" t="s">
        <v>404</v>
      </c>
      <c r="B37" s="997"/>
      <c r="C37" s="993">
        <v>2660</v>
      </c>
      <c r="D37" s="1800">
        <f>'Expenditures 15-22'!K71-SUM('Expenditures 15-22'!G71,'Expenditures 15-22'!I71)+'Expenditures 15-22'!D276-E14</f>
        <v>885961</v>
      </c>
      <c r="E37" s="1800">
        <f>E14</f>
        <v>0</v>
      </c>
      <c r="F37" s="1800">
        <f>'Expenditures 15-22'!K71-SUM('Expenditures 15-22'!G71,'Expenditures 15-22'!I71)+'Expenditures 15-22'!D276-E14</f>
        <v>885961</v>
      </c>
      <c r="G37" s="1800">
        <f>E14</f>
        <v>0</v>
      </c>
    </row>
    <row r="38" spans="1:7" ht="12" customHeight="1" x14ac:dyDescent="0.2">
      <c r="A38" s="990" t="s">
        <v>521</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274966</v>
      </c>
      <c r="F39" s="1798"/>
      <c r="G39" s="1800">
        <f>'Expenditures 15-22'!K75-SUM('Expenditures 15-22'!G75,'Expenditures 15-22'!I75)+'Expenditures 15-22'!K130-SUM('Expenditures 15-22'!G130,'Expenditures 15-22'!I130)+'Expenditures 15-22'!K185-SUM('Expenditures 15-22'!G185,'Expenditures 15-22'!I185)+'Expenditures 15-22'!D280</f>
        <v>274966</v>
      </c>
    </row>
    <row r="40" spans="1:7" ht="12" customHeight="1" x14ac:dyDescent="0.2">
      <c r="A40" s="990" t="s">
        <v>1820</v>
      </c>
      <c r="B40" s="991"/>
      <c r="C40" s="993"/>
      <c r="D40" s="1798"/>
      <c r="E40" s="1802">
        <f>-'Contracts Paid in CY 29'!G141</f>
        <v>-278197</v>
      </c>
      <c r="F40" s="1798"/>
      <c r="G40" s="1802">
        <f>-'Contracts Paid in CY 29'!G141</f>
        <v>-278197</v>
      </c>
    </row>
    <row r="41" spans="1:7" ht="12" customHeight="1" x14ac:dyDescent="0.2">
      <c r="A41" s="998" t="s">
        <v>156</v>
      </c>
      <c r="B41" s="999"/>
      <c r="C41" s="1000"/>
      <c r="D41" s="1802">
        <f>SUM(D19:D39)</f>
        <v>1885493</v>
      </c>
      <c r="E41" s="1802">
        <f>SUM(E19:E40)</f>
        <v>34092517</v>
      </c>
      <c r="F41" s="1802">
        <f>SUM(F19:F39)</f>
        <v>5361565</v>
      </c>
      <c r="G41" s="1802">
        <f>SUM(G19:G40)</f>
        <v>30616445</v>
      </c>
    </row>
    <row r="42" spans="1:7" x14ac:dyDescent="0.2">
      <c r="A42" s="987"/>
      <c r="B42" s="162"/>
      <c r="C42" s="1001"/>
      <c r="D42" s="2289" t="s">
        <v>522</v>
      </c>
      <c r="E42" s="2290"/>
      <c r="F42" s="1002" t="s">
        <v>523</v>
      </c>
      <c r="G42" s="1003"/>
    </row>
    <row r="43" spans="1:7" ht="12" customHeight="1" x14ac:dyDescent="0.2">
      <c r="A43" s="987"/>
      <c r="B43" s="162"/>
      <c r="C43" s="1001"/>
      <c r="D43" s="1803" t="s">
        <v>473</v>
      </c>
      <c r="E43" s="1804">
        <f>D41</f>
        <v>1885493</v>
      </c>
      <c r="F43" s="1803" t="s">
        <v>473</v>
      </c>
      <c r="G43" s="1804">
        <f>F41</f>
        <v>5361565</v>
      </c>
    </row>
    <row r="44" spans="1:7" ht="12" customHeight="1" x14ac:dyDescent="0.2">
      <c r="A44" s="987"/>
      <c r="B44" s="162"/>
      <c r="C44" s="1001"/>
      <c r="D44" s="1803" t="s">
        <v>474</v>
      </c>
      <c r="E44" s="1804">
        <f>E41</f>
        <v>34092517</v>
      </c>
      <c r="F44" s="1803" t="s">
        <v>474</v>
      </c>
      <c r="G44" s="1804">
        <f>G41</f>
        <v>30616445</v>
      </c>
    </row>
    <row r="45" spans="1:7" ht="12" customHeight="1" x14ac:dyDescent="0.2">
      <c r="A45" s="987"/>
      <c r="B45" s="162"/>
      <c r="C45" s="162"/>
      <c r="D45" s="1805" t="s">
        <v>1006</v>
      </c>
      <c r="E45" s="1806">
        <f>(E43/E44)</f>
        <v>5.5305186179125464E-2</v>
      </c>
      <c r="F45" s="1805" t="s">
        <v>1006</v>
      </c>
      <c r="G45" s="1806">
        <f>(G43/G44)</f>
        <v>0.17512042955999627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42" sqref="A42:F42"/>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297" t="s">
        <v>1379</v>
      </c>
      <c r="B1" s="2297"/>
      <c r="C1" s="2297"/>
      <c r="D1" s="2297"/>
      <c r="E1" s="2297"/>
      <c r="F1" s="2297"/>
    </row>
    <row r="2" spans="1:10" x14ac:dyDescent="0.2">
      <c r="A2" s="1883" t="s">
        <v>1909</v>
      </c>
      <c r="B2" s="1844"/>
      <c r="C2" s="1883"/>
      <c r="D2" s="1844"/>
      <c r="E2" s="1844"/>
      <c r="F2" s="1845"/>
    </row>
    <row r="3" spans="1:10" x14ac:dyDescent="0.2">
      <c r="A3" s="1883" t="s">
        <v>1975</v>
      </c>
      <c r="B3" s="1844"/>
      <c r="C3" s="1883"/>
      <c r="D3" s="1844"/>
      <c r="E3" s="1844"/>
      <c r="F3" s="1845"/>
    </row>
    <row r="4" spans="1:10" ht="3.75" customHeight="1" x14ac:dyDescent="0.2">
      <c r="A4" s="1844"/>
      <c r="B4" s="1844"/>
      <c r="C4" s="1844"/>
      <c r="D4" s="1844"/>
      <c r="E4" s="1844"/>
      <c r="F4" s="1845"/>
    </row>
    <row r="5" spans="1:10" ht="15" x14ac:dyDescent="0.25">
      <c r="A5" s="2298" t="s">
        <v>1546</v>
      </c>
      <c r="B5" s="2299"/>
      <c r="C5" s="2300"/>
      <c r="D5" s="2300"/>
      <c r="E5" s="2300"/>
      <c r="F5" s="2300"/>
    </row>
    <row r="6" spans="1:10" ht="12" customHeight="1" x14ac:dyDescent="0.25">
      <c r="A6" s="1846"/>
      <c r="B6" s="1847"/>
      <c r="C6" s="2301" t="str">
        <f>COVER!A17</f>
        <v>BERWYN NORTH SD 98</v>
      </c>
      <c r="D6" s="2301"/>
      <c r="E6" s="2301"/>
      <c r="F6" s="1848"/>
    </row>
    <row r="7" spans="1:10" ht="11.25" customHeight="1" thickBot="1" x14ac:dyDescent="0.3">
      <c r="A7" s="1846"/>
      <c r="B7" s="1847"/>
      <c r="C7" s="2302" t="str">
        <f>COVER!A13</f>
        <v>06-016-0980-02</v>
      </c>
      <c r="D7" s="2302"/>
      <c r="E7" s="2302"/>
      <c r="F7" s="1848"/>
    </row>
    <row r="8" spans="1:10" ht="25.5" customHeight="1" thickBot="1" x14ac:dyDescent="0.25">
      <c r="A8" s="1889" t="s">
        <v>1905</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938" t="s">
        <v>2115</v>
      </c>
      <c r="D14" s="1938" t="s">
        <v>2115</v>
      </c>
      <c r="E14" s="1940" t="s">
        <v>2143</v>
      </c>
      <c r="F14" s="1939" t="s">
        <v>2144</v>
      </c>
      <c r="H14" s="1874">
        <f t="shared" si="0"/>
        <v>5</v>
      </c>
      <c r="I14" s="1874">
        <f t="shared" si="1"/>
        <v>5</v>
      </c>
      <c r="J14" s="1874">
        <f t="shared" si="2"/>
        <v>0</v>
      </c>
    </row>
    <row r="15" spans="1:10" ht="12" customHeight="1" x14ac:dyDescent="0.2">
      <c r="A15" s="1859" t="s">
        <v>1387</v>
      </c>
      <c r="B15" s="1860"/>
      <c r="C15" s="1938" t="s">
        <v>2115</v>
      </c>
      <c r="D15" s="1938" t="s">
        <v>2115</v>
      </c>
      <c r="E15" s="1940" t="s">
        <v>2143</v>
      </c>
      <c r="F15" s="1939" t="s">
        <v>2145</v>
      </c>
      <c r="H15" s="1874">
        <f t="shared" si="0"/>
        <v>5</v>
      </c>
      <c r="I15" s="1874">
        <f t="shared" si="1"/>
        <v>5</v>
      </c>
      <c r="J15" s="1874">
        <f t="shared" si="2"/>
        <v>0</v>
      </c>
    </row>
    <row r="16" spans="1:10" ht="12" customHeight="1" x14ac:dyDescent="0.2">
      <c r="A16" s="1859" t="s">
        <v>1388</v>
      </c>
      <c r="B16" s="1860"/>
      <c r="C16" s="1938"/>
      <c r="D16" s="1938"/>
      <c r="E16" s="1940"/>
      <c r="F16" s="1939"/>
      <c r="H16" s="1874">
        <f t="shared" si="0"/>
        <v>0</v>
      </c>
      <c r="I16" s="1874">
        <f t="shared" si="1"/>
        <v>0</v>
      </c>
      <c r="J16" s="1874">
        <f t="shared" si="2"/>
        <v>0</v>
      </c>
    </row>
    <row r="17" spans="1:12" ht="12" customHeight="1" x14ac:dyDescent="0.2">
      <c r="A17" s="1859" t="s">
        <v>1389</v>
      </c>
      <c r="B17" s="1860"/>
      <c r="C17" s="1938"/>
      <c r="D17" s="1938"/>
      <c r="E17" s="1940"/>
      <c r="F17" s="1939"/>
      <c r="H17" s="1874">
        <f t="shared" si="0"/>
        <v>0</v>
      </c>
      <c r="I17" s="1874">
        <f t="shared" si="1"/>
        <v>0</v>
      </c>
      <c r="J17" s="1874">
        <f t="shared" si="2"/>
        <v>0</v>
      </c>
    </row>
    <row r="18" spans="1:12" ht="12" customHeight="1" x14ac:dyDescent="0.2">
      <c r="A18" s="1859" t="s">
        <v>1390</v>
      </c>
      <c r="B18" s="1860"/>
      <c r="C18" s="1938"/>
      <c r="D18" s="1938"/>
      <c r="E18" s="1940"/>
      <c r="F18" s="1939"/>
      <c r="H18" s="1874">
        <f t="shared" si="0"/>
        <v>0</v>
      </c>
      <c r="I18" s="1874">
        <f t="shared" si="1"/>
        <v>0</v>
      </c>
      <c r="J18" s="1874">
        <f t="shared" si="2"/>
        <v>0</v>
      </c>
    </row>
    <row r="19" spans="1:12" ht="12" customHeight="1" x14ac:dyDescent="0.2">
      <c r="A19" s="1859" t="s">
        <v>1527</v>
      </c>
      <c r="B19" s="1860"/>
      <c r="C19" s="1938" t="s">
        <v>2115</v>
      </c>
      <c r="D19" s="1938" t="s">
        <v>2115</v>
      </c>
      <c r="E19" s="1940" t="s">
        <v>2143</v>
      </c>
      <c r="F19" s="1939" t="s">
        <v>2146</v>
      </c>
      <c r="H19" s="1874">
        <f t="shared" si="0"/>
        <v>5</v>
      </c>
      <c r="I19" s="1874">
        <f t="shared" si="1"/>
        <v>5</v>
      </c>
      <c r="J19" s="1874">
        <f t="shared" si="2"/>
        <v>0</v>
      </c>
    </row>
    <row r="20" spans="1:12" ht="12" customHeight="1" x14ac:dyDescent="0.2">
      <c r="A20" s="1859" t="s">
        <v>1528</v>
      </c>
      <c r="B20" s="1860"/>
      <c r="C20" s="1938"/>
      <c r="D20" s="1938"/>
      <c r="E20" s="1940"/>
      <c r="F20" s="1939"/>
      <c r="H20" s="1874">
        <f t="shared" si="0"/>
        <v>0</v>
      </c>
      <c r="I20" s="1874">
        <f t="shared" si="1"/>
        <v>0</v>
      </c>
      <c r="J20" s="1874">
        <f t="shared" si="2"/>
        <v>0</v>
      </c>
    </row>
    <row r="21" spans="1:12" ht="12" customHeight="1" x14ac:dyDescent="0.2">
      <c r="A21" s="1859" t="s">
        <v>1529</v>
      </c>
      <c r="B21" s="1860"/>
      <c r="C21" s="1938"/>
      <c r="D21" s="1938"/>
      <c r="E21" s="1940"/>
      <c r="F21" s="1939"/>
      <c r="H21" s="1874">
        <f t="shared" si="0"/>
        <v>0</v>
      </c>
      <c r="I21" s="1874">
        <f t="shared" si="1"/>
        <v>0</v>
      </c>
      <c r="J21" s="1874">
        <f t="shared" si="2"/>
        <v>0</v>
      </c>
    </row>
    <row r="22" spans="1:12" ht="12" customHeight="1" x14ac:dyDescent="0.2">
      <c r="A22" s="1859" t="s">
        <v>1530</v>
      </c>
      <c r="B22" s="1860"/>
      <c r="C22" s="1938"/>
      <c r="D22" s="1938"/>
      <c r="E22" s="1940"/>
      <c r="F22" s="1939"/>
      <c r="H22" s="1874">
        <f t="shared" si="0"/>
        <v>0</v>
      </c>
      <c r="I22" s="1874">
        <f t="shared" si="1"/>
        <v>0</v>
      </c>
      <c r="J22" s="1874">
        <f t="shared" si="2"/>
        <v>0</v>
      </c>
    </row>
    <row r="23" spans="1:12" ht="12" customHeight="1" x14ac:dyDescent="0.2">
      <c r="A23" s="1859" t="s">
        <v>1531</v>
      </c>
      <c r="B23" s="1860"/>
      <c r="C23" s="1938"/>
      <c r="D23" s="1938"/>
      <c r="E23" s="1940"/>
      <c r="F23" s="1939"/>
      <c r="H23" s="1874">
        <f t="shared" si="0"/>
        <v>0</v>
      </c>
      <c r="I23" s="1874">
        <f t="shared" si="1"/>
        <v>0</v>
      </c>
      <c r="J23" s="1874">
        <f t="shared" si="2"/>
        <v>0</v>
      </c>
    </row>
    <row r="24" spans="1:12" ht="12" customHeight="1" x14ac:dyDescent="0.2">
      <c r="A24" s="1859" t="s">
        <v>1532</v>
      </c>
      <c r="B24" s="1860"/>
      <c r="C24" s="1938"/>
      <c r="D24" s="1938"/>
      <c r="E24" s="1940"/>
      <c r="F24" s="1939"/>
      <c r="H24" s="1874">
        <f t="shared" si="0"/>
        <v>0</v>
      </c>
      <c r="I24" s="1874">
        <f t="shared" si="1"/>
        <v>0</v>
      </c>
      <c r="J24" s="1874">
        <f t="shared" si="2"/>
        <v>0</v>
      </c>
    </row>
    <row r="25" spans="1:12" ht="12" customHeight="1" x14ac:dyDescent="0.2">
      <c r="A25" s="1859" t="s">
        <v>1533</v>
      </c>
      <c r="B25" s="1860"/>
      <c r="C25" s="1938"/>
      <c r="D25" s="1938"/>
      <c r="E25" s="1940"/>
      <c r="F25" s="1939"/>
      <c r="H25" s="1874">
        <f t="shared" si="0"/>
        <v>0</v>
      </c>
      <c r="I25" s="1874">
        <f t="shared" si="1"/>
        <v>0</v>
      </c>
      <c r="J25" s="1874">
        <f t="shared" si="2"/>
        <v>0</v>
      </c>
    </row>
    <row r="26" spans="1:12" ht="12" customHeight="1" x14ac:dyDescent="0.2">
      <c r="A26" s="1859" t="s">
        <v>1534</v>
      </c>
      <c r="B26" s="1860"/>
      <c r="C26" s="1938"/>
      <c r="D26" s="1938"/>
      <c r="E26" s="1940"/>
      <c r="F26" s="1939"/>
      <c r="H26" s="1874">
        <f t="shared" si="0"/>
        <v>0</v>
      </c>
      <c r="I26" s="1874">
        <f t="shared" si="1"/>
        <v>0</v>
      </c>
      <c r="J26" s="1874">
        <f t="shared" si="2"/>
        <v>0</v>
      </c>
    </row>
    <row r="27" spans="1:12" x14ac:dyDescent="0.2">
      <c r="A27" s="1859" t="s">
        <v>1535</v>
      </c>
      <c r="B27" s="1860"/>
      <c r="C27" s="1938"/>
      <c r="D27" s="1938"/>
      <c r="E27" s="1940"/>
      <c r="F27" s="1939"/>
      <c r="H27" s="1874">
        <f t="shared" si="0"/>
        <v>0</v>
      </c>
      <c r="I27" s="1874">
        <f t="shared" si="1"/>
        <v>0</v>
      </c>
      <c r="J27" s="1874">
        <f t="shared" si="2"/>
        <v>0</v>
      </c>
    </row>
    <row r="28" spans="1:12" ht="12" customHeight="1" x14ac:dyDescent="0.2">
      <c r="A28" s="1859" t="s">
        <v>1536</v>
      </c>
      <c r="B28" s="1860"/>
      <c r="C28" s="1938"/>
      <c r="D28" s="1938"/>
      <c r="E28" s="1940"/>
      <c r="F28" s="1939"/>
      <c r="H28" s="1874">
        <f t="shared" si="0"/>
        <v>0</v>
      </c>
      <c r="I28" s="1874">
        <f t="shared" si="1"/>
        <v>0</v>
      </c>
      <c r="J28" s="1874">
        <f t="shared" si="2"/>
        <v>0</v>
      </c>
    </row>
    <row r="29" spans="1:12" ht="12" customHeight="1" x14ac:dyDescent="0.2">
      <c r="A29" s="1859" t="s">
        <v>1537</v>
      </c>
      <c r="B29" s="1860"/>
      <c r="C29" s="1938"/>
      <c r="D29" s="1938"/>
      <c r="E29" s="1940"/>
      <c r="F29" s="1939"/>
      <c r="H29" s="1874">
        <f t="shared" si="0"/>
        <v>0</v>
      </c>
      <c r="I29" s="1874">
        <f t="shared" si="1"/>
        <v>0</v>
      </c>
      <c r="J29" s="1874">
        <f t="shared" si="2"/>
        <v>0</v>
      </c>
    </row>
    <row r="30" spans="1:12" ht="12" customHeight="1" x14ac:dyDescent="0.2">
      <c r="A30" s="1859" t="s">
        <v>1538</v>
      </c>
      <c r="B30" s="1860"/>
      <c r="C30" s="1938"/>
      <c r="D30" s="1938"/>
      <c r="E30" s="1940"/>
      <c r="F30" s="1939"/>
      <c r="H30" s="1874">
        <f t="shared" si="0"/>
        <v>0</v>
      </c>
      <c r="I30" s="1874">
        <f t="shared" si="1"/>
        <v>0</v>
      </c>
      <c r="J30" s="1874">
        <f t="shared" si="2"/>
        <v>0</v>
      </c>
    </row>
    <row r="31" spans="1:12" ht="12" customHeight="1" x14ac:dyDescent="0.2">
      <c r="A31" s="1859" t="s">
        <v>1539</v>
      </c>
      <c r="B31" s="1860"/>
      <c r="C31" s="1938"/>
      <c r="D31" s="1938"/>
      <c r="E31" s="1940"/>
      <c r="F31" s="1939"/>
      <c r="H31" s="1874">
        <f t="shared" si="0"/>
        <v>0</v>
      </c>
      <c r="I31" s="1874">
        <f t="shared" si="1"/>
        <v>0</v>
      </c>
      <c r="J31" s="1874">
        <f t="shared" si="2"/>
        <v>0</v>
      </c>
      <c r="L31" s="1865"/>
    </row>
    <row r="32" spans="1:12" ht="12" customHeight="1" x14ac:dyDescent="0.2">
      <c r="A32" s="1859" t="s">
        <v>1540</v>
      </c>
      <c r="B32" s="1860"/>
      <c r="C32" s="1938" t="s">
        <v>2115</v>
      </c>
      <c r="D32" s="1938" t="s">
        <v>2115</v>
      </c>
      <c r="E32" s="1940"/>
      <c r="F32" s="1939" t="s">
        <v>2147</v>
      </c>
      <c r="H32" s="1874">
        <f t="shared" si="0"/>
        <v>5</v>
      </c>
      <c r="I32" s="1874">
        <f t="shared" si="1"/>
        <v>5</v>
      </c>
      <c r="J32" s="1874">
        <f t="shared" si="2"/>
        <v>0</v>
      </c>
    </row>
    <row r="33" spans="1:11" ht="12" customHeight="1" x14ac:dyDescent="0.2">
      <c r="A33" s="1859" t="s">
        <v>1541</v>
      </c>
      <c r="B33" s="1860"/>
      <c r="C33" s="1938" t="s">
        <v>2115</v>
      </c>
      <c r="D33" s="1938" t="s">
        <v>2115</v>
      </c>
      <c r="E33" s="1940"/>
      <c r="F33" s="1939" t="s">
        <v>2148</v>
      </c>
      <c r="H33" s="1874">
        <f t="shared" si="0"/>
        <v>5</v>
      </c>
      <c r="I33" s="1874">
        <f t="shared" si="1"/>
        <v>5</v>
      </c>
      <c r="J33" s="1874">
        <f t="shared" si="2"/>
        <v>0</v>
      </c>
    </row>
    <row r="34" spans="1:11" ht="12" customHeight="1" x14ac:dyDescent="0.25">
      <c r="A34" s="1866"/>
      <c r="B34" s="1866"/>
      <c r="C34" s="1866"/>
      <c r="D34" s="1866"/>
      <c r="E34" s="1866"/>
      <c r="F34" s="1866"/>
      <c r="H34" s="1874">
        <f>SUM(H11:H32)</f>
        <v>20</v>
      </c>
      <c r="I34" s="1874">
        <f>SUM(I11:I32)</f>
        <v>20</v>
      </c>
      <c r="J34" s="1874">
        <f>SUM(J11:J32)</f>
        <v>0</v>
      </c>
      <c r="K34" s="1874">
        <f>SUM(H34:J34)</f>
        <v>40</v>
      </c>
    </row>
    <row r="35" spans="1:11" ht="12" customHeight="1" x14ac:dyDescent="0.2">
      <c r="A35" s="1867" t="s">
        <v>1392</v>
      </c>
      <c r="B35" s="1868"/>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69"/>
      <c r="B39" s="1869"/>
      <c r="C39" s="1869"/>
      <c r="D39" s="1869"/>
      <c r="E39" s="1869"/>
      <c r="F39" s="1869"/>
    </row>
    <row r="40" spans="1:11" s="1866" customFormat="1" ht="12" customHeight="1" x14ac:dyDescent="0.25">
      <c r="A40" s="1870" t="s">
        <v>1391</v>
      </c>
      <c r="B40" s="1871"/>
      <c r="C40" s="2311"/>
      <c r="D40" s="2311"/>
      <c r="E40" s="2311"/>
      <c r="F40" s="2312"/>
      <c r="H40" s="1875"/>
      <c r="I40" s="1875"/>
      <c r="J40" s="1875"/>
      <c r="K40" s="1875"/>
    </row>
    <row r="41" spans="1:11" s="1866" customFormat="1" ht="12" customHeight="1" x14ac:dyDescent="0.25">
      <c r="A41" s="2313"/>
      <c r="B41" s="2314"/>
      <c r="C41" s="2314"/>
      <c r="D41" s="2314"/>
      <c r="E41" s="2314"/>
      <c r="F41" s="2315"/>
      <c r="H41" s="1875"/>
      <c r="I41" s="1875"/>
      <c r="J41" s="1875"/>
      <c r="K41" s="1875"/>
    </row>
    <row r="42" spans="1:11" s="1866" customFormat="1" ht="12" customHeight="1" x14ac:dyDescent="0.25">
      <c r="A42" s="2313"/>
      <c r="B42" s="2314"/>
      <c r="C42" s="2314"/>
      <c r="D42" s="2314"/>
      <c r="E42" s="2314"/>
      <c r="F42" s="2315"/>
      <c r="H42" s="1875"/>
      <c r="I42" s="1875"/>
      <c r="J42" s="1875"/>
      <c r="K42" s="1875"/>
    </row>
    <row r="43" spans="1:11" s="1866" customFormat="1" ht="15" x14ac:dyDescent="0.25">
      <c r="A43" s="2305"/>
      <c r="B43" s="2306"/>
      <c r="C43" s="2306"/>
      <c r="D43" s="2306"/>
      <c r="E43" s="2306"/>
      <c r="F43" s="2307"/>
      <c r="H43" s="1875"/>
      <c r="I43" s="1875"/>
      <c r="J43" s="1875"/>
      <c r="K43" s="1875"/>
    </row>
    <row r="44" spans="1:11" s="1866" customFormat="1" ht="12" hidden="1" customHeight="1" x14ac:dyDescent="0.25">
      <c r="A44" s="2305"/>
      <c r="B44" s="2306"/>
      <c r="C44" s="2306"/>
      <c r="D44" s="2306"/>
      <c r="E44" s="2306"/>
      <c r="F44" s="2307"/>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38"/>
      <c r="C6" s="1638"/>
      <c r="D6" s="1638"/>
      <c r="E6" s="1639"/>
      <c r="F6" s="1015"/>
      <c r="G6" s="1009"/>
      <c r="H6" s="1016" t="s">
        <v>1028</v>
      </c>
      <c r="I6" s="2321" t="str">
        <f>COVER!A17</f>
        <v>BERWYN NORTH SD 98</v>
      </c>
      <c r="J6" s="2322"/>
      <c r="Q6" s="1660"/>
    </row>
    <row r="7" spans="1:17" x14ac:dyDescent="0.2">
      <c r="A7" s="2323" t="s">
        <v>869</v>
      </c>
      <c r="B7" s="2324"/>
      <c r="C7" s="2324"/>
      <c r="D7" s="2324"/>
      <c r="E7" s="2325"/>
      <c r="F7" s="1017"/>
      <c r="G7" s="1009"/>
      <c r="H7" s="1016" t="s">
        <v>372</v>
      </c>
      <c r="I7" s="2326" t="str">
        <f>COVER!A13</f>
        <v>06-016-0980-02</v>
      </c>
      <c r="J7" s="2326"/>
    </row>
    <row r="8" spans="1:17" ht="8.25" customHeight="1" x14ac:dyDescent="0.2">
      <c r="A8" s="1640"/>
      <c r="B8" s="1641"/>
      <c r="C8" s="1641"/>
      <c r="D8" s="1641"/>
      <c r="E8" s="1642"/>
      <c r="F8" s="1018"/>
      <c r="G8" s="1019"/>
      <c r="H8" s="1019"/>
      <c r="I8" s="1019"/>
      <c r="J8" s="1019"/>
    </row>
    <row r="9" spans="1:17" ht="13.5" customHeight="1" x14ac:dyDescent="0.2">
      <c r="A9" s="1020"/>
      <c r="B9" s="1021"/>
      <c r="C9" s="1021"/>
      <c r="D9" s="1022"/>
      <c r="E9" s="1891" t="s">
        <v>1976</v>
      </c>
      <c r="F9" s="1023"/>
      <c r="G9" s="1023"/>
      <c r="H9" s="1892"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7">
        <f>'Expenditures 15-22'!K50</f>
        <v>249056</v>
      </c>
      <c r="F12" s="1039"/>
      <c r="G12" s="1807">
        <f t="shared" ref="G12:G18" si="0">SUM(E12:F12)</f>
        <v>249056</v>
      </c>
      <c r="H12" s="1040">
        <v>213193</v>
      </c>
      <c r="I12" s="1039"/>
      <c r="J12" s="1807">
        <f t="shared" ref="J12:J18" si="1">SUM(H12:I12)</f>
        <v>213193</v>
      </c>
    </row>
    <row r="13" spans="1:17" ht="15" customHeight="1" x14ac:dyDescent="0.2">
      <c r="A13" s="1035">
        <v>2</v>
      </c>
      <c r="B13" s="1036" t="s">
        <v>42</v>
      </c>
      <c r="C13" s="1037"/>
      <c r="D13" s="1038">
        <v>2330</v>
      </c>
      <c r="E13" s="1807">
        <f>'Expenditures 15-22'!K51</f>
        <v>281859</v>
      </c>
      <c r="F13" s="1039"/>
      <c r="G13" s="1807">
        <f t="shared" si="0"/>
        <v>281859</v>
      </c>
      <c r="H13" s="1040">
        <v>292978</v>
      </c>
      <c r="I13" s="1039"/>
      <c r="J13" s="1807">
        <f t="shared" si="1"/>
        <v>292978</v>
      </c>
    </row>
    <row r="14" spans="1:17" ht="15" customHeight="1" x14ac:dyDescent="0.2">
      <c r="A14" s="1035">
        <v>3</v>
      </c>
      <c r="B14" s="1036" t="s">
        <v>43</v>
      </c>
      <c r="C14" s="1037"/>
      <c r="D14" s="1041">
        <v>2490</v>
      </c>
      <c r="E14" s="1807">
        <f>'Expenditures 15-22'!K56</f>
        <v>0</v>
      </c>
      <c r="F14" s="1039"/>
      <c r="G14" s="1807">
        <f t="shared" si="0"/>
        <v>0</v>
      </c>
      <c r="H14" s="1040"/>
      <c r="I14" s="1039"/>
      <c r="J14" s="1807">
        <f t="shared" si="1"/>
        <v>0</v>
      </c>
    </row>
    <row r="15" spans="1:17" ht="15" customHeight="1" x14ac:dyDescent="0.2">
      <c r="A15" s="1035">
        <v>4</v>
      </c>
      <c r="B15" s="1036" t="s">
        <v>1068</v>
      </c>
      <c r="C15" s="1037"/>
      <c r="D15" s="1038">
        <v>2510</v>
      </c>
      <c r="E15" s="1807">
        <f>'Expenditures 15-22'!K59</f>
        <v>68750</v>
      </c>
      <c r="F15" s="1807">
        <f>'Expenditures 15-22'!K122</f>
        <v>0</v>
      </c>
      <c r="G15" s="1807">
        <f t="shared" si="0"/>
        <v>68750</v>
      </c>
      <c r="H15" s="1040">
        <v>96274</v>
      </c>
      <c r="I15" s="1040"/>
      <c r="J15" s="1807">
        <f t="shared" si="1"/>
        <v>96274</v>
      </c>
    </row>
    <row r="16" spans="1:17" ht="15" customHeight="1" x14ac:dyDescent="0.2">
      <c r="A16" s="1035">
        <v>5</v>
      </c>
      <c r="B16" s="1036" t="s">
        <v>101</v>
      </c>
      <c r="C16" s="1037"/>
      <c r="D16" s="1038">
        <v>2570</v>
      </c>
      <c r="E16" s="1807">
        <f>'Expenditures 15-22'!K64</f>
        <v>0</v>
      </c>
      <c r="F16" s="1039"/>
      <c r="G16" s="1807">
        <f t="shared" si="0"/>
        <v>0</v>
      </c>
      <c r="H16" s="1040"/>
      <c r="I16" s="1039"/>
      <c r="J16" s="1807">
        <f t="shared" si="1"/>
        <v>0</v>
      </c>
    </row>
    <row r="17" spans="1:10" ht="15" customHeight="1" x14ac:dyDescent="0.2">
      <c r="A17" s="1035">
        <v>6</v>
      </c>
      <c r="B17" s="1036" t="s">
        <v>1060</v>
      </c>
      <c r="C17" s="1037"/>
      <c r="D17" s="1038">
        <v>2610</v>
      </c>
      <c r="E17" s="1807">
        <f>'Expenditures 15-22'!K67</f>
        <v>0</v>
      </c>
      <c r="F17" s="1039"/>
      <c r="G17" s="1807">
        <f t="shared" si="0"/>
        <v>0</v>
      </c>
      <c r="H17" s="1040"/>
      <c r="I17" s="1039"/>
      <c r="J17" s="1807">
        <f t="shared" si="1"/>
        <v>0</v>
      </c>
    </row>
    <row r="18" spans="1:10" ht="22.5" customHeight="1" x14ac:dyDescent="0.2">
      <c r="A18" s="1042">
        <v>7</v>
      </c>
      <c r="B18" s="2330" t="s">
        <v>7</v>
      </c>
      <c r="C18" s="2331"/>
      <c r="D18" s="2332"/>
      <c r="E18" s="1043"/>
      <c r="F18" s="1043"/>
      <c r="G18" s="1808">
        <f t="shared" si="0"/>
        <v>0</v>
      </c>
      <c r="H18" s="1040"/>
      <c r="I18" s="1040"/>
      <c r="J18" s="1807">
        <f t="shared" si="1"/>
        <v>0</v>
      </c>
    </row>
    <row r="19" spans="1:10" ht="12.75" customHeight="1" thickBot="1" x14ac:dyDescent="0.25">
      <c r="A19" s="1035">
        <v>8</v>
      </c>
      <c r="B19" s="1044" t="s">
        <v>1161</v>
      </c>
      <c r="D19" s="1045"/>
      <c r="E19" s="1809">
        <f t="shared" ref="E19:J19" si="2">SUM(E12:E17)-E18</f>
        <v>599665</v>
      </c>
      <c r="F19" s="1809">
        <f t="shared" si="2"/>
        <v>0</v>
      </c>
      <c r="G19" s="1809">
        <f t="shared" si="2"/>
        <v>599665</v>
      </c>
      <c r="H19" s="1809">
        <f t="shared" si="2"/>
        <v>602445</v>
      </c>
      <c r="I19" s="1809">
        <f t="shared" si="2"/>
        <v>0</v>
      </c>
      <c r="J19" s="1809">
        <f t="shared" si="2"/>
        <v>602445</v>
      </c>
    </row>
    <row r="20" spans="1:10" ht="13.5" thickTop="1" x14ac:dyDescent="0.2">
      <c r="A20" s="1035">
        <v>9</v>
      </c>
      <c r="B20" s="2333" t="s">
        <v>1978</v>
      </c>
      <c r="C20" s="2333"/>
      <c r="D20" s="2334"/>
      <c r="E20" s="1046"/>
      <c r="F20" s="1046"/>
      <c r="G20" s="1046"/>
      <c r="H20" s="1046"/>
      <c r="I20" s="1046"/>
      <c r="J20" s="1810">
        <f>IF(AND(G19&gt;0,J19&gt;0),(((J19-G19)/G19)),"Enter Budget Data")</f>
        <v>4.6359217229619875E-3</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1980</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BERWYN NORTH SD 98</v>
      </c>
    </row>
    <row r="65" spans="2:2" x14ac:dyDescent="0.2">
      <c r="B65" s="1070" t="str">
        <f>COVER!A13</f>
        <v>06-016-0980-02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1984</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1985</v>
      </c>
      <c r="B4" s="2361"/>
      <c r="C4" s="2361"/>
      <c r="D4" s="2361"/>
      <c r="E4" s="2361"/>
      <c r="F4" s="2362"/>
      <c r="G4" s="1074"/>
      <c r="H4" s="1074"/>
    </row>
    <row r="5" spans="1:8" ht="14.25" customHeight="1" x14ac:dyDescent="0.2">
      <c r="A5" s="2363" t="s">
        <v>1981</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1">
        <f>'Acct Summary 7-8'!C8</f>
        <v>35145644</v>
      </c>
      <c r="C8" s="1811">
        <f>'Acct Summary 7-8'!D8</f>
        <v>4313974</v>
      </c>
      <c r="D8" s="1811">
        <f>'Acct Summary 7-8'!F8</f>
        <v>1739970</v>
      </c>
      <c r="E8" s="1811">
        <f>'Acct Summary 7-8'!I8</f>
        <v>5655</v>
      </c>
      <c r="F8" s="1811">
        <f>SUM(B8:E8)</f>
        <v>41205243</v>
      </c>
    </row>
    <row r="9" spans="1:8" s="1079" customFormat="1" ht="14.25" customHeight="1" thickBot="1" x14ac:dyDescent="0.25">
      <c r="A9" s="1078" t="s">
        <v>1369</v>
      </c>
      <c r="B9" s="1812">
        <f>'Acct Summary 7-8'!C17</f>
        <v>32052884</v>
      </c>
      <c r="C9" s="1812">
        <f>'Acct Summary 7-8'!D17</f>
        <v>3266478</v>
      </c>
      <c r="D9" s="1812">
        <f>'Acct Summary 7-8'!F17</f>
        <v>1615132</v>
      </c>
      <c r="E9" s="1811"/>
      <c r="F9" s="1811">
        <f>SUM(B9:E9)</f>
        <v>36934494</v>
      </c>
    </row>
    <row r="10" spans="1:8" s="1079" customFormat="1" ht="14.25" thickTop="1" thickBot="1" x14ac:dyDescent="0.25">
      <c r="A10" s="1080" t="s">
        <v>1370</v>
      </c>
      <c r="B10" s="1813">
        <f>(B8-B9)</f>
        <v>3092760</v>
      </c>
      <c r="C10" s="1813">
        <f>(C8-C9)</f>
        <v>1047496</v>
      </c>
      <c r="D10" s="1813">
        <f>(D8-D9)</f>
        <v>124838</v>
      </c>
      <c r="E10" s="1812">
        <f>(E8-E9)</f>
        <v>5655</v>
      </c>
      <c r="F10" s="1814">
        <f>SUM(F8-F9)</f>
        <v>4270749</v>
      </c>
    </row>
    <row r="11" spans="1:8" s="1079" customFormat="1" ht="14.25" thickTop="1" thickBot="1" x14ac:dyDescent="0.25">
      <c r="A11" s="1081" t="s">
        <v>1982</v>
      </c>
      <c r="B11" s="1815">
        <f>'Acct Summary 7-8'!C81</f>
        <v>45764971</v>
      </c>
      <c r="C11" s="1815">
        <f>'Acct Summary 7-8'!D81</f>
        <v>4883902</v>
      </c>
      <c r="D11" s="1815">
        <f>'Acct Summary 7-8'!F81</f>
        <v>313896</v>
      </c>
      <c r="E11" s="1815">
        <f>'Acct Summary 7-8'!I81</f>
        <v>376523</v>
      </c>
      <c r="F11" s="1816">
        <f>SUM(B11:E11)</f>
        <v>51339292</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7" colorId="8" zoomScale="110" zoomScaleNormal="110" workbookViewId="0">
      <selection activeCell="C32" sqref="C3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06-016-0980-02</v>
      </c>
    </row>
    <row r="3" spans="1:2" x14ac:dyDescent="0.2">
      <c r="A3" t="s">
        <v>956</v>
      </c>
      <c r="B3" s="138" t="str">
        <f>COVER!A15</f>
        <v>COOK</v>
      </c>
    </row>
    <row r="4" spans="1:2" x14ac:dyDescent="0.2">
      <c r="A4" t="s">
        <v>1007</v>
      </c>
      <c r="B4" s="138" t="str">
        <f>COVER!A17</f>
        <v>BERWYN NORTH SD 98</v>
      </c>
    </row>
    <row r="5" spans="1:2" x14ac:dyDescent="0.2">
      <c r="A5" t="s">
        <v>704</v>
      </c>
      <c r="B5" s="138" t="str">
        <f>COVER!A38</f>
        <v>Michelle 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GASSENSMITH</v>
      </c>
    </row>
    <row r="18" spans="1:2" x14ac:dyDescent="0.2">
      <c r="A18" t="s">
        <v>1150</v>
      </c>
      <c r="B18" s="138" t="str">
        <f>COVER!T17</f>
        <v>323 SPRINGFIELD AVE</v>
      </c>
    </row>
    <row r="19" spans="1:2" x14ac:dyDescent="0.2">
      <c r="A19" t="s">
        <v>886</v>
      </c>
      <c r="B19" s="138" t="str">
        <f>COVER!T25</f>
        <v>JILLE@GASSENSMITH.COM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2582561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48330416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2534693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2565445</v>
      </c>
      <c r="C91" s="2" t="s">
        <v>573</v>
      </c>
      <c r="D91" s="2" t="str">
        <f t="shared" si="0"/>
        <v>Error?</v>
      </c>
    </row>
    <row r="92" spans="1:4" x14ac:dyDescent="0.2">
      <c r="A92" s="5">
        <v>31</v>
      </c>
      <c r="B92" s="138">
        <f>'Assets-Liab 5-6'!C39</f>
        <v>45764971</v>
      </c>
      <c r="D92" s="2" t="str">
        <f t="shared" si="0"/>
        <v>Error?</v>
      </c>
    </row>
    <row r="93" spans="1:4" x14ac:dyDescent="0.2">
      <c r="A93" s="5">
        <v>32</v>
      </c>
      <c r="B93" s="138">
        <f>'Assets-Liab 5-6'!C41</f>
        <v>48330416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568510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5475158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563348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591256</v>
      </c>
      <c r="C122" s="2" t="s">
        <v>573</v>
      </c>
      <c r="D122" s="2" t="str">
        <f t="shared" si="0"/>
        <v>Error?</v>
      </c>
    </row>
    <row r="123" spans="1:4" x14ac:dyDescent="0.2">
      <c r="A123" s="5">
        <v>62</v>
      </c>
      <c r="B123" s="138">
        <f>'Assets-Liab 5-6'!D39</f>
        <v>4883902</v>
      </c>
      <c r="D123" s="2" t="str">
        <f t="shared" si="0"/>
        <v>Error?</v>
      </c>
    </row>
    <row r="124" spans="1:4" x14ac:dyDescent="0.2">
      <c r="A124" s="5">
        <v>63</v>
      </c>
      <c r="B124" s="138">
        <f>'Assets-Liab 5-6'!D41</f>
        <v>5475158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2485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2485</v>
      </c>
      <c r="D140" s="2" t="str">
        <f t="shared" si="1"/>
        <v>Error?</v>
      </c>
    </row>
    <row r="141" spans="1:4" x14ac:dyDescent="0.2">
      <c r="A141" s="5">
        <v>80</v>
      </c>
      <c r="B141" s="138">
        <f>'Assets-Liab 5-6'!E41</f>
        <v>2485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358933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695822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358010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381926</v>
      </c>
      <c r="C169" s="2" t="s">
        <v>573</v>
      </c>
      <c r="D169" s="2" t="str">
        <f t="shared" si="1"/>
        <v>Error?</v>
      </c>
    </row>
    <row r="170" spans="1:4" x14ac:dyDescent="0.2">
      <c r="A170" s="5">
        <v>109</v>
      </c>
      <c r="B170" s="138">
        <f>'Assets-Liab 5-6'!F39</f>
        <v>313896</v>
      </c>
      <c r="D170" s="2" t="str">
        <f t="shared" si="1"/>
        <v>Error?</v>
      </c>
    </row>
    <row r="171" spans="1:4" x14ac:dyDescent="0.2">
      <c r="A171" s="5">
        <v>110</v>
      </c>
      <c r="B171" s="138">
        <f>'Assets-Liab 5-6'!F41</f>
        <v>695822</v>
      </c>
      <c r="C171" s="2" t="s">
        <v>573</v>
      </c>
      <c r="D171" s="2" t="str">
        <f t="shared" si="1"/>
        <v>Error?</v>
      </c>
    </row>
    <row r="172" spans="1:4" x14ac:dyDescent="0.2">
      <c r="A172" s="10">
        <v>111</v>
      </c>
      <c r="D172" s="2" t="str">
        <f t="shared" si="1"/>
        <v>OK</v>
      </c>
    </row>
    <row r="173" spans="1:4" x14ac:dyDescent="0.2">
      <c r="A173" s="5">
        <v>112</v>
      </c>
      <c r="B173" s="138">
        <f>'Assets-Liab 5-6'!G6</f>
        <v>658677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882096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654257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654257</v>
      </c>
      <c r="C188" s="2" t="s">
        <v>573</v>
      </c>
      <c r="D188" s="2" t="str">
        <f t="shared" si="1"/>
        <v>Error?</v>
      </c>
    </row>
    <row r="189" spans="1:4" x14ac:dyDescent="0.2">
      <c r="A189" s="5">
        <v>128</v>
      </c>
      <c r="B189" s="138">
        <f>'Assets-Liab 5-6'!G39</f>
        <v>227839</v>
      </c>
      <c r="D189" s="2" t="str">
        <f t="shared" si="1"/>
        <v>Error?</v>
      </c>
    </row>
    <row r="190" spans="1:4" x14ac:dyDescent="0.2">
      <c r="A190" s="5">
        <v>129</v>
      </c>
      <c r="B190" s="138">
        <f>'Assets-Liab 5-6'!G41</f>
        <v>882096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255810</v>
      </c>
      <c r="D273" s="2" t="str">
        <f t="shared" si="3"/>
        <v>Error?</v>
      </c>
    </row>
    <row r="274" spans="1:4" x14ac:dyDescent="0.2">
      <c r="A274" s="5">
        <v>213</v>
      </c>
      <c r="B274" s="138">
        <f>'Assets-Liab 5-6'!M17</f>
        <v>45437339</v>
      </c>
      <c r="D274" s="2" t="str">
        <f t="shared" si="3"/>
        <v>Error?</v>
      </c>
    </row>
    <row r="275" spans="1:4" x14ac:dyDescent="0.2">
      <c r="A275" s="5">
        <v>214</v>
      </c>
      <c r="B275" s="138">
        <f>'Assets-Liab 5-6'!M18</f>
        <v>606699</v>
      </c>
      <c r="D275" s="2" t="str">
        <f t="shared" si="3"/>
        <v>Error?</v>
      </c>
    </row>
    <row r="276" spans="1:4" x14ac:dyDescent="0.2">
      <c r="A276" s="5">
        <v>215</v>
      </c>
      <c r="B276" s="138">
        <f>'Assets-Liab 5-6'!M19</f>
        <v>4193925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50493773</v>
      </c>
      <c r="C279" s="2" t="s">
        <v>573</v>
      </c>
      <c r="D279" s="2" t="str">
        <f t="shared" si="3"/>
        <v>Error?</v>
      </c>
    </row>
    <row r="280" spans="1:4" x14ac:dyDescent="0.2">
      <c r="A280" s="5">
        <v>219</v>
      </c>
      <c r="B280" s="138">
        <f>'Assets-Liab 5-6'!M40</f>
        <v>50493773</v>
      </c>
      <c r="D280" s="2" t="str">
        <f t="shared" si="3"/>
        <v>Error?</v>
      </c>
    </row>
    <row r="281" spans="1:4" x14ac:dyDescent="0.2">
      <c r="A281" s="5">
        <v>220</v>
      </c>
      <c r="B281" s="138">
        <f>'Assets-Liab 5-6'!M41</f>
        <v>50493773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8917394</v>
      </c>
      <c r="D705" s="2" t="str">
        <f t="shared" si="10"/>
        <v>Error?</v>
      </c>
    </row>
    <row r="706" spans="1:4" x14ac:dyDescent="0.2">
      <c r="A706" s="5">
        <v>645</v>
      </c>
      <c r="B706" s="138">
        <f>'Expenditures 15-22'!C16</f>
        <v>12360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2035372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182607</v>
      </c>
      <c r="D718" s="2" t="str">
        <f t="shared" si="10"/>
        <v>Error?</v>
      </c>
    </row>
    <row r="719" spans="1:4" x14ac:dyDescent="0.2">
      <c r="A719" s="5">
        <v>658</v>
      </c>
      <c r="B719" s="138">
        <f>'Expenditures 15-22'!C15</f>
        <v>83857</v>
      </c>
      <c r="D719" s="2" t="str">
        <f t="shared" si="10"/>
        <v>Error?</v>
      </c>
    </row>
    <row r="720" spans="1:4" x14ac:dyDescent="0.2">
      <c r="A720" s="5">
        <v>659</v>
      </c>
      <c r="B720" s="138">
        <f>'Expenditures 15-22'!C33</f>
        <v>15454436</v>
      </c>
      <c r="C720" s="2" t="s">
        <v>573</v>
      </c>
      <c r="D720" s="2" t="str">
        <f t="shared" si="10"/>
        <v>Error?</v>
      </c>
    </row>
    <row r="721" spans="1:4" x14ac:dyDescent="0.2">
      <c r="A721" s="5">
        <v>660</v>
      </c>
      <c r="B721" s="138">
        <f>'Expenditures 15-22'!C36</f>
        <v>573888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341121</v>
      </c>
      <c r="D723" s="2" t="str">
        <f t="shared" si="10"/>
        <v>Error?</v>
      </c>
    </row>
    <row r="724" spans="1:4" x14ac:dyDescent="0.2">
      <c r="A724" s="5">
        <v>663</v>
      </c>
      <c r="B724" s="138">
        <f>'Expenditures 15-22'!C39</f>
        <v>125180</v>
      </c>
      <c r="D724" s="2" t="str">
        <f t="shared" si="10"/>
        <v>Error?</v>
      </c>
    </row>
    <row r="725" spans="1:4" x14ac:dyDescent="0.2">
      <c r="A725" s="5">
        <v>664</v>
      </c>
      <c r="B725" s="138">
        <f>'Expenditures 15-22'!C40</f>
        <v>291140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1331329</v>
      </c>
      <c r="C727" s="2" t="s">
        <v>573</v>
      </c>
      <c r="D727" s="2" t="str">
        <f t="shared" si="10"/>
        <v>Error?</v>
      </c>
    </row>
    <row r="728" spans="1:4" x14ac:dyDescent="0.2">
      <c r="A728" s="5">
        <v>667</v>
      </c>
      <c r="B728" s="138">
        <f>'Expenditures 15-22'!C44</f>
        <v>559185</v>
      </c>
      <c r="D728" s="2" t="str">
        <f t="shared" si="10"/>
        <v>Error?</v>
      </c>
    </row>
    <row r="729" spans="1:4" x14ac:dyDescent="0.2">
      <c r="A729" s="5">
        <v>668</v>
      </c>
      <c r="B729" s="138">
        <f>'Expenditures 15-22'!C45</f>
        <v>378383</v>
      </c>
      <c r="D729" s="2" t="str">
        <f t="shared" si="10"/>
        <v>Error?</v>
      </c>
    </row>
    <row r="730" spans="1:4" x14ac:dyDescent="0.2">
      <c r="A730" s="5">
        <v>669</v>
      </c>
      <c r="B730" s="138">
        <f>'Expenditures 15-22'!C46</f>
        <v>7478</v>
      </c>
      <c r="D730" s="2" t="str">
        <f t="shared" si="10"/>
        <v>Error?</v>
      </c>
    </row>
    <row r="731" spans="1:4" x14ac:dyDescent="0.2">
      <c r="A731" s="5">
        <v>670</v>
      </c>
      <c r="B731" s="138">
        <f>'Expenditures 15-22'!C47</f>
        <v>945046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219166</v>
      </c>
      <c r="D733" s="2" t="str">
        <f t="shared" si="10"/>
        <v>Error?</v>
      </c>
    </row>
    <row r="734" spans="1:4" x14ac:dyDescent="0.2">
      <c r="A734" s="5">
        <v>673</v>
      </c>
      <c r="B734" s="138">
        <f>'Expenditures 15-22'!C53</f>
        <v>459675</v>
      </c>
      <c r="C734" s="2" t="s">
        <v>573</v>
      </c>
      <c r="D734" s="2" t="str">
        <f t="shared" si="10"/>
        <v>Error?</v>
      </c>
    </row>
    <row r="735" spans="1:4" x14ac:dyDescent="0.2">
      <c r="A735" s="5">
        <v>674</v>
      </c>
      <c r="B735" s="138">
        <f>'Expenditures 15-22'!C55</f>
        <v>1574497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1574497</v>
      </c>
      <c r="C737" s="2" t="s">
        <v>573</v>
      </c>
      <c r="D737" s="2" t="str">
        <f t="shared" si="10"/>
        <v>Error?</v>
      </c>
    </row>
    <row r="738" spans="1:4" x14ac:dyDescent="0.2">
      <c r="A738" s="5">
        <v>677</v>
      </c>
      <c r="B738" s="138">
        <f>'Expenditures 15-22'!C59</f>
        <v>68135</v>
      </c>
      <c r="D738" s="2" t="str">
        <f t="shared" si="10"/>
        <v>Error?</v>
      </c>
    </row>
    <row r="739" spans="1:4" x14ac:dyDescent="0.2">
      <c r="A739" s="5">
        <v>678</v>
      </c>
      <c r="B739" s="138">
        <f>'Expenditures 15-22'!C60</f>
        <v>504842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547467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1120444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197149</v>
      </c>
      <c r="D747" s="2" t="str">
        <f t="shared" si="10"/>
        <v>Error?</v>
      </c>
    </row>
    <row r="748" spans="1:4" x14ac:dyDescent="0.2">
      <c r="A748" s="5">
        <v>687</v>
      </c>
      <c r="B748" s="138">
        <f>'Expenditures 15-22'!C69</f>
        <v>0</v>
      </c>
      <c r="D748" s="2" t="str">
        <f t="shared" si="10"/>
        <v>Error?</v>
      </c>
    </row>
    <row r="749" spans="1:4" x14ac:dyDescent="0.2">
      <c r="A749" s="5">
        <v>688</v>
      </c>
      <c r="B749" s="138">
        <f>'Expenditures 15-22'!C70</f>
        <v>7088</v>
      </c>
      <c r="D749" s="2" t="str">
        <f t="shared" si="10"/>
        <v>Error?</v>
      </c>
    </row>
    <row r="750" spans="1:4" x14ac:dyDescent="0.2">
      <c r="A750" s="10">
        <v>689</v>
      </c>
      <c r="D750" s="2" t="str">
        <f t="shared" si="10"/>
        <v>OK</v>
      </c>
    </row>
    <row r="751" spans="1:4" x14ac:dyDescent="0.2">
      <c r="A751" s="5">
        <v>690</v>
      </c>
      <c r="B751" s="138">
        <f>'Expenditures 15-22'!C71</f>
        <v>441014</v>
      </c>
      <c r="D751" s="2" t="str">
        <f t="shared" si="10"/>
        <v>Error?</v>
      </c>
    </row>
    <row r="752" spans="1:4" x14ac:dyDescent="0.2">
      <c r="A752" s="10">
        <v>691</v>
      </c>
      <c r="D752" s="2" t="str">
        <f t="shared" si="10"/>
        <v>OK</v>
      </c>
    </row>
    <row r="753" spans="1:4" x14ac:dyDescent="0.2">
      <c r="A753" s="5">
        <v>692</v>
      </c>
      <c r="B753" s="138">
        <f>'Expenditures 15-22'!C72</f>
        <v>645251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6076242</v>
      </c>
      <c r="C755" s="2" t="s">
        <v>573</v>
      </c>
      <c r="D755" s="2" t="str">
        <f t="shared" si="10"/>
        <v>Error?</v>
      </c>
    </row>
    <row r="756" spans="1:4" x14ac:dyDescent="0.2">
      <c r="A756" s="5">
        <v>695</v>
      </c>
      <c r="B756" s="138">
        <f>'Expenditures 15-22'!C75</f>
        <v>127979</v>
      </c>
      <c r="D756" s="2" t="str">
        <f t="shared" si="10"/>
        <v>Error?</v>
      </c>
    </row>
    <row r="757" spans="1:4" x14ac:dyDescent="0.2">
      <c r="A757" s="5">
        <v>696</v>
      </c>
      <c r="B757" s="138">
        <f>'Expenditures 15-22'!C114</f>
        <v>21658657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2965403</v>
      </c>
      <c r="D763" s="2" t="str">
        <f t="shared" si="10"/>
        <v>Error?</v>
      </c>
    </row>
    <row r="764" spans="1:4" x14ac:dyDescent="0.2">
      <c r="A764" s="5">
        <v>703</v>
      </c>
      <c r="B764" s="138">
        <f>'Expenditures 15-22'!D16</f>
        <v>186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29871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6431</v>
      </c>
      <c r="D776" s="2" t="str">
        <f t="shared" si="11"/>
        <v>Error?</v>
      </c>
    </row>
    <row r="777" spans="1:4" x14ac:dyDescent="0.2">
      <c r="A777" s="5">
        <v>716</v>
      </c>
      <c r="B777" s="138">
        <f>'Expenditures 15-22'!D15</f>
        <v>811</v>
      </c>
      <c r="D777" s="2" t="str">
        <f t="shared" si="11"/>
        <v>Error?</v>
      </c>
    </row>
    <row r="778" spans="1:4" x14ac:dyDescent="0.2">
      <c r="A778" s="5">
        <v>717</v>
      </c>
      <c r="B778" s="138">
        <f>'Expenditures 15-22'!D33</f>
        <v>3162388</v>
      </c>
      <c r="C778" s="2" t="s">
        <v>573</v>
      </c>
      <c r="D778" s="2" t="str">
        <f t="shared" si="11"/>
        <v>Error?</v>
      </c>
    </row>
    <row r="779" spans="1:4" x14ac:dyDescent="0.2">
      <c r="A779" s="5">
        <v>718</v>
      </c>
      <c r="B779" s="138">
        <f>'Expenditures 15-22'!D36</f>
        <v>8415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3436</v>
      </c>
      <c r="D781" s="2" t="str">
        <f t="shared" si="11"/>
        <v>Error?</v>
      </c>
    </row>
    <row r="782" spans="1:4" x14ac:dyDescent="0.2">
      <c r="A782" s="5">
        <v>721</v>
      </c>
      <c r="B782" s="138">
        <f>'Expenditures 15-22'!D39</f>
        <v>1878</v>
      </c>
      <c r="D782" s="2" t="str">
        <f t="shared" si="11"/>
        <v>Error?</v>
      </c>
    </row>
    <row r="783" spans="1:4" x14ac:dyDescent="0.2">
      <c r="A783" s="5">
        <v>722</v>
      </c>
      <c r="B783" s="138">
        <f>'Expenditures 15-22'!D40</f>
        <v>4366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18095</v>
      </c>
      <c r="C785" s="2" t="s">
        <v>573</v>
      </c>
      <c r="D785" s="2" t="str">
        <f t="shared" si="11"/>
        <v>Error?</v>
      </c>
    </row>
    <row r="786" spans="1:4" x14ac:dyDescent="0.2">
      <c r="A786" s="5">
        <v>725</v>
      </c>
      <c r="B786" s="138">
        <f>'Expenditures 15-22'!D44</f>
        <v>51028</v>
      </c>
      <c r="D786" s="2" t="str">
        <f t="shared" si="11"/>
        <v>Error?</v>
      </c>
    </row>
    <row r="787" spans="1:4" x14ac:dyDescent="0.2">
      <c r="A787" s="5">
        <v>726</v>
      </c>
      <c r="B787" s="138">
        <f>'Expenditures 15-22'!D45</f>
        <v>4474</v>
      </c>
      <c r="D787" s="2" t="str">
        <f t="shared" si="11"/>
        <v>Error?</v>
      </c>
    </row>
    <row r="788" spans="1:4" x14ac:dyDescent="0.2">
      <c r="A788" s="5">
        <v>727</v>
      </c>
      <c r="B788" s="138">
        <f>'Expenditures 15-22'!D46</f>
        <v>78</v>
      </c>
      <c r="D788" s="2" t="str">
        <f t="shared" si="11"/>
        <v>Error?</v>
      </c>
    </row>
    <row r="789" spans="1:4" x14ac:dyDescent="0.2">
      <c r="A789" s="5">
        <v>728</v>
      </c>
      <c r="B789" s="138">
        <f>'Expenditures 15-22'!D47</f>
        <v>55580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2959</v>
      </c>
      <c r="D791" s="2" t="str">
        <f t="shared" si="11"/>
        <v>Error?</v>
      </c>
    </row>
    <row r="792" spans="1:4" x14ac:dyDescent="0.2">
      <c r="A792" s="5">
        <v>731</v>
      </c>
      <c r="B792" s="138">
        <f>'Expenditures 15-22'!D53</f>
        <v>5370</v>
      </c>
      <c r="C792" s="2" t="s">
        <v>573</v>
      </c>
      <c r="D792" s="2" t="str">
        <f t="shared" si="11"/>
        <v>Error?</v>
      </c>
    </row>
    <row r="793" spans="1:4" x14ac:dyDescent="0.2">
      <c r="A793" s="5">
        <v>732</v>
      </c>
      <c r="B793" s="138">
        <f>'Expenditures 15-22'!D55</f>
        <v>16953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16953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2046</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804</v>
      </c>
      <c r="D807" s="2" t="str">
        <f t="shared" si="11"/>
        <v>Error?</v>
      </c>
    </row>
    <row r="808" spans="1:4" x14ac:dyDescent="0.2">
      <c r="A808" s="10">
        <v>747</v>
      </c>
      <c r="D808" s="2" t="str">
        <f t="shared" si="11"/>
        <v>OK</v>
      </c>
    </row>
    <row r="809" spans="1:4" x14ac:dyDescent="0.2">
      <c r="A809" s="5">
        <v>748</v>
      </c>
      <c r="B809" s="138">
        <f>'Expenditures 15-22'!D71</f>
        <v>2465</v>
      </c>
      <c r="D809" s="2" t="str">
        <f t="shared" si="11"/>
        <v>Error?</v>
      </c>
    </row>
    <row r="810" spans="1:4" x14ac:dyDescent="0.2">
      <c r="A810" s="10">
        <v>749</v>
      </c>
      <c r="D810" s="2" t="str">
        <f t="shared" si="11"/>
        <v>OK</v>
      </c>
    </row>
    <row r="811" spans="1:4" x14ac:dyDescent="0.2">
      <c r="A811" s="5">
        <v>750</v>
      </c>
      <c r="B811" s="138">
        <f>'Expenditures 15-22'!D72</f>
        <v>5315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102494</v>
      </c>
      <c r="C813" s="2" t="s">
        <v>573</v>
      </c>
      <c r="D813" s="2" t="str">
        <f t="shared" si="11"/>
        <v>Error?</v>
      </c>
    </row>
    <row r="814" spans="1:4" x14ac:dyDescent="0.2">
      <c r="A814" s="5">
        <v>753</v>
      </c>
      <c r="B814" s="138">
        <f>'Expenditures 15-22'!D75</f>
        <v>10233</v>
      </c>
      <c r="D814" s="2" t="str">
        <f t="shared" si="11"/>
        <v>Error?</v>
      </c>
    </row>
    <row r="815" spans="1:4" x14ac:dyDescent="0.2">
      <c r="A815" s="5">
        <v>754</v>
      </c>
      <c r="B815" s="138">
        <f>'Expenditures 15-22'!D114</f>
        <v>3275115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170042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5845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359249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198049</v>
      </c>
      <c r="D839" s="2" t="str">
        <f t="shared" si="12"/>
        <v>Error?</v>
      </c>
    </row>
    <row r="840" spans="1:4" x14ac:dyDescent="0.2">
      <c r="A840" s="5">
        <v>779</v>
      </c>
      <c r="B840" s="138">
        <f>'Expenditures 15-22'!E39</f>
        <v>97345</v>
      </c>
      <c r="D840" s="2" t="str">
        <f t="shared" si="12"/>
        <v>Error?</v>
      </c>
    </row>
    <row r="841" spans="1:4" x14ac:dyDescent="0.2">
      <c r="A841" s="5">
        <v>780</v>
      </c>
      <c r="B841" s="138">
        <f>'Expenditures 15-22'!E40</f>
        <v>366123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661517</v>
      </c>
      <c r="C843" s="2" t="s">
        <v>573</v>
      </c>
      <c r="D843" s="2" t="str">
        <f t="shared" si="12"/>
        <v>Error?</v>
      </c>
    </row>
    <row r="844" spans="1:4" x14ac:dyDescent="0.2">
      <c r="A844" s="5">
        <v>783</v>
      </c>
      <c r="B844" s="138">
        <f>'Expenditures 15-22'!E44</f>
        <v>363396</v>
      </c>
      <c r="D844" s="2" t="str">
        <f t="shared" si="12"/>
        <v>Error?</v>
      </c>
    </row>
    <row r="845" spans="1:4" x14ac:dyDescent="0.2">
      <c r="A845" s="5">
        <v>784</v>
      </c>
      <c r="B845" s="138">
        <f>'Expenditures 15-22'!E45</f>
        <v>3660</v>
      </c>
      <c r="D845" s="2" t="str">
        <f t="shared" si="12"/>
        <v>Error?</v>
      </c>
    </row>
    <row r="846" spans="1:4" x14ac:dyDescent="0.2">
      <c r="A846" s="5">
        <v>785</v>
      </c>
      <c r="B846" s="138">
        <f>'Expenditures 15-22'!E46</f>
        <v>59233</v>
      </c>
      <c r="D846" s="2" t="str">
        <f t="shared" si="12"/>
        <v>Error?</v>
      </c>
    </row>
    <row r="847" spans="1:4" x14ac:dyDescent="0.2">
      <c r="A847" s="5">
        <v>786</v>
      </c>
      <c r="B847" s="138">
        <f>'Expenditures 15-22'!E47</f>
        <v>426289</v>
      </c>
      <c r="C847" s="2" t="s">
        <v>573</v>
      </c>
      <c r="D847" s="2" t="str">
        <f t="shared" si="12"/>
        <v>Error?</v>
      </c>
    </row>
    <row r="848" spans="1:4" x14ac:dyDescent="0.2">
      <c r="A848" s="5">
        <v>787</v>
      </c>
      <c r="B848" s="138">
        <f>'Expenditures 15-22'!E49</f>
        <v>41569</v>
      </c>
      <c r="D848" s="2" t="str">
        <f t="shared" si="12"/>
        <v>Error?</v>
      </c>
    </row>
    <row r="849" spans="1:4" x14ac:dyDescent="0.2">
      <c r="A849" s="5">
        <v>788</v>
      </c>
      <c r="B849" s="138">
        <f>'Expenditures 15-22'!E50</f>
        <v>11902</v>
      </c>
      <c r="D849" s="2" t="str">
        <f t="shared" si="12"/>
        <v>Error?</v>
      </c>
    </row>
    <row r="850" spans="1:4" x14ac:dyDescent="0.2">
      <c r="A850" s="5">
        <v>789</v>
      </c>
      <c r="B850" s="138">
        <f>'Expenditures 15-22'!E53</f>
        <v>82394</v>
      </c>
      <c r="C850" s="2" t="s">
        <v>573</v>
      </c>
      <c r="D850" s="2" t="str">
        <f t="shared" si="12"/>
        <v>Error?</v>
      </c>
    </row>
    <row r="851" spans="1:4" x14ac:dyDescent="0.2">
      <c r="A851" s="5">
        <v>790</v>
      </c>
      <c r="B851" s="138">
        <f>'Expenditures 15-22'!E55</f>
        <v>3325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267960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270520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48723</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3206</v>
      </c>
      <c r="D865" s="2" t="str">
        <f t="shared" si="12"/>
        <v>Error?</v>
      </c>
    </row>
    <row r="866" spans="1:4" x14ac:dyDescent="0.2">
      <c r="A866" s="10">
        <v>805</v>
      </c>
      <c r="D866" s="2" t="str">
        <f t="shared" si="12"/>
        <v>OK</v>
      </c>
    </row>
    <row r="867" spans="1:4" x14ac:dyDescent="0.2">
      <c r="A867" s="5">
        <v>806</v>
      </c>
      <c r="B867" s="138">
        <f>'Expenditures 15-22'!E71</f>
        <v>344378</v>
      </c>
      <c r="D867" s="2" t="str">
        <f t="shared" si="12"/>
        <v>Error?</v>
      </c>
    </row>
    <row r="868" spans="1:4" x14ac:dyDescent="0.2">
      <c r="A868" s="10">
        <v>807</v>
      </c>
      <c r="D868" s="2" t="str">
        <f t="shared" si="12"/>
        <v>OK</v>
      </c>
    </row>
    <row r="869" spans="1:4" x14ac:dyDescent="0.2">
      <c r="A869" s="5">
        <v>808</v>
      </c>
      <c r="B869" s="138">
        <f>'Expenditures 15-22'!E72</f>
        <v>396307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1840352</v>
      </c>
      <c r="C871" s="2" t="s">
        <v>573</v>
      </c>
      <c r="D871" s="2" t="str">
        <f t="shared" si="12"/>
        <v>Error?</v>
      </c>
    </row>
    <row r="872" spans="1:4" x14ac:dyDescent="0.2">
      <c r="A872" s="5">
        <v>811</v>
      </c>
      <c r="B872" s="138">
        <f>'Expenditures 15-22'!E75</f>
        <v>81858</v>
      </c>
      <c r="D872" s="2" t="str">
        <f t="shared" si="12"/>
        <v>Error?</v>
      </c>
    </row>
    <row r="873" spans="1:4" x14ac:dyDescent="0.2">
      <c r="A873" s="5">
        <v>812</v>
      </c>
      <c r="B873" s="138">
        <f>'Expenditures 15-22'!E114</f>
        <v>2281644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217895</v>
      </c>
      <c r="D879" s="2" t="str">
        <f t="shared" si="12"/>
        <v>Error?</v>
      </c>
    </row>
    <row r="880" spans="1:4" x14ac:dyDescent="0.2">
      <c r="A880" s="5">
        <v>819</v>
      </c>
      <c r="B880" s="138">
        <f>'Expenditures 15-22'!F16</f>
        <v>968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1878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555240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14925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17460</v>
      </c>
      <c r="C901" s="2" t="s">
        <v>573</v>
      </c>
      <c r="D901" s="2" t="str">
        <f t="shared" si="13"/>
        <v>Error?</v>
      </c>
    </row>
    <row r="902" spans="1:4" x14ac:dyDescent="0.2">
      <c r="A902" s="5">
        <v>841</v>
      </c>
      <c r="B902" s="138">
        <f>'Expenditures 15-22'!F44</f>
        <v>54785</v>
      </c>
      <c r="D902" s="2" t="str">
        <f t="shared" si="13"/>
        <v>Error?</v>
      </c>
    </row>
    <row r="903" spans="1:4" x14ac:dyDescent="0.2">
      <c r="A903" s="5">
        <v>842</v>
      </c>
      <c r="B903" s="138">
        <f>'Expenditures 15-22'!F45</f>
        <v>136221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191006</v>
      </c>
      <c r="C905" s="2" t="s">
        <v>573</v>
      </c>
      <c r="D905" s="2" t="str">
        <f t="shared" si="13"/>
        <v>Error?</v>
      </c>
    </row>
    <row r="906" spans="1:4" x14ac:dyDescent="0.2">
      <c r="A906" s="5">
        <v>845</v>
      </c>
      <c r="B906" s="138">
        <f>'Expenditures 15-22'!F49</f>
        <v>155165</v>
      </c>
      <c r="D906" s="2" t="str">
        <f t="shared" si="13"/>
        <v>Error?</v>
      </c>
    </row>
    <row r="907" spans="1:4" x14ac:dyDescent="0.2">
      <c r="A907" s="5">
        <v>846</v>
      </c>
      <c r="B907" s="138">
        <f>'Expenditures 15-22'!F50</f>
        <v>15029</v>
      </c>
      <c r="D907" s="2" t="str">
        <f t="shared" si="13"/>
        <v>Error?</v>
      </c>
    </row>
    <row r="908" spans="1:4" x14ac:dyDescent="0.2">
      <c r="A908" s="5">
        <v>847</v>
      </c>
      <c r="B908" s="138">
        <f>'Expenditures 15-22'!F53</f>
        <v>180210</v>
      </c>
      <c r="C908" s="2" t="s">
        <v>573</v>
      </c>
      <c r="D908" s="2" t="str">
        <f t="shared" si="13"/>
        <v>Error?</v>
      </c>
    </row>
    <row r="909" spans="1:4" x14ac:dyDescent="0.2">
      <c r="A909" s="5">
        <v>848</v>
      </c>
      <c r="B909" s="138">
        <f>'Expenditures 15-22'!F55</f>
        <v>5439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5439</v>
      </c>
      <c r="C911" s="2" t="s">
        <v>573</v>
      </c>
      <c r="D911" s="2" t="str">
        <f t="shared" si="13"/>
        <v>Error?</v>
      </c>
    </row>
    <row r="912" spans="1:4" x14ac:dyDescent="0.2">
      <c r="A912" s="5">
        <v>851</v>
      </c>
      <c r="B912" s="138">
        <f>'Expenditures 15-22'!F59</f>
        <v>615</v>
      </c>
      <c r="D912" s="2" t="str">
        <f t="shared" si="13"/>
        <v>Error?</v>
      </c>
    </row>
    <row r="913" spans="1:4" x14ac:dyDescent="0.2">
      <c r="A913" s="5">
        <v>852</v>
      </c>
      <c r="B913" s="138">
        <f>'Expenditures 15-22'!F60</f>
        <v>41767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1059660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1102042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32917</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48061</v>
      </c>
      <c r="D925" s="2" t="str">
        <f t="shared" si="13"/>
        <v>Error?</v>
      </c>
    </row>
    <row r="926" spans="1:4" x14ac:dyDescent="0.2">
      <c r="A926" s="10">
        <v>865</v>
      </c>
      <c r="D926" s="2" t="str">
        <f t="shared" si="13"/>
        <v>OK</v>
      </c>
    </row>
    <row r="927" spans="1:4" x14ac:dyDescent="0.2">
      <c r="A927" s="5">
        <v>866</v>
      </c>
      <c r="B927" s="138">
        <f>'Expenditures 15-22'!F72</f>
        <v>80978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1577135</v>
      </c>
      <c r="C929" s="2" t="s">
        <v>573</v>
      </c>
      <c r="D929" s="2" t="str">
        <f t="shared" si="13"/>
        <v>Error?</v>
      </c>
    </row>
    <row r="930" spans="1:4" x14ac:dyDescent="0.2">
      <c r="A930" s="5">
        <v>869</v>
      </c>
      <c r="B930" s="138">
        <f>'Expenditures 15-22'!F75</f>
        <v>44187</v>
      </c>
      <c r="D930" s="2" t="str">
        <f t="shared" si="13"/>
        <v>Error?</v>
      </c>
    </row>
    <row r="931" spans="1:4" x14ac:dyDescent="0.2">
      <c r="A931" s="5">
        <v>870</v>
      </c>
      <c r="B931" s="138">
        <f>'Expenditures 15-22'!F114</f>
        <v>2176562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82782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173793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2367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21374</v>
      </c>
      <c r="D983" s="2" t="str">
        <f t="shared" si="14"/>
        <v>Error?</v>
      </c>
    </row>
    <row r="984" spans="1:4" x14ac:dyDescent="0.2">
      <c r="A984" s="10">
        <v>923</v>
      </c>
      <c r="D984" s="2" t="str">
        <f t="shared" si="14"/>
        <v>OK</v>
      </c>
    </row>
    <row r="985" spans="1:4" x14ac:dyDescent="0.2">
      <c r="A985" s="5">
        <v>924</v>
      </c>
      <c r="B985" s="138">
        <f>'Expenditures 15-22'!G72</f>
        <v>21374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23741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197534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38171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1881910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6478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1888388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12925416</v>
      </c>
      <c r="C1093" s="2" t="s">
        <v>573</v>
      </c>
      <c r="D1093" s="2" t="str">
        <f t="shared" si="16"/>
        <v>Error?</v>
      </c>
    </row>
    <row r="1094" spans="1:4" x14ac:dyDescent="0.2">
      <c r="A1094" s="5">
        <v>1033</v>
      </c>
      <c r="B1094" s="138">
        <f>'Expenditures 15-22'!K16</f>
        <v>13514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2067121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195140</v>
      </c>
      <c r="C1106" s="2" t="s">
        <v>573</v>
      </c>
      <c r="D1106" s="2" t="str">
        <f t="shared" si="16"/>
        <v>Error?</v>
      </c>
    </row>
    <row r="1107" spans="1:4" x14ac:dyDescent="0.2">
      <c r="A1107" s="5">
        <v>1046</v>
      </c>
      <c r="B1107" s="138">
        <f>'Expenditures 15-22'!K15</f>
        <v>84668</v>
      </c>
      <c r="C1107" s="2" t="s">
        <v>573</v>
      </c>
      <c r="D1107" s="2" t="str">
        <f t="shared" si="16"/>
        <v>Error?</v>
      </c>
    </row>
    <row r="1108" spans="1:4" x14ac:dyDescent="0.2">
      <c r="A1108" s="5">
        <v>1047</v>
      </c>
      <c r="B1108" s="138">
        <f>'Expenditures 15-22'!K33</f>
        <v>22132682</v>
      </c>
      <c r="C1108" s="2" t="s">
        <v>573</v>
      </c>
      <c r="D1108" s="2" t="str">
        <f t="shared" si="16"/>
        <v>Error?</v>
      </c>
    </row>
    <row r="1109" spans="1:4" x14ac:dyDescent="0.2">
      <c r="A1109" s="5">
        <v>1048</v>
      </c>
      <c r="B1109" s="138">
        <f>'Expenditures 15-22'!K36</f>
        <v>582303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545141</v>
      </c>
      <c r="C1111" s="2" t="s">
        <v>573</v>
      </c>
      <c r="D1111" s="2" t="str">
        <f t="shared" si="16"/>
        <v>Error?</v>
      </c>
    </row>
    <row r="1112" spans="1:4" x14ac:dyDescent="0.2">
      <c r="A1112" s="5">
        <v>1051</v>
      </c>
      <c r="B1112" s="138">
        <f>'Expenditures 15-22'!K39</f>
        <v>224403</v>
      </c>
      <c r="C1112" s="2" t="s">
        <v>573</v>
      </c>
      <c r="D1112" s="2" t="str">
        <f t="shared" si="16"/>
        <v>Error?</v>
      </c>
    </row>
    <row r="1113" spans="1:4" x14ac:dyDescent="0.2">
      <c r="A1113" s="5">
        <v>1052</v>
      </c>
      <c r="B1113" s="138">
        <f>'Expenditures 15-22'!K40</f>
        <v>676554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2028401</v>
      </c>
      <c r="C1115" s="2" t="s">
        <v>573</v>
      </c>
      <c r="D1115" s="2" t="str">
        <f t="shared" si="16"/>
        <v>Error?</v>
      </c>
    </row>
    <row r="1116" spans="1:4" x14ac:dyDescent="0.2">
      <c r="A1116" s="5">
        <v>1055</v>
      </c>
      <c r="B1116" s="138">
        <f>'Expenditures 15-22'!K44</f>
        <v>1028394</v>
      </c>
      <c r="C1116" s="2" t="s">
        <v>573</v>
      </c>
      <c r="D1116" s="2" t="str">
        <f t="shared" si="16"/>
        <v>Error?</v>
      </c>
    </row>
    <row r="1117" spans="1:4" x14ac:dyDescent="0.2">
      <c r="A1117" s="5">
        <v>1056</v>
      </c>
      <c r="B1117" s="138">
        <f>'Expenditures 15-22'!K45</f>
        <v>522738</v>
      </c>
      <c r="C1117" s="2" t="s">
        <v>573</v>
      </c>
      <c r="D1117" s="2" t="str">
        <f t="shared" si="16"/>
        <v>Error?</v>
      </c>
    </row>
    <row r="1118" spans="1:4" x14ac:dyDescent="0.2">
      <c r="A1118" s="5">
        <v>1057</v>
      </c>
      <c r="B1118" s="138">
        <f>'Expenditures 15-22'!K46</f>
        <v>67480</v>
      </c>
      <c r="C1118" s="2" t="s">
        <v>573</v>
      </c>
      <c r="D1118" s="2" t="str">
        <f t="shared" si="16"/>
        <v>Error?</v>
      </c>
    </row>
    <row r="1119" spans="1:4" x14ac:dyDescent="0.2">
      <c r="A1119" s="5">
        <v>1058</v>
      </c>
      <c r="B1119" s="138">
        <f>'Expenditures 15-22'!K47</f>
        <v>1618612</v>
      </c>
      <c r="C1119" s="2" t="s">
        <v>573</v>
      </c>
      <c r="D1119" s="2" t="str">
        <f t="shared" si="16"/>
        <v>Error?</v>
      </c>
    </row>
    <row r="1120" spans="1:4" x14ac:dyDescent="0.2">
      <c r="A1120" s="5">
        <v>1059</v>
      </c>
      <c r="B1120" s="138">
        <f>'Expenditures 15-22'!K49</f>
        <v>196734</v>
      </c>
      <c r="C1120" s="2" t="s">
        <v>573</v>
      </c>
      <c r="D1120" s="2" t="str">
        <f t="shared" si="16"/>
        <v>Error?</v>
      </c>
    </row>
    <row r="1121" spans="1:4" x14ac:dyDescent="0.2">
      <c r="A1121" s="5">
        <v>1060</v>
      </c>
      <c r="B1121" s="138">
        <f>'Expenditures 15-22'!K50</f>
        <v>249056</v>
      </c>
      <c r="C1121" s="2" t="s">
        <v>573</v>
      </c>
      <c r="D1121" s="2" t="str">
        <f t="shared" si="16"/>
        <v>Error?</v>
      </c>
    </row>
    <row r="1122" spans="1:4" x14ac:dyDescent="0.2">
      <c r="A1122" s="5">
        <v>1061</v>
      </c>
      <c r="B1122" s="138">
        <f>'Expenditures 15-22'!K53</f>
        <v>727649</v>
      </c>
      <c r="C1122" s="2" t="s">
        <v>573</v>
      </c>
      <c r="D1122" s="2" t="str">
        <f t="shared" si="16"/>
        <v>Error?</v>
      </c>
    </row>
    <row r="1123" spans="1:4" x14ac:dyDescent="0.2">
      <c r="A1123" s="5">
        <v>1062</v>
      </c>
      <c r="B1123" s="138">
        <f>'Expenditures 15-22'!K55</f>
        <v>1600214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1600214</v>
      </c>
      <c r="C1125" s="2" t="s">
        <v>573</v>
      </c>
      <c r="D1125" s="2" t="str">
        <f t="shared" si="16"/>
        <v>Error?</v>
      </c>
    </row>
    <row r="1126" spans="1:4" x14ac:dyDescent="0.2">
      <c r="A1126" s="5">
        <v>1065</v>
      </c>
      <c r="B1126" s="138">
        <f>'Expenditures 15-22'!K59</f>
        <v>68750</v>
      </c>
      <c r="C1126" s="2" t="s">
        <v>573</v>
      </c>
      <c r="D1126" s="2" t="str">
        <f t="shared" si="16"/>
        <v>Error?</v>
      </c>
    </row>
    <row r="1127" spans="1:4" x14ac:dyDescent="0.2">
      <c r="A1127" s="5">
        <v>1066</v>
      </c>
      <c r="B1127" s="138">
        <f>'Expenditures 15-22'!K60</f>
        <v>814569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1618749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2502068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280835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11098</v>
      </c>
      <c r="C1137" s="2" t="s">
        <v>573</v>
      </c>
      <c r="D1137" s="2" t="str">
        <f t="shared" si="16"/>
        <v>Error?</v>
      </c>
    </row>
    <row r="1138" spans="1:4" x14ac:dyDescent="0.2">
      <c r="A1138" s="10">
        <v>1077</v>
      </c>
      <c r="D1138" s="2" t="str">
        <f t="shared" si="16"/>
        <v>OK</v>
      </c>
    </row>
    <row r="1139" spans="1:4" x14ac:dyDescent="0.2">
      <c r="A1139" s="5">
        <v>1078</v>
      </c>
      <c r="B1139" s="138">
        <f>'Expenditures 15-22'!K71</f>
        <v>880405</v>
      </c>
      <c r="C1139" s="2" t="s">
        <v>573</v>
      </c>
      <c r="D1139" s="2" t="str">
        <f t="shared" si="16"/>
        <v>Error?</v>
      </c>
    </row>
    <row r="1140" spans="1:4" x14ac:dyDescent="0.2">
      <c r="A1140" s="10">
        <v>1079</v>
      </c>
      <c r="D1140" s="2" t="str">
        <f t="shared" si="16"/>
        <v>OK</v>
      </c>
    </row>
    <row r="1141" spans="1:4" x14ac:dyDescent="0.2">
      <c r="A1141" s="5">
        <v>1080</v>
      </c>
      <c r="B1141" s="138">
        <f>'Expenditures 15-22'!K72</f>
        <v>1172338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9649282</v>
      </c>
      <c r="C1143" s="2" t="s">
        <v>573</v>
      </c>
      <c r="D1143" s="2" t="str">
        <f t="shared" si="16"/>
        <v>Error?</v>
      </c>
    </row>
    <row r="1144" spans="1:4" x14ac:dyDescent="0.2">
      <c r="A1144" s="5">
        <v>1083</v>
      </c>
      <c r="B1144" s="138">
        <f>'Expenditures 15-22'!K75</f>
        <v>264257</v>
      </c>
      <c r="C1144" s="2" t="s">
        <v>573</v>
      </c>
      <c r="D1144" s="2" t="str">
        <f t="shared" si="16"/>
        <v>Error?</v>
      </c>
    </row>
    <row r="1145" spans="1:4" x14ac:dyDescent="0.2">
      <c r="A1145" s="5">
        <v>1084</v>
      </c>
      <c r="B1145" s="138">
        <f>'Expenditures 15-22'!K102</f>
        <v>6663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32052884</v>
      </c>
      <c r="C1152" s="2" t="s">
        <v>573</v>
      </c>
      <c r="D1152" s="2" t="str">
        <f t="shared" si="17"/>
        <v>Error?</v>
      </c>
    </row>
    <row r="1153" spans="1:4" x14ac:dyDescent="0.2">
      <c r="A1153" s="5">
        <v>1092</v>
      </c>
      <c r="B1153" s="138">
        <f>'Expenditures 15-22'!K115</f>
        <v>3092760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1347186</v>
      </c>
      <c r="D1221" s="2" t="str">
        <f t="shared" si="18"/>
        <v>Error?</v>
      </c>
    </row>
    <row r="1222" spans="1:4" x14ac:dyDescent="0.2">
      <c r="A1222" s="10">
        <v>1161</v>
      </c>
      <c r="D1222" s="2" t="str">
        <f t="shared" si="18"/>
        <v>OK</v>
      </c>
    </row>
    <row r="1223" spans="1:4" x14ac:dyDescent="0.2">
      <c r="A1223" s="5">
        <v>1162</v>
      </c>
      <c r="B1223" s="138">
        <f>'Expenditures 15-22'!C127</f>
        <v>1347186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1347186</v>
      </c>
      <c r="C1225" s="2" t="s">
        <v>573</v>
      </c>
      <c r="D1225" s="2" t="str">
        <f t="shared" si="18"/>
        <v>Error?</v>
      </c>
    </row>
    <row r="1226" spans="1:4" x14ac:dyDescent="0.2">
      <c r="A1226" s="5">
        <v>1165</v>
      </c>
      <c r="B1226" s="138">
        <f>'Expenditures 15-22'!C151</f>
        <v>1347186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204010</v>
      </c>
      <c r="D1229" s="2" t="str">
        <f t="shared" si="18"/>
        <v>Error?</v>
      </c>
    </row>
    <row r="1230" spans="1:4" x14ac:dyDescent="0.2">
      <c r="A1230" s="10">
        <v>1169</v>
      </c>
      <c r="D1230" s="2" t="str">
        <f t="shared" si="18"/>
        <v>OK</v>
      </c>
    </row>
    <row r="1231" spans="1:4" x14ac:dyDescent="0.2">
      <c r="A1231" s="5">
        <v>1170</v>
      </c>
      <c r="B1231" s="138">
        <f>'Expenditures 15-22'!D127</f>
        <v>204010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204010</v>
      </c>
      <c r="C1233" s="2" t="s">
        <v>573</v>
      </c>
      <c r="D1233" s="2" t="str">
        <f t="shared" si="18"/>
        <v>Error?</v>
      </c>
    </row>
    <row r="1234" spans="1:4" x14ac:dyDescent="0.2">
      <c r="A1234" s="5">
        <v>1173</v>
      </c>
      <c r="B1234" s="138">
        <f>'Expenditures 15-22'!D151</f>
        <v>204010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13010</v>
      </c>
      <c r="D1236" s="2" t="str">
        <f t="shared" si="18"/>
        <v>Error?</v>
      </c>
    </row>
    <row r="1237" spans="1:4" x14ac:dyDescent="0.2">
      <c r="A1237" s="5">
        <v>1176</v>
      </c>
      <c r="B1237" s="138">
        <f>'Expenditures 15-22'!E124</f>
        <v>940234</v>
      </c>
      <c r="D1237" s="2" t="str">
        <f t="shared" si="18"/>
        <v>Error?</v>
      </c>
    </row>
    <row r="1238" spans="1:4" x14ac:dyDescent="0.2">
      <c r="A1238" s="10">
        <v>1177</v>
      </c>
      <c r="D1238" s="2" t="str">
        <f t="shared" si="18"/>
        <v>OK</v>
      </c>
    </row>
    <row r="1239" spans="1:4" x14ac:dyDescent="0.2">
      <c r="A1239" s="5">
        <v>1178</v>
      </c>
      <c r="B1239" s="138">
        <f>'Expenditures 15-22'!E127</f>
        <v>953244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953244</v>
      </c>
      <c r="C1241" s="2" t="s">
        <v>573</v>
      </c>
      <c r="D1241" s="2" t="str">
        <f t="shared" si="18"/>
        <v>Error?</v>
      </c>
    </row>
    <row r="1242" spans="1:4" x14ac:dyDescent="0.2">
      <c r="A1242" s="5">
        <v>1181</v>
      </c>
      <c r="B1242" s="138">
        <f>'Expenditures 15-22'!E151</f>
        <v>953244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580058</v>
      </c>
      <c r="D1245" s="2" t="str">
        <f t="shared" si="18"/>
        <v>Error?</v>
      </c>
    </row>
    <row r="1246" spans="1:4" x14ac:dyDescent="0.2">
      <c r="A1246" s="10">
        <v>1185</v>
      </c>
      <c r="D1246" s="2" t="str">
        <f t="shared" si="18"/>
        <v>OK</v>
      </c>
    </row>
    <row r="1247" spans="1:4" x14ac:dyDescent="0.2">
      <c r="A1247" s="5">
        <v>1186</v>
      </c>
      <c r="B1247" s="138">
        <f>'Expenditures 15-22'!F127</f>
        <v>580058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580058</v>
      </c>
      <c r="C1249" s="2" t="s">
        <v>573</v>
      </c>
      <c r="D1249" s="2" t="str">
        <f t="shared" si="18"/>
        <v>Error?</v>
      </c>
    </row>
    <row r="1250" spans="1:4" x14ac:dyDescent="0.2">
      <c r="A1250" s="5">
        <v>1189</v>
      </c>
      <c r="B1250" s="138">
        <f>'Expenditures 15-22'!F151</f>
        <v>580058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6266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6266</v>
      </c>
      <c r="C1258" s="2" t="s">
        <v>573</v>
      </c>
      <c r="D1258" s="2" t="str">
        <f t="shared" si="18"/>
        <v>Error?</v>
      </c>
    </row>
    <row r="1259" spans="1:4" x14ac:dyDescent="0.2">
      <c r="A1259" s="5">
        <v>1198</v>
      </c>
      <c r="B1259" s="138">
        <f>'Expenditures 15-22'!G151</f>
        <v>6266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175714</v>
      </c>
      <c r="D1262" s="2" t="str">
        <f t="shared" si="18"/>
        <v>Error?</v>
      </c>
    </row>
    <row r="1263" spans="1:4" x14ac:dyDescent="0.2">
      <c r="A1263" s="10">
        <v>1202</v>
      </c>
      <c r="D1263" s="2" t="str">
        <f t="shared" si="18"/>
        <v>OK</v>
      </c>
    </row>
    <row r="1264" spans="1:4" x14ac:dyDescent="0.2">
      <c r="A1264" s="5">
        <v>1203</v>
      </c>
      <c r="B1264" s="138">
        <f>'Expenditures 15-22'!H127</f>
        <v>175714</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175714</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175714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13010</v>
      </c>
      <c r="C1275" s="2" t="s">
        <v>573</v>
      </c>
      <c r="D1275" s="2" t="str">
        <f t="shared" si="18"/>
        <v>Error?</v>
      </c>
    </row>
    <row r="1276" spans="1:4" x14ac:dyDescent="0.2">
      <c r="A1276" s="5">
        <v>1215</v>
      </c>
      <c r="B1276" s="138">
        <f>'Expenditures 15-22'!K124</f>
        <v>3253468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3266478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3266478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3266478</v>
      </c>
      <c r="C1288" s="2" t="s">
        <v>573</v>
      </c>
      <c r="D1288" s="2" t="str">
        <f t="shared" si="19"/>
        <v>Error?</v>
      </c>
    </row>
    <row r="1289" spans="1:4" x14ac:dyDescent="0.2">
      <c r="A1289" s="5">
        <v>1228</v>
      </c>
      <c r="B1289" s="138">
        <f>'Expenditures 15-22'!K152</f>
        <v>1047496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349725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349725</v>
      </c>
      <c r="C1339" s="2" t="s">
        <v>573</v>
      </c>
      <c r="D1339" s="2" t="str">
        <f t="shared" si="19"/>
        <v>Error?</v>
      </c>
    </row>
    <row r="1340" spans="1:4" x14ac:dyDescent="0.2">
      <c r="A1340" s="5">
        <v>1279</v>
      </c>
      <c r="B1340" s="138">
        <f>'Expenditures 15-22'!C210</f>
        <v>349725</v>
      </c>
      <c r="C1340" s="2" t="s">
        <v>573</v>
      </c>
      <c r="D1340" s="2" t="str">
        <f t="shared" si="19"/>
        <v>Error?</v>
      </c>
    </row>
    <row r="1341" spans="1:4" x14ac:dyDescent="0.2">
      <c r="A1341" s="5">
        <v>1280</v>
      </c>
      <c r="B1341" s="138">
        <f>'Expenditures 15-22'!D182</f>
        <v>74225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74225</v>
      </c>
      <c r="C1345" s="2" t="s">
        <v>573</v>
      </c>
      <c r="D1345" s="2" t="str">
        <f t="shared" si="20"/>
        <v>Error?</v>
      </c>
    </row>
    <row r="1346" spans="1:4" x14ac:dyDescent="0.2">
      <c r="A1346" s="5">
        <v>1285</v>
      </c>
      <c r="B1346" s="138">
        <f>'Expenditures 15-22'!D210</f>
        <v>74225</v>
      </c>
      <c r="C1346" s="2" t="s">
        <v>573</v>
      </c>
      <c r="D1346" s="2" t="str">
        <f t="shared" si="20"/>
        <v>Error?</v>
      </c>
    </row>
    <row r="1347" spans="1:4" x14ac:dyDescent="0.2">
      <c r="A1347" s="5">
        <v>1286</v>
      </c>
      <c r="B1347" s="138">
        <f>'Expenditures 15-22'!E182</f>
        <v>904923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904923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904923</v>
      </c>
      <c r="C1353" s="2" t="s">
        <v>573</v>
      </c>
      <c r="D1353" s="2" t="str">
        <f t="shared" si="20"/>
        <v>Error?</v>
      </c>
    </row>
    <row r="1354" spans="1:4" x14ac:dyDescent="0.2">
      <c r="A1354" s="5">
        <v>1293</v>
      </c>
      <c r="B1354" s="138">
        <f>'Expenditures 15-22'!F182</f>
        <v>21944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21944</v>
      </c>
      <c r="C1358" s="2" t="s">
        <v>573</v>
      </c>
      <c r="D1358" s="2" t="str">
        <f t="shared" si="20"/>
        <v>Error?</v>
      </c>
    </row>
    <row r="1359" spans="1:4" x14ac:dyDescent="0.2">
      <c r="A1359" s="5">
        <v>1298</v>
      </c>
      <c r="B1359" s="138">
        <f>'Expenditures 15-22'!F210</f>
        <v>21944</v>
      </c>
      <c r="C1359" s="2" t="s">
        <v>573</v>
      </c>
      <c r="D1359" s="2" t="str">
        <f t="shared" si="20"/>
        <v>Error?</v>
      </c>
    </row>
    <row r="1360" spans="1:4" x14ac:dyDescent="0.2">
      <c r="A1360" s="5">
        <v>1299</v>
      </c>
      <c r="B1360" s="138">
        <f>'Expenditures 15-22'!G182</f>
        <v>264315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264315</v>
      </c>
      <c r="C1364" s="2" t="s">
        <v>573</v>
      </c>
      <c r="D1364" s="2" t="str">
        <f t="shared" si="20"/>
        <v>Error?</v>
      </c>
    </row>
    <row r="1365" spans="1:4" x14ac:dyDescent="0.2">
      <c r="A1365" s="5">
        <v>1304</v>
      </c>
      <c r="B1365" s="138">
        <f>'Expenditures 15-22'!G210</f>
        <v>264315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1615132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1615132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1615132</v>
      </c>
      <c r="C1388" s="2" t="s">
        <v>573</v>
      </c>
      <c r="D1388" s="2" t="str">
        <f t="shared" si="20"/>
        <v>Error?</v>
      </c>
    </row>
    <row r="1389" spans="1:4" x14ac:dyDescent="0.2">
      <c r="A1389" s="5">
        <v>1328</v>
      </c>
      <c r="B1389" s="138">
        <f>'Expenditures 15-22'!K211</f>
        <v>124838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48624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5770</v>
      </c>
      <c r="D1408" s="2" t="str">
        <f t="shared" si="21"/>
        <v>Error?</v>
      </c>
    </row>
    <row r="1409" spans="1:4" x14ac:dyDescent="0.2">
      <c r="A1409" s="5">
        <v>1348</v>
      </c>
      <c r="B1409" s="138">
        <f>'Expenditures 15-22'!D224</f>
        <v>4362</v>
      </c>
      <c r="D1409" s="2" t="str">
        <f t="shared" si="21"/>
        <v>Error?</v>
      </c>
    </row>
    <row r="1410" spans="1:4" x14ac:dyDescent="0.2">
      <c r="A1410" s="5">
        <v>1349</v>
      </c>
      <c r="B1410" s="138">
        <f>'Expenditures 15-22'!D229</f>
        <v>410994</v>
      </c>
      <c r="C1410" s="2" t="s">
        <v>573</v>
      </c>
      <c r="D1410" s="2" t="str">
        <f t="shared" si="21"/>
        <v>Error?</v>
      </c>
    </row>
    <row r="1411" spans="1:4" x14ac:dyDescent="0.2">
      <c r="A1411" s="5">
        <v>1350</v>
      </c>
      <c r="B1411" s="138">
        <f>'Expenditures 15-22'!D232</f>
        <v>6220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34983</v>
      </c>
      <c r="D1413" s="2" t="str">
        <f t="shared" si="21"/>
        <v>Error?</v>
      </c>
    </row>
    <row r="1414" spans="1:4" x14ac:dyDescent="0.2">
      <c r="A1414" s="5">
        <v>1353</v>
      </c>
      <c r="B1414" s="138">
        <f>'Expenditures 15-22'!D235</f>
        <v>3184</v>
      </c>
      <c r="D1414" s="2" t="str">
        <f t="shared" si="21"/>
        <v>Error?</v>
      </c>
    </row>
    <row r="1415" spans="1:4" x14ac:dyDescent="0.2">
      <c r="A1415" s="5">
        <v>1354</v>
      </c>
      <c r="B1415" s="138">
        <f>'Expenditures 15-22'!D236</f>
        <v>3350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47737</v>
      </c>
      <c r="C1417" s="2" t="s">
        <v>573</v>
      </c>
      <c r="D1417" s="2" t="str">
        <f t="shared" si="21"/>
        <v>Error?</v>
      </c>
    </row>
    <row r="1418" spans="1:4" x14ac:dyDescent="0.2">
      <c r="A1418" s="5">
        <v>1357</v>
      </c>
      <c r="B1418" s="138">
        <f>'Expenditures 15-22'!D240</f>
        <v>22228</v>
      </c>
      <c r="D1418" s="2" t="str">
        <f t="shared" si="21"/>
        <v>Error?</v>
      </c>
    </row>
    <row r="1419" spans="1:4" x14ac:dyDescent="0.2">
      <c r="A1419" s="5">
        <v>1358</v>
      </c>
      <c r="B1419" s="138">
        <f>'Expenditures 15-22'!D241</f>
        <v>17148</v>
      </c>
      <c r="D1419" s="2" t="str">
        <f t="shared" si="21"/>
        <v>Error?</v>
      </c>
    </row>
    <row r="1420" spans="1:4" x14ac:dyDescent="0.2">
      <c r="A1420" s="5">
        <v>1359</v>
      </c>
      <c r="B1420" s="138">
        <f>'Expenditures 15-22'!D242</f>
        <v>1603</v>
      </c>
      <c r="D1420" s="2" t="str">
        <f t="shared" si="21"/>
        <v>Error?</v>
      </c>
    </row>
    <row r="1421" spans="1:4" x14ac:dyDescent="0.2">
      <c r="A1421" s="5">
        <v>1360</v>
      </c>
      <c r="B1421" s="138">
        <f>'Expenditures 15-22'!D243</f>
        <v>40979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108</v>
      </c>
      <c r="D1423" s="2" t="str">
        <f t="shared" si="21"/>
        <v>Error?</v>
      </c>
    </row>
    <row r="1424" spans="1:4" x14ac:dyDescent="0.2">
      <c r="A1424" s="5">
        <v>1363</v>
      </c>
      <c r="B1424" s="138">
        <f>'Expenditures 15-22'!D257</f>
        <v>20346</v>
      </c>
      <c r="C1424" s="2" t="s">
        <v>573</v>
      </c>
      <c r="D1424" s="2" t="str">
        <f t="shared" si="21"/>
        <v>Error?</v>
      </c>
    </row>
    <row r="1425" spans="1:4" x14ac:dyDescent="0.2">
      <c r="A1425" s="5">
        <v>1364</v>
      </c>
      <c r="B1425" s="138">
        <f>'Expenditures 15-22'!D259</f>
        <v>85743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85743</v>
      </c>
      <c r="C1427" s="2" t="s">
        <v>573</v>
      </c>
      <c r="D1427" s="2" t="str">
        <f t="shared" si="21"/>
        <v>Error?</v>
      </c>
    </row>
    <row r="1428" spans="1:4" x14ac:dyDescent="0.2">
      <c r="A1428" s="5">
        <v>1367</v>
      </c>
      <c r="B1428" s="138">
        <f>'Expenditures 15-22'!D263</f>
        <v>21326</v>
      </c>
      <c r="D1428" s="2" t="str">
        <f t="shared" si="21"/>
        <v>Error?</v>
      </c>
    </row>
    <row r="1429" spans="1:4" x14ac:dyDescent="0.2">
      <c r="A1429" s="5">
        <v>1368</v>
      </c>
      <c r="B1429" s="138">
        <f>'Expenditures 15-22'!D264</f>
        <v>80930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228870</v>
      </c>
      <c r="D1431" s="2" t="str">
        <f t="shared" si="21"/>
        <v>Error?</v>
      </c>
    </row>
    <row r="1432" spans="1:4" x14ac:dyDescent="0.2">
      <c r="A1432" s="5">
        <v>1371</v>
      </c>
      <c r="B1432" s="138">
        <f>'Expenditures 15-22'!D267</f>
        <v>58087</v>
      </c>
      <c r="D1432" s="2" t="str">
        <f t="shared" si="21"/>
        <v>Error?</v>
      </c>
    </row>
    <row r="1433" spans="1:4" x14ac:dyDescent="0.2">
      <c r="A1433" s="5">
        <v>1372</v>
      </c>
      <c r="B1433" s="138">
        <f>'Expenditures 15-22'!D268</f>
        <v>70784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459997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9626</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2859</v>
      </c>
      <c r="D1440" s="2" t="str">
        <f t="shared" si="21"/>
        <v>Error?</v>
      </c>
    </row>
    <row r="1441" spans="1:4" x14ac:dyDescent="0.2">
      <c r="A1441" s="10">
        <v>1380</v>
      </c>
      <c r="D1441" s="2" t="str">
        <f t="shared" si="21"/>
        <v>OK</v>
      </c>
    </row>
    <row r="1442" spans="1:4" x14ac:dyDescent="0.2">
      <c r="A1442" s="5">
        <v>1381</v>
      </c>
      <c r="B1442" s="138">
        <f>'Expenditures 15-22'!D276</f>
        <v>50043</v>
      </c>
      <c r="D1442" s="2" t="str">
        <f t="shared" si="21"/>
        <v>Error?</v>
      </c>
    </row>
    <row r="1443" spans="1:4" x14ac:dyDescent="0.2">
      <c r="A1443" s="10">
        <v>1382</v>
      </c>
      <c r="D1443" s="2" t="str">
        <f t="shared" si="21"/>
        <v>OK</v>
      </c>
    </row>
    <row r="1444" spans="1:4" x14ac:dyDescent="0.2">
      <c r="A1444" s="5">
        <v>1383</v>
      </c>
      <c r="B1444" s="138">
        <f>'Expenditures 15-22'!D277</f>
        <v>62528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717330</v>
      </c>
      <c r="C1446" s="2" t="s">
        <v>573</v>
      </c>
      <c r="D1446" s="2" t="str">
        <f t="shared" si="21"/>
        <v>Error?</v>
      </c>
    </row>
    <row r="1447" spans="1:4" x14ac:dyDescent="0.2">
      <c r="A1447" s="5">
        <v>1386</v>
      </c>
      <c r="B1447" s="138">
        <f>'Expenditures 15-22'!D280</f>
        <v>10709</v>
      </c>
      <c r="D1447" s="2" t="str">
        <f t="shared" si="21"/>
        <v>Error?</v>
      </c>
    </row>
    <row r="1448" spans="1:4" x14ac:dyDescent="0.2">
      <c r="A1448" s="5">
        <v>1387</v>
      </c>
      <c r="B1448" s="138">
        <f>'Expenditures 15-22'!D295</f>
        <v>1139033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1255</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48624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5770</v>
      </c>
      <c r="C1472" s="2" t="s">
        <v>573</v>
      </c>
      <c r="D1472" s="2" t="str">
        <f t="shared" si="22"/>
        <v>Error?</v>
      </c>
    </row>
    <row r="1473" spans="1:4" x14ac:dyDescent="0.2">
      <c r="A1473" s="5">
        <v>1412</v>
      </c>
      <c r="B1473" s="138">
        <f>'Expenditures 15-22'!K224</f>
        <v>4362</v>
      </c>
      <c r="C1473" s="2" t="s">
        <v>573</v>
      </c>
      <c r="D1473" s="2" t="str">
        <f t="shared" si="22"/>
        <v>Error?</v>
      </c>
    </row>
    <row r="1474" spans="1:4" x14ac:dyDescent="0.2">
      <c r="A1474" s="5">
        <v>1413</v>
      </c>
      <c r="B1474" s="138">
        <f>'Expenditures 15-22'!K229</f>
        <v>410994</v>
      </c>
      <c r="C1474" s="2" t="s">
        <v>573</v>
      </c>
      <c r="D1474" s="2" t="str">
        <f t="shared" si="22"/>
        <v>Error?</v>
      </c>
    </row>
    <row r="1475" spans="1:4" x14ac:dyDescent="0.2">
      <c r="A1475" s="5">
        <v>1414</v>
      </c>
      <c r="B1475" s="138">
        <f>'Expenditures 15-22'!K232</f>
        <v>6220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34983</v>
      </c>
      <c r="C1477" s="2" t="s">
        <v>573</v>
      </c>
      <c r="D1477" s="2" t="str">
        <f t="shared" si="22"/>
        <v>Error?</v>
      </c>
    </row>
    <row r="1478" spans="1:4" x14ac:dyDescent="0.2">
      <c r="A1478" s="5">
        <v>1417</v>
      </c>
      <c r="B1478" s="138">
        <f>'Expenditures 15-22'!K235</f>
        <v>3184</v>
      </c>
      <c r="C1478" s="2" t="s">
        <v>573</v>
      </c>
      <c r="D1478" s="2" t="str">
        <f t="shared" si="22"/>
        <v>Error?</v>
      </c>
    </row>
    <row r="1479" spans="1:4" x14ac:dyDescent="0.2">
      <c r="A1479" s="5">
        <v>1418</v>
      </c>
      <c r="B1479" s="138">
        <f>'Expenditures 15-22'!K236</f>
        <v>3350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47737</v>
      </c>
      <c r="C1481" s="2" t="s">
        <v>573</v>
      </c>
      <c r="D1481" s="2" t="str">
        <f t="shared" si="22"/>
        <v>Error?</v>
      </c>
    </row>
    <row r="1482" spans="1:4" x14ac:dyDescent="0.2">
      <c r="A1482" s="5">
        <v>1421</v>
      </c>
      <c r="B1482" s="138">
        <f>'Expenditures 15-22'!K240</f>
        <v>22228</v>
      </c>
      <c r="C1482" s="2" t="s">
        <v>573</v>
      </c>
      <c r="D1482" s="2" t="str">
        <f t="shared" si="22"/>
        <v>Error?</v>
      </c>
    </row>
    <row r="1483" spans="1:4" x14ac:dyDescent="0.2">
      <c r="A1483" s="5">
        <v>1422</v>
      </c>
      <c r="B1483" s="138">
        <f>'Expenditures 15-22'!K241</f>
        <v>17148</v>
      </c>
      <c r="C1483" s="2" t="s">
        <v>573</v>
      </c>
      <c r="D1483" s="2" t="str">
        <f t="shared" si="22"/>
        <v>Error?</v>
      </c>
    </row>
    <row r="1484" spans="1:4" x14ac:dyDescent="0.2">
      <c r="A1484" s="5">
        <v>1423</v>
      </c>
      <c r="B1484" s="138">
        <f>'Expenditures 15-22'!K242</f>
        <v>1603</v>
      </c>
      <c r="C1484" s="2" t="s">
        <v>573</v>
      </c>
      <c r="D1484" s="2" t="str">
        <f t="shared" si="22"/>
        <v>Error?</v>
      </c>
    </row>
    <row r="1485" spans="1:4" x14ac:dyDescent="0.2">
      <c r="A1485" s="5">
        <v>1424</v>
      </c>
      <c r="B1485" s="138">
        <f>'Expenditures 15-22'!K243</f>
        <v>40979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108</v>
      </c>
      <c r="C1487" s="2" t="s">
        <v>573</v>
      </c>
      <c r="D1487" s="2" t="str">
        <f t="shared" si="22"/>
        <v>Error?</v>
      </c>
    </row>
    <row r="1488" spans="1:4" x14ac:dyDescent="0.2">
      <c r="A1488" s="5">
        <v>1427</v>
      </c>
      <c r="B1488" s="138">
        <f>'Expenditures 15-22'!K257</f>
        <v>20346</v>
      </c>
      <c r="C1488" s="2" t="s">
        <v>573</v>
      </c>
      <c r="D1488" s="2" t="str">
        <f t="shared" si="22"/>
        <v>Error?</v>
      </c>
    </row>
    <row r="1489" spans="1:4" x14ac:dyDescent="0.2">
      <c r="A1489" s="5">
        <v>1428</v>
      </c>
      <c r="B1489" s="138">
        <f>'Expenditures 15-22'!K259</f>
        <v>85743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85743</v>
      </c>
      <c r="C1491" s="2" t="s">
        <v>573</v>
      </c>
      <c r="D1491" s="2" t="str">
        <f t="shared" si="22"/>
        <v>Error?</v>
      </c>
    </row>
    <row r="1492" spans="1:4" x14ac:dyDescent="0.2">
      <c r="A1492" s="5">
        <v>1431</v>
      </c>
      <c r="B1492" s="138">
        <f>'Expenditures 15-22'!K263</f>
        <v>21326</v>
      </c>
      <c r="C1492" s="2" t="s">
        <v>573</v>
      </c>
      <c r="D1492" s="2" t="str">
        <f t="shared" si="22"/>
        <v>Error?</v>
      </c>
    </row>
    <row r="1493" spans="1:4" x14ac:dyDescent="0.2">
      <c r="A1493" s="5">
        <v>1432</v>
      </c>
      <c r="B1493" s="138">
        <f>'Expenditures 15-22'!K264</f>
        <v>80930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228870</v>
      </c>
      <c r="C1495" s="2" t="s">
        <v>573</v>
      </c>
      <c r="D1495" s="2" t="str">
        <f t="shared" si="22"/>
        <v>Error?</v>
      </c>
    </row>
    <row r="1496" spans="1:4" x14ac:dyDescent="0.2">
      <c r="A1496" s="5">
        <v>1435</v>
      </c>
      <c r="B1496" s="138">
        <f>'Expenditures 15-22'!K267</f>
        <v>58087</v>
      </c>
      <c r="C1496" s="2" t="s">
        <v>573</v>
      </c>
      <c r="D1496" s="2" t="str">
        <f t="shared" si="22"/>
        <v>Error?</v>
      </c>
    </row>
    <row r="1497" spans="1:4" x14ac:dyDescent="0.2">
      <c r="A1497" s="5">
        <v>1436</v>
      </c>
      <c r="B1497" s="138">
        <f>'Expenditures 15-22'!K268</f>
        <v>70784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459997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9626</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2859</v>
      </c>
      <c r="C1504" s="2" t="s">
        <v>573</v>
      </c>
      <c r="D1504" s="2" t="str">
        <f t="shared" si="22"/>
        <v>Error?</v>
      </c>
    </row>
    <row r="1505" spans="1:4" x14ac:dyDescent="0.2">
      <c r="A1505" s="10">
        <v>1444</v>
      </c>
      <c r="D1505" s="2" t="str">
        <f t="shared" si="22"/>
        <v>OK</v>
      </c>
    </row>
    <row r="1506" spans="1:4" x14ac:dyDescent="0.2">
      <c r="A1506" s="5">
        <v>1445</v>
      </c>
      <c r="B1506" s="138">
        <f>'Expenditures 15-22'!K276</f>
        <v>50043</v>
      </c>
      <c r="C1506" s="2" t="s">
        <v>573</v>
      </c>
      <c r="D1506" s="2" t="str">
        <f t="shared" si="22"/>
        <v>Error?</v>
      </c>
    </row>
    <row r="1507" spans="1:4" x14ac:dyDescent="0.2">
      <c r="A1507" s="10">
        <v>1446</v>
      </c>
      <c r="D1507" s="2" t="str">
        <f t="shared" si="22"/>
        <v>OK</v>
      </c>
    </row>
    <row r="1508" spans="1:4" x14ac:dyDescent="0.2">
      <c r="A1508" s="5">
        <v>1447</v>
      </c>
      <c r="B1508" s="138">
        <f>'Expenditures 15-22'!K277</f>
        <v>62528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717330</v>
      </c>
      <c r="C1510" s="2" t="s">
        <v>573</v>
      </c>
      <c r="D1510" s="2" t="str">
        <f t="shared" si="22"/>
        <v>Error?</v>
      </c>
    </row>
    <row r="1511" spans="1:4" x14ac:dyDescent="0.2">
      <c r="A1511" s="5">
        <v>1450</v>
      </c>
      <c r="B1511" s="138">
        <f>'Expenditures 15-22'!K280</f>
        <v>10709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1139033</v>
      </c>
      <c r="C1517" s="2" t="s">
        <v>573</v>
      </c>
      <c r="D1517" s="2" t="str">
        <f t="shared" si="22"/>
        <v>Error?</v>
      </c>
    </row>
    <row r="1518" spans="1:4" x14ac:dyDescent="0.2">
      <c r="A1518" s="5">
        <v>1457</v>
      </c>
      <c r="B1518" s="138">
        <f>'Expenditures 15-22'!K296</f>
        <v>186901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42659816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45764971</v>
      </c>
      <c r="C1630" s="2" t="s">
        <v>573</v>
      </c>
      <c r="D1630" s="2" t="str">
        <f t="shared" si="24"/>
        <v>Error?</v>
      </c>
    </row>
    <row r="1631" spans="1:4" x14ac:dyDescent="0.2">
      <c r="A1631" s="5">
        <v>1570</v>
      </c>
      <c r="B1631" s="138">
        <f>'Acct Summary 7-8'!D79</f>
        <v>3836406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4883902</v>
      </c>
      <c r="C1644" s="2" t="s">
        <v>573</v>
      </c>
      <c r="D1644" s="2" t="str">
        <f t="shared" si="24"/>
        <v>Error?</v>
      </c>
    </row>
    <row r="1645" spans="1:4" x14ac:dyDescent="0.2">
      <c r="A1645" s="5">
        <v>1584</v>
      </c>
      <c r="B1645" s="138">
        <f>'Acct Summary 7-8'!E79</f>
        <v>7384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2485</v>
      </c>
      <c r="C1658" s="2" t="s">
        <v>573</v>
      </c>
      <c r="D1658" s="2" t="str">
        <f t="shared" si="24"/>
        <v>Error?</v>
      </c>
    </row>
    <row r="1659" spans="1:4" x14ac:dyDescent="0.2">
      <c r="A1659" s="5">
        <v>1598</v>
      </c>
      <c r="B1659" s="138">
        <f>'Acct Summary 7-8'!F79</f>
        <v>186458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313896</v>
      </c>
      <c r="C1672" s="2" t="s">
        <v>573</v>
      </c>
      <c r="D1672" s="2" t="str">
        <f t="shared" si="25"/>
        <v>Error?</v>
      </c>
    </row>
    <row r="1673" spans="1:4" x14ac:dyDescent="0.2">
      <c r="A1673" s="5">
        <v>1612</v>
      </c>
      <c r="B1673" s="138">
        <f>'Acct Summary 7-8'!G79</f>
        <v>40938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227839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5228426</v>
      </c>
      <c r="C1744" s="2" t="s">
        <v>573</v>
      </c>
      <c r="D1744" s="2" t="str">
        <f t="shared" si="26"/>
        <v>Error?</v>
      </c>
    </row>
    <row r="1745" spans="1:5" x14ac:dyDescent="0.2">
      <c r="A1745" s="5">
        <v>1684</v>
      </c>
      <c r="B1745" s="138">
        <f>'Tax Sched 23'!B5</f>
        <v>1156664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697529</v>
      </c>
      <c r="C1747" s="2" t="s">
        <v>573</v>
      </c>
      <c r="D1747" s="2" t="str">
        <f t="shared" si="26"/>
        <v>Error?</v>
      </c>
    </row>
    <row r="1748" spans="1:5" x14ac:dyDescent="0.2">
      <c r="A1748" s="5">
        <v>1687</v>
      </c>
      <c r="B1748" s="138">
        <f>'Tax Sched 23'!B8</f>
        <v>634379</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279569</v>
      </c>
      <c r="C1752" s="2" t="s">
        <v>573</v>
      </c>
      <c r="D1752" s="2" t="str">
        <f t="shared" si="26"/>
        <v>Error?</v>
      </c>
    </row>
    <row r="1753" spans="1:5" x14ac:dyDescent="0.2">
      <c r="A1753" s="5">
        <v>1692</v>
      </c>
      <c r="B1753" s="138">
        <f>'Tax Sched 23'!B12</f>
        <v>14209</v>
      </c>
      <c r="C1753" s="2" t="s">
        <v>573</v>
      </c>
      <c r="D1753" s="2" t="str">
        <f t="shared" si="26"/>
        <v>Error?</v>
      </c>
    </row>
    <row r="1754" spans="1:5" x14ac:dyDescent="0.2">
      <c r="A1754" s="5">
        <v>1693</v>
      </c>
      <c r="B1754" s="138">
        <f>'Tax Sched 23'!B14</f>
        <v>57599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8739471</v>
      </c>
      <c r="C1759" s="2" t="s">
        <v>573</v>
      </c>
      <c r="D1759" s="2" t="str">
        <f t="shared" si="26"/>
        <v>Error?</v>
      </c>
    </row>
    <row r="1760" spans="1:5" x14ac:dyDescent="0.2">
      <c r="A1760" s="5">
        <v>1699</v>
      </c>
      <c r="B1760" s="138">
        <f>'Tax Sched 23'!D4</f>
        <v>2473041</v>
      </c>
      <c r="C1760" s="2" t="s">
        <v>573</v>
      </c>
      <c r="D1760" s="2" t="str">
        <f t="shared" si="26"/>
        <v>Error?</v>
      </c>
    </row>
    <row r="1761" spans="1:5" x14ac:dyDescent="0.2">
      <c r="A1761" s="5">
        <v>1700</v>
      </c>
      <c r="B1761" s="138">
        <f>'Tax Sched 23'!D5</f>
        <v>538386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307180</v>
      </c>
      <c r="C1763" s="2" t="s">
        <v>573</v>
      </c>
      <c r="D1763" s="2" t="str">
        <f t="shared" si="26"/>
        <v>Error?</v>
      </c>
    </row>
    <row r="1764" spans="1:5" x14ac:dyDescent="0.2">
      <c r="A1764" s="5">
        <v>1703</v>
      </c>
      <c r="B1764" s="138">
        <f>'Tax Sched 23'!D8</f>
        <v>282065</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126074</v>
      </c>
      <c r="C1768" s="2" t="s">
        <v>573</v>
      </c>
      <c r="D1768" s="2" t="str">
        <f t="shared" si="26"/>
        <v>Error?</v>
      </c>
    </row>
    <row r="1769" spans="1:5" x14ac:dyDescent="0.2">
      <c r="A1769" s="5">
        <v>1708</v>
      </c>
      <c r="B1769" s="138">
        <f>'Tax Sched 23'!D12</f>
        <v>6266</v>
      </c>
      <c r="C1769" s="2" t="s">
        <v>573</v>
      </c>
      <c r="D1769" s="2" t="str">
        <f t="shared" si="26"/>
        <v>Error?</v>
      </c>
    </row>
    <row r="1770" spans="1:5" x14ac:dyDescent="0.2">
      <c r="A1770" s="5">
        <v>1709</v>
      </c>
      <c r="B1770" s="138">
        <f>'Tax Sched 23'!D14</f>
        <v>26806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4066872</v>
      </c>
      <c r="C1775" s="2" t="s">
        <v>573</v>
      </c>
      <c r="D1775" s="2" t="str">
        <f t="shared" si="26"/>
        <v>Error?</v>
      </c>
    </row>
    <row r="1776" spans="1:5" x14ac:dyDescent="0.2">
      <c r="A1776" s="5">
        <v>1715</v>
      </c>
      <c r="B1776" s="138">
        <f>'Tax Sched 23'!C4</f>
        <v>2755385</v>
      </c>
      <c r="D1776" s="2" t="str">
        <f t="shared" si="26"/>
        <v>Error?</v>
      </c>
    </row>
    <row r="1777" spans="1:4" x14ac:dyDescent="0.2">
      <c r="A1777" s="5">
        <v>1716</v>
      </c>
      <c r="B1777" s="138">
        <f>'Tax Sched 23'!C5</f>
        <v>618278</v>
      </c>
      <c r="D1777" s="2" t="str">
        <f t="shared" si="26"/>
        <v>Error?</v>
      </c>
    </row>
    <row r="1778" spans="1:4" x14ac:dyDescent="0.2">
      <c r="A1778" s="5">
        <v>1717</v>
      </c>
      <c r="B1778" s="138">
        <f>'Tax Sched 23'!C6</f>
        <v>0</v>
      </c>
      <c r="D1778" s="2" t="str">
        <f t="shared" si="26"/>
        <v>Error?</v>
      </c>
    </row>
    <row r="1779" spans="1:4" x14ac:dyDescent="0.2">
      <c r="A1779" s="5">
        <v>1718</v>
      </c>
      <c r="B1779" s="138">
        <f>'Tax Sched 23'!C7</f>
        <v>390349</v>
      </c>
      <c r="D1779" s="2" t="str">
        <f t="shared" si="26"/>
        <v>Error?</v>
      </c>
    </row>
    <row r="1780" spans="1:4" x14ac:dyDescent="0.2">
      <c r="A1780" s="5">
        <v>1719</v>
      </c>
      <c r="B1780" s="138">
        <f>'Tax Sched 23'!C8</f>
        <v>352314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153495</v>
      </c>
      <c r="D1784" s="2" t="str">
        <f t="shared" si="26"/>
        <v>Error?</v>
      </c>
    </row>
    <row r="1785" spans="1:4" x14ac:dyDescent="0.2">
      <c r="A1785" s="5">
        <v>1724</v>
      </c>
      <c r="B1785" s="138">
        <f>'Tax Sched 23'!C12</f>
        <v>7943</v>
      </c>
      <c r="D1785" s="2" t="str">
        <f t="shared" si="26"/>
        <v>Error?</v>
      </c>
    </row>
    <row r="1786" spans="1:4" x14ac:dyDescent="0.2">
      <c r="A1786" s="5">
        <v>1725</v>
      </c>
      <c r="B1786" s="138">
        <f>'Tax Sched 23'!C14</f>
        <v>30793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4672599</v>
      </c>
      <c r="C1791" s="2" t="s">
        <v>573</v>
      </c>
      <c r="D1791" s="2" t="str">
        <f t="shared" ref="D1791:D1854" si="27">IF(ISBLANK(B1791),"OK",IF(A1791-B1791=0,"OK","Error?"))</f>
        <v>Error?</v>
      </c>
    </row>
    <row r="1792" spans="1:4" x14ac:dyDescent="0.2">
      <c r="A1792" s="5">
        <v>1731</v>
      </c>
      <c r="B1792" s="138">
        <f>'Tax Sched 23'!F4</f>
        <v>2641703</v>
      </c>
      <c r="C1792" s="2" t="s">
        <v>573</v>
      </c>
      <c r="D1792" s="2" t="str">
        <f t="shared" si="27"/>
        <v>Error?</v>
      </c>
    </row>
    <row r="1793" spans="1:4" x14ac:dyDescent="0.2">
      <c r="A1793" s="5">
        <v>1732</v>
      </c>
      <c r="B1793" s="138">
        <f>'Tax Sched 23'!F5</f>
        <v>592730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374224</v>
      </c>
      <c r="C1795" s="2" t="s">
        <v>573</v>
      </c>
      <c r="D1795" s="2" t="str">
        <f t="shared" si="27"/>
        <v>Error?</v>
      </c>
    </row>
    <row r="1796" spans="1:4" x14ac:dyDescent="0.2">
      <c r="A1796" s="5">
        <v>1735</v>
      </c>
      <c r="B1796" s="138">
        <f>'Tax Sched 23'!F8</f>
        <v>337731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147120</v>
      </c>
      <c r="C1800" s="2" t="s">
        <v>573</v>
      </c>
      <c r="D1800" s="2" t="str">
        <f t="shared" si="27"/>
        <v>Error?</v>
      </c>
    </row>
    <row r="1801" spans="1:4" x14ac:dyDescent="0.2">
      <c r="A1801" s="5">
        <v>1740</v>
      </c>
      <c r="B1801" s="138">
        <f>'Tax Sched 23'!F12</f>
        <v>7651</v>
      </c>
      <c r="C1801" s="2" t="s">
        <v>573</v>
      </c>
      <c r="D1801" s="2" t="str">
        <f t="shared" si="27"/>
        <v>Error?</v>
      </c>
    </row>
    <row r="1802" spans="1:4" x14ac:dyDescent="0.2">
      <c r="A1802" s="5">
        <v>1741</v>
      </c>
      <c r="B1802" s="138">
        <f>'Tax Sched 23'!F14</f>
        <v>29495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4479663</v>
      </c>
      <c r="C1807" s="2" t="s">
        <v>573</v>
      </c>
      <c r="D1807" s="2" t="str">
        <f t="shared" si="27"/>
        <v>Error?</v>
      </c>
    </row>
    <row r="1808" spans="1:4" x14ac:dyDescent="0.2">
      <c r="A1808" s="5">
        <v>1747</v>
      </c>
      <c r="B1808" s="138">
        <f>'Tax Sched 23'!E4</f>
        <v>5397088</v>
      </c>
      <c r="D1808" s="2" t="str">
        <f t="shared" si="27"/>
        <v>Error?</v>
      </c>
    </row>
    <row r="1809" spans="1:4" x14ac:dyDescent="0.2">
      <c r="A1809" s="5">
        <v>1748</v>
      </c>
      <c r="B1809" s="138">
        <f>'Tax Sched 23'!E5</f>
        <v>1211008</v>
      </c>
      <c r="D1809" s="2" t="str">
        <f t="shared" si="27"/>
        <v>Error?</v>
      </c>
    </row>
    <row r="1810" spans="1:4" x14ac:dyDescent="0.2">
      <c r="A1810" s="5">
        <v>1749</v>
      </c>
      <c r="B1810" s="138">
        <f>'Tax Sched 23'!E6</f>
        <v>0</v>
      </c>
      <c r="D1810" s="2" t="str">
        <f t="shared" si="27"/>
        <v>Error?</v>
      </c>
    </row>
    <row r="1811" spans="1:4" x14ac:dyDescent="0.2">
      <c r="A1811" s="5">
        <v>1750</v>
      </c>
      <c r="B1811" s="138">
        <f>'Tax Sched 23'!E7</f>
        <v>764573</v>
      </c>
      <c r="D1811" s="2" t="str">
        <f t="shared" si="27"/>
        <v>Error?</v>
      </c>
    </row>
    <row r="1812" spans="1:4" x14ac:dyDescent="0.2">
      <c r="A1812" s="5">
        <v>1751</v>
      </c>
      <c r="B1812" s="138">
        <f>'Tax Sched 23'!E8</f>
        <v>690045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300615</v>
      </c>
      <c r="D1816" s="2" t="str">
        <f t="shared" si="27"/>
        <v>Error?</v>
      </c>
    </row>
    <row r="1817" spans="1:4" x14ac:dyDescent="0.2">
      <c r="A1817" s="5">
        <v>1756</v>
      </c>
      <c r="B1817" s="138">
        <f>'Tax Sched 23'!E12</f>
        <v>15594</v>
      </c>
      <c r="D1817" s="2" t="str">
        <f t="shared" si="27"/>
        <v>Error?</v>
      </c>
    </row>
    <row r="1818" spans="1:4" x14ac:dyDescent="0.2">
      <c r="A1818" s="5">
        <v>1757</v>
      </c>
      <c r="B1818" s="138">
        <f>'Tax Sched 23'!E14</f>
        <v>60288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9152262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57599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57599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57599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255810</v>
      </c>
      <c r="D2008" s="2" t="str">
        <f t="shared" si="30"/>
        <v>Error?</v>
      </c>
    </row>
    <row r="2009" spans="1:4" x14ac:dyDescent="0.2">
      <c r="A2009" s="5">
        <v>1948</v>
      </c>
      <c r="B2009" s="138">
        <f>'Cap Outlay Deprec 26'!C8</f>
        <v>45437339</v>
      </c>
      <c r="D2009" s="2" t="str">
        <f t="shared" si="30"/>
        <v>Error?</v>
      </c>
    </row>
    <row r="2010" spans="1:4" x14ac:dyDescent="0.2">
      <c r="A2010" s="5">
        <v>1949</v>
      </c>
      <c r="B2010" s="138">
        <f>'Cap Outlay Deprec 26'!C10</f>
        <v>606699</v>
      </c>
      <c r="D2010" s="2" t="str">
        <f t="shared" si="30"/>
        <v>Error?</v>
      </c>
    </row>
    <row r="2011" spans="1:4" x14ac:dyDescent="0.2">
      <c r="A2011" s="5">
        <v>1950</v>
      </c>
      <c r="B2011" s="138">
        <f>'Cap Outlay Deprec 26'!C12</f>
        <v>3461637</v>
      </c>
      <c r="D2011" s="2" t="str">
        <f t="shared" si="30"/>
        <v>Error?</v>
      </c>
    </row>
    <row r="2012" spans="1:4" x14ac:dyDescent="0.2">
      <c r="A2012" s="5">
        <v>1951</v>
      </c>
      <c r="B2012" s="138">
        <f>'Cap Outlay Deprec 26'!C13</f>
        <v>519718</v>
      </c>
      <c r="D2012" s="2" t="str">
        <f t="shared" si="30"/>
        <v>Error?</v>
      </c>
    </row>
    <row r="2013" spans="1:4" x14ac:dyDescent="0.2">
      <c r="A2013" s="5">
        <v>1952</v>
      </c>
      <c r="B2013" s="138">
        <f>'Cap Outlay Deprec 26'!C16</f>
        <v>50281203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238063</v>
      </c>
      <c r="D2017" s="2" t="str">
        <f t="shared" si="30"/>
        <v>Error?</v>
      </c>
    </row>
    <row r="2018" spans="1:4" x14ac:dyDescent="0.2">
      <c r="A2018" s="5">
        <v>1957</v>
      </c>
      <c r="B2018" s="138">
        <f>'Cap Outlay Deprec 26'!D13</f>
        <v>261187</v>
      </c>
      <c r="D2018" s="2" t="str">
        <f t="shared" si="30"/>
        <v>Error?</v>
      </c>
    </row>
    <row r="2019" spans="1:4" x14ac:dyDescent="0.2">
      <c r="A2019" s="5">
        <v>1958</v>
      </c>
      <c r="B2019" s="138">
        <f>'Cap Outlay Deprec 26'!D16</f>
        <v>499250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167406</v>
      </c>
      <c r="D2023" s="2" t="str">
        <f t="shared" si="30"/>
        <v>Error?</v>
      </c>
    </row>
    <row r="2024" spans="1:4" x14ac:dyDescent="0.2">
      <c r="A2024" s="5">
        <v>1963</v>
      </c>
      <c r="B2024" s="138">
        <f>'Cap Outlay Deprec 26'!E13</f>
        <v>119274</v>
      </c>
      <c r="D2024" s="2" t="str">
        <f t="shared" si="30"/>
        <v>Error?</v>
      </c>
    </row>
    <row r="2025" spans="1:4" x14ac:dyDescent="0.2">
      <c r="A2025" s="5">
        <v>1964</v>
      </c>
      <c r="B2025" s="138">
        <f>'Cap Outlay Deprec 26'!E16</f>
        <v>286680</v>
      </c>
      <c r="C2025" s="2" t="s">
        <v>573</v>
      </c>
      <c r="D2025" s="2" t="str">
        <f t="shared" si="30"/>
        <v>Error?</v>
      </c>
    </row>
    <row r="2026" spans="1:4" x14ac:dyDescent="0.2">
      <c r="A2026" s="5">
        <v>1965</v>
      </c>
      <c r="B2026" s="138">
        <f>'Cap Outlay Deprec 26'!F5</f>
        <v>255810</v>
      </c>
      <c r="C2026" s="2" t="s">
        <v>573</v>
      </c>
      <c r="D2026" s="2" t="str">
        <f t="shared" si="30"/>
        <v>Error?</v>
      </c>
    </row>
    <row r="2027" spans="1:4" x14ac:dyDescent="0.2">
      <c r="A2027" s="5">
        <v>1966</v>
      </c>
      <c r="B2027" s="138">
        <f>'Cap Outlay Deprec 26'!F8</f>
        <v>45437339</v>
      </c>
      <c r="C2027" s="2" t="s">
        <v>573</v>
      </c>
      <c r="D2027" s="2" t="str">
        <f t="shared" si="30"/>
        <v>Error?</v>
      </c>
    </row>
    <row r="2028" spans="1:4" x14ac:dyDescent="0.2">
      <c r="A2028" s="5">
        <v>1967</v>
      </c>
      <c r="B2028" s="138">
        <f>'Cap Outlay Deprec 26'!F10</f>
        <v>606699</v>
      </c>
      <c r="C2028" s="2" t="s">
        <v>573</v>
      </c>
      <c r="D2028" s="2" t="str">
        <f t="shared" si="30"/>
        <v>Error?</v>
      </c>
    </row>
    <row r="2029" spans="1:4" x14ac:dyDescent="0.2">
      <c r="A2029" s="5">
        <v>1968</v>
      </c>
      <c r="B2029" s="138">
        <f>'Cap Outlay Deprec 26'!F12</f>
        <v>3532294</v>
      </c>
      <c r="C2029" s="2" t="s">
        <v>573</v>
      </c>
      <c r="D2029" s="2" t="str">
        <f t="shared" si="30"/>
        <v>Error?</v>
      </c>
    </row>
    <row r="2030" spans="1:4" x14ac:dyDescent="0.2">
      <c r="A2030" s="5">
        <v>1969</v>
      </c>
      <c r="B2030" s="138">
        <f>'Cap Outlay Deprec 26'!F13</f>
        <v>661631</v>
      </c>
      <c r="C2030" s="2" t="s">
        <v>573</v>
      </c>
      <c r="D2030" s="2" t="str">
        <f t="shared" si="30"/>
        <v>Error?</v>
      </c>
    </row>
    <row r="2031" spans="1:4" x14ac:dyDescent="0.2">
      <c r="A2031" s="5">
        <v>1970</v>
      </c>
      <c r="B2031" s="138">
        <f>'Cap Outlay Deprec 26'!F16</f>
        <v>50493773</v>
      </c>
      <c r="C2031" s="2" t="s">
        <v>573</v>
      </c>
      <c r="D2031" s="2" t="str">
        <f t="shared" si="30"/>
        <v>Error?</v>
      </c>
    </row>
    <row r="2032" spans="1:4" x14ac:dyDescent="0.2">
      <c r="A2032" s="10">
        <v>1971</v>
      </c>
      <c r="D2032" s="2" t="str">
        <f t="shared" si="30"/>
        <v>OK</v>
      </c>
    </row>
    <row r="2033" spans="1:4" x14ac:dyDescent="0.2">
      <c r="A2033" s="5">
        <v>1972</v>
      </c>
      <c r="B2033" s="138">
        <f>'Cap Outlay Deprec 26'!H8</f>
        <v>15692747</v>
      </c>
      <c r="D2033" s="2" t="str">
        <f t="shared" si="30"/>
        <v>Error?</v>
      </c>
    </row>
    <row r="2034" spans="1:4" x14ac:dyDescent="0.2">
      <c r="A2034" s="5">
        <v>1973</v>
      </c>
      <c r="B2034" s="138">
        <f>'Cap Outlay Deprec 26'!H10</f>
        <v>460362</v>
      </c>
      <c r="D2034" s="2" t="str">
        <f t="shared" si="30"/>
        <v>Error?</v>
      </c>
    </row>
    <row r="2035" spans="1:4" x14ac:dyDescent="0.2">
      <c r="A2035" s="5">
        <v>1974</v>
      </c>
      <c r="B2035" s="138">
        <f>'Cap Outlay Deprec 26'!H12</f>
        <v>2882037</v>
      </c>
      <c r="D2035" s="2" t="str">
        <f t="shared" si="30"/>
        <v>Error?</v>
      </c>
    </row>
    <row r="2036" spans="1:4" x14ac:dyDescent="0.2">
      <c r="A2036" s="5">
        <v>1975</v>
      </c>
      <c r="B2036" s="138">
        <f>'Cap Outlay Deprec 26'!H13</f>
        <v>455304</v>
      </c>
      <c r="D2036" s="2" t="str">
        <f t="shared" si="30"/>
        <v>Error?</v>
      </c>
    </row>
    <row r="2037" spans="1:4" x14ac:dyDescent="0.2">
      <c r="A2037" s="5">
        <v>1976</v>
      </c>
      <c r="B2037" s="138">
        <f>'Cap Outlay Deprec 26'!H16</f>
        <v>19490450</v>
      </c>
      <c r="C2037" s="2" t="s">
        <v>573</v>
      </c>
      <c r="D2037" s="2" t="str">
        <f t="shared" si="30"/>
        <v>Error?</v>
      </c>
    </row>
    <row r="2038" spans="1:4" x14ac:dyDescent="0.2">
      <c r="A2038" s="10">
        <v>1977</v>
      </c>
      <c r="D2038" s="2" t="str">
        <f t="shared" si="30"/>
        <v>OK</v>
      </c>
    </row>
    <row r="2039" spans="1:4" x14ac:dyDescent="0.2">
      <c r="A2039" s="5">
        <v>1978</v>
      </c>
      <c r="B2039" s="138">
        <f>'Cap Outlay Deprec 26'!I8</f>
        <v>1085627</v>
      </c>
      <c r="D2039" s="2" t="str">
        <f t="shared" si="30"/>
        <v>Error?</v>
      </c>
    </row>
    <row r="2040" spans="1:4" x14ac:dyDescent="0.2">
      <c r="A2040" s="5">
        <v>1979</v>
      </c>
      <c r="B2040" s="138">
        <f>'Cap Outlay Deprec 26'!I10</f>
        <v>23596</v>
      </c>
      <c r="D2040" s="2" t="str">
        <f t="shared" si="30"/>
        <v>Error?</v>
      </c>
    </row>
    <row r="2041" spans="1:4" x14ac:dyDescent="0.2">
      <c r="A2041" s="5">
        <v>1980</v>
      </c>
      <c r="B2041" s="138">
        <f>'Cap Outlay Deprec 26'!I12</f>
        <v>202551</v>
      </c>
      <c r="D2041" s="2" t="str">
        <f t="shared" si="30"/>
        <v>Error?</v>
      </c>
    </row>
    <row r="2042" spans="1:4" x14ac:dyDescent="0.2">
      <c r="A2042" s="5">
        <v>1981</v>
      </c>
      <c r="B2042" s="138">
        <f>'Cap Outlay Deprec 26'!I13</f>
        <v>27350</v>
      </c>
      <c r="D2042" s="2" t="str">
        <f t="shared" si="30"/>
        <v>Error?</v>
      </c>
    </row>
    <row r="2043" spans="1:4" x14ac:dyDescent="0.2">
      <c r="A2043" s="5">
        <v>1982</v>
      </c>
      <c r="B2043" s="138">
        <f>'Cap Outlay Deprec 26'!I16</f>
        <v>1339124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139362</v>
      </c>
      <c r="D2047" s="2" t="str">
        <f t="shared" ref="D2047:D2110" si="31">IF(ISBLANK(B2047),"OK",IF(A2047-B2047=0,"OK","Error?"))</f>
        <v>Error?</v>
      </c>
    </row>
    <row r="2048" spans="1:4" x14ac:dyDescent="0.2">
      <c r="A2048" s="5">
        <v>1987</v>
      </c>
      <c r="B2048" s="138">
        <f>'Cap Outlay Deprec 26'!J13</f>
        <v>119274</v>
      </c>
      <c r="D2048" s="2" t="str">
        <f t="shared" si="31"/>
        <v>Error?</v>
      </c>
    </row>
    <row r="2049" spans="1:4" x14ac:dyDescent="0.2">
      <c r="A2049" s="5">
        <v>1988</v>
      </c>
      <c r="B2049" s="138">
        <f>'Cap Outlay Deprec 26'!J16</f>
        <v>258636</v>
      </c>
      <c r="C2049" s="2" t="s">
        <v>573</v>
      </c>
      <c r="D2049" s="2" t="str">
        <f t="shared" si="31"/>
        <v>Error?</v>
      </c>
    </row>
    <row r="2050" spans="1:4" x14ac:dyDescent="0.2">
      <c r="A2050" s="10">
        <v>1989</v>
      </c>
      <c r="D2050" s="2" t="str">
        <f t="shared" si="31"/>
        <v>OK</v>
      </c>
    </row>
    <row r="2051" spans="1:4" x14ac:dyDescent="0.2">
      <c r="A2051" s="5">
        <v>1990</v>
      </c>
      <c r="B2051" s="138">
        <f>'Cap Outlay Deprec 26'!K8</f>
        <v>16778374</v>
      </c>
      <c r="C2051" s="2" t="s">
        <v>573</v>
      </c>
      <c r="D2051" s="2" t="str">
        <f t="shared" si="31"/>
        <v>Error?</v>
      </c>
    </row>
    <row r="2052" spans="1:4" x14ac:dyDescent="0.2">
      <c r="A2052" s="5">
        <v>1991</v>
      </c>
      <c r="B2052" s="138">
        <f>'Cap Outlay Deprec 26'!K10</f>
        <v>483958</v>
      </c>
      <c r="C2052" s="2" t="s">
        <v>573</v>
      </c>
      <c r="D2052" s="2" t="str">
        <f t="shared" si="31"/>
        <v>Error?</v>
      </c>
    </row>
    <row r="2053" spans="1:4" x14ac:dyDescent="0.2">
      <c r="A2053" s="5">
        <v>1992</v>
      </c>
      <c r="B2053" s="138">
        <f>'Cap Outlay Deprec 26'!K12</f>
        <v>2945226</v>
      </c>
      <c r="C2053" s="2" t="s">
        <v>573</v>
      </c>
      <c r="D2053" s="2" t="str">
        <f t="shared" si="31"/>
        <v>Error?</v>
      </c>
    </row>
    <row r="2054" spans="1:4" x14ac:dyDescent="0.2">
      <c r="A2054" s="5">
        <v>1993</v>
      </c>
      <c r="B2054" s="138">
        <f>'Cap Outlay Deprec 26'!K13</f>
        <v>363380</v>
      </c>
      <c r="C2054" s="2" t="s">
        <v>573</v>
      </c>
      <c r="D2054" s="2" t="str">
        <f t="shared" si="31"/>
        <v>Error?</v>
      </c>
    </row>
    <row r="2055" spans="1:4" x14ac:dyDescent="0.2">
      <c r="A2055" s="5">
        <v>1994</v>
      </c>
      <c r="B2055" s="138">
        <f>'Cap Outlay Deprec 26'!K16</f>
        <v>20570938</v>
      </c>
      <c r="C2055" s="2" t="s">
        <v>573</v>
      </c>
      <c r="D2055" s="2" t="str">
        <f t="shared" si="31"/>
        <v>Error?</v>
      </c>
    </row>
    <row r="2056" spans="1:4" x14ac:dyDescent="0.2">
      <c r="A2056" s="5">
        <v>1995</v>
      </c>
      <c r="B2056" s="138">
        <f>'Cap Outlay Deprec 26'!L5</f>
        <v>255810</v>
      </c>
      <c r="C2056" s="2" t="s">
        <v>573</v>
      </c>
      <c r="D2056" s="2" t="str">
        <f t="shared" si="31"/>
        <v>Error?</v>
      </c>
    </row>
    <row r="2057" spans="1:4" x14ac:dyDescent="0.2">
      <c r="A2057" s="5">
        <v>1996</v>
      </c>
      <c r="B2057" s="138">
        <f>'Cap Outlay Deprec 26'!L8</f>
        <v>28658965</v>
      </c>
      <c r="C2057" s="2" t="s">
        <v>573</v>
      </c>
      <c r="D2057" s="2" t="str">
        <f t="shared" si="31"/>
        <v>Error?</v>
      </c>
    </row>
    <row r="2058" spans="1:4" x14ac:dyDescent="0.2">
      <c r="A2058" s="5">
        <v>1997</v>
      </c>
      <c r="B2058" s="138">
        <f>'Cap Outlay Deprec 26'!L10</f>
        <v>122741</v>
      </c>
      <c r="C2058" s="2" t="s">
        <v>573</v>
      </c>
      <c r="D2058" s="2" t="str">
        <f t="shared" si="31"/>
        <v>Error?</v>
      </c>
    </row>
    <row r="2059" spans="1:4" x14ac:dyDescent="0.2">
      <c r="A2059" s="5">
        <v>1998</v>
      </c>
      <c r="B2059" s="138">
        <f>'Cap Outlay Deprec 26'!L12</f>
        <v>587068</v>
      </c>
      <c r="C2059" s="2" t="s">
        <v>573</v>
      </c>
      <c r="D2059" s="2" t="str">
        <f t="shared" si="31"/>
        <v>Error?</v>
      </c>
    </row>
    <row r="2060" spans="1:4" x14ac:dyDescent="0.2">
      <c r="A2060" s="5">
        <v>1999</v>
      </c>
      <c r="B2060" s="138">
        <f>'Cap Outlay Deprec 26'!L13</f>
        <v>298251</v>
      </c>
      <c r="C2060" s="2" t="s">
        <v>573</v>
      </c>
      <c r="D2060" s="2" t="str">
        <f t="shared" si="31"/>
        <v>Error?</v>
      </c>
    </row>
    <row r="2061" spans="1:4" x14ac:dyDescent="0.2">
      <c r="A2061" s="5">
        <v>2000</v>
      </c>
      <c r="B2061" s="138">
        <f>'Cap Outlay Deprec 26'!L16</f>
        <v>29922835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6478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6663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5902469</v>
      </c>
      <c r="C2551" s="2" t="s">
        <v>573</v>
      </c>
      <c r="D2551" s="2" t="str">
        <f t="shared" si="38"/>
        <v>Error?</v>
      </c>
    </row>
    <row r="2552" spans="1:4" x14ac:dyDescent="0.2">
      <c r="A2552" s="10">
        <v>2491</v>
      </c>
      <c r="D2552" s="2" t="str">
        <f t="shared" si="38"/>
        <v>OK</v>
      </c>
    </row>
    <row r="2553" spans="1:4" x14ac:dyDescent="0.2">
      <c r="A2553" s="5">
        <v>2492</v>
      </c>
      <c r="B2553" s="138">
        <f>'Acct Summary 7-8'!C6</f>
        <v>24215132</v>
      </c>
      <c r="C2553" s="2" t="s">
        <v>573</v>
      </c>
      <c r="D2553" s="2" t="str">
        <f t="shared" si="38"/>
        <v>Error?</v>
      </c>
    </row>
    <row r="2554" spans="1:4" x14ac:dyDescent="0.2">
      <c r="A2554" s="5">
        <v>2493</v>
      </c>
      <c r="B2554" s="138">
        <f>'Acct Summary 7-8'!C7</f>
        <v>4926207</v>
      </c>
      <c r="C2554" s="2" t="s">
        <v>573</v>
      </c>
      <c r="D2554" s="2" t="str">
        <f t="shared" si="38"/>
        <v>Error?</v>
      </c>
    </row>
    <row r="2555" spans="1:4" x14ac:dyDescent="0.2">
      <c r="A2555" s="5">
        <v>2494</v>
      </c>
      <c r="B2555" s="138">
        <f>'Acct Summary 7-8'!C8</f>
        <v>35145644</v>
      </c>
      <c r="C2555" s="2" t="s">
        <v>573</v>
      </c>
      <c r="D2555" s="2" t="str">
        <f t="shared" si="38"/>
        <v>Error?</v>
      </c>
    </row>
    <row r="2556" spans="1:4" x14ac:dyDescent="0.2">
      <c r="A2556" s="5">
        <v>2495</v>
      </c>
      <c r="B2556" s="138">
        <f>'Acct Summary 7-8'!C12</f>
        <v>22132682</v>
      </c>
      <c r="C2556" s="2" t="s">
        <v>573</v>
      </c>
      <c r="D2556" s="2" t="str">
        <f t="shared" si="38"/>
        <v>Error?</v>
      </c>
    </row>
    <row r="2557" spans="1:4" x14ac:dyDescent="0.2">
      <c r="A2557" s="5">
        <v>2496</v>
      </c>
      <c r="B2557" s="138">
        <f>'Acct Summary 7-8'!C13</f>
        <v>9649282</v>
      </c>
      <c r="C2557" s="2" t="s">
        <v>573</v>
      </c>
      <c r="D2557" s="2" t="str">
        <f t="shared" si="38"/>
        <v>Error?</v>
      </c>
    </row>
    <row r="2558" spans="1:4" x14ac:dyDescent="0.2">
      <c r="A2558" s="5">
        <v>2497</v>
      </c>
      <c r="B2558" s="138">
        <f>'Acct Summary 7-8'!C14</f>
        <v>264257</v>
      </c>
      <c r="C2558" s="2" t="s">
        <v>573</v>
      </c>
      <c r="D2558" s="2" t="str">
        <f t="shared" si="38"/>
        <v>Error?</v>
      </c>
    </row>
    <row r="2559" spans="1:4" x14ac:dyDescent="0.2">
      <c r="A2559" s="5">
        <v>2498</v>
      </c>
      <c r="B2559" s="138">
        <f>'Acct Summary 7-8'!C15</f>
        <v>6663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32052884</v>
      </c>
      <c r="C2561" s="2" t="s">
        <v>573</v>
      </c>
      <c r="D2561" s="2" t="str">
        <f t="shared" si="39"/>
        <v>Error?</v>
      </c>
    </row>
    <row r="2562" spans="1:4" x14ac:dyDescent="0.2">
      <c r="A2562" s="5">
        <v>2501</v>
      </c>
      <c r="B2562" s="138">
        <f>'Acct Summary 7-8'!C20</f>
        <v>3092760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1315293</v>
      </c>
      <c r="C2564" s="2" t="s">
        <v>573</v>
      </c>
      <c r="D2564" s="2" t="str">
        <f t="shared" si="39"/>
        <v>Error?</v>
      </c>
    </row>
    <row r="2565" spans="1:4" x14ac:dyDescent="0.2">
      <c r="A2565" s="10">
        <v>2504</v>
      </c>
      <c r="D2565" s="2" t="str">
        <f t="shared" si="39"/>
        <v>OK</v>
      </c>
    </row>
    <row r="2566" spans="1:4" x14ac:dyDescent="0.2">
      <c r="A2566" s="5">
        <v>2505</v>
      </c>
      <c r="B2566" s="138">
        <f>'Acct Summary 7-8'!D6</f>
        <v>2998681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4313974</v>
      </c>
      <c r="C2568" s="2" t="s">
        <v>573</v>
      </c>
      <c r="D2568" s="2" t="str">
        <f t="shared" si="39"/>
        <v>Error?</v>
      </c>
    </row>
    <row r="2569" spans="1:4" x14ac:dyDescent="0.2">
      <c r="A2569" s="5">
        <v>2508</v>
      </c>
      <c r="B2569" s="138">
        <f>'Acct Summary 7-8'!D13</f>
        <v>3266478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3266478</v>
      </c>
      <c r="C2573" s="2" t="s">
        <v>573</v>
      </c>
      <c r="D2573" s="2" t="str">
        <f t="shared" si="39"/>
        <v>Error?</v>
      </c>
    </row>
    <row r="2574" spans="1:4" x14ac:dyDescent="0.2">
      <c r="A2574" s="5">
        <v>2513</v>
      </c>
      <c r="B2574" s="138">
        <f>'Acct Summary 7-8'!D20</f>
        <v>1047496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702029</v>
      </c>
      <c r="C2591" s="2" t="s">
        <v>573</v>
      </c>
      <c r="D2591" s="2" t="str">
        <f t="shared" si="39"/>
        <v>Error?</v>
      </c>
    </row>
    <row r="2592" spans="1:4" x14ac:dyDescent="0.2">
      <c r="A2592" s="10">
        <v>2531</v>
      </c>
      <c r="D2592" s="2" t="str">
        <f t="shared" si="39"/>
        <v>OK</v>
      </c>
    </row>
    <row r="2593" spans="1:4" x14ac:dyDescent="0.2">
      <c r="A2593" s="5">
        <v>2532</v>
      </c>
      <c r="B2593" s="138">
        <f>'Acct Summary 7-8'!F6</f>
        <v>1037941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1739970</v>
      </c>
      <c r="C2595" s="2" t="s">
        <v>573</v>
      </c>
      <c r="D2595" s="2" t="str">
        <f t="shared" si="39"/>
        <v>Error?</v>
      </c>
    </row>
    <row r="2596" spans="1:4" x14ac:dyDescent="0.2">
      <c r="A2596" s="5">
        <v>2535</v>
      </c>
      <c r="B2596" s="138">
        <f>'Acct Summary 7-8'!F13</f>
        <v>1615132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1615132</v>
      </c>
      <c r="C2600" s="2" t="s">
        <v>573</v>
      </c>
      <c r="D2600" s="2" t="str">
        <f t="shared" si="39"/>
        <v>Error?</v>
      </c>
    </row>
    <row r="2601" spans="1:4" x14ac:dyDescent="0.2">
      <c r="A2601" s="5">
        <v>2540</v>
      </c>
      <c r="B2601" s="138">
        <f>'Acct Summary 7-8'!F20</f>
        <v>124838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1325934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1325934</v>
      </c>
      <c r="C2606" s="2" t="s">
        <v>573</v>
      </c>
      <c r="D2606" s="2" t="str">
        <f t="shared" si="39"/>
        <v>Error?</v>
      </c>
    </row>
    <row r="2607" spans="1:4" x14ac:dyDescent="0.2">
      <c r="A2607" s="5">
        <v>2546</v>
      </c>
      <c r="B2607" s="138">
        <f>'Acct Summary 7-8'!G12</f>
        <v>410994</v>
      </c>
      <c r="C2607" s="2" t="s">
        <v>573</v>
      </c>
      <c r="D2607" s="2" t="str">
        <f t="shared" si="39"/>
        <v>Error?</v>
      </c>
    </row>
    <row r="2608" spans="1:4" x14ac:dyDescent="0.2">
      <c r="A2608" s="5">
        <v>2547</v>
      </c>
      <c r="B2608" s="138">
        <f>'Acct Summary 7-8'!G13</f>
        <v>717330</v>
      </c>
      <c r="C2608" s="2" t="s">
        <v>573</v>
      </c>
      <c r="D2608" s="2" t="str">
        <f t="shared" si="39"/>
        <v>Error?</v>
      </c>
    </row>
    <row r="2609" spans="1:4" x14ac:dyDescent="0.2">
      <c r="A2609" s="5">
        <v>2548</v>
      </c>
      <c r="B2609" s="138">
        <f>'Acct Summary 7-8'!G14</f>
        <v>10709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1139033</v>
      </c>
      <c r="C2612" s="2" t="s">
        <v>573</v>
      </c>
      <c r="D2612" s="2" t="str">
        <f t="shared" si="39"/>
        <v>Error?</v>
      </c>
    </row>
    <row r="2613" spans="1:4" x14ac:dyDescent="0.2">
      <c r="A2613" s="5">
        <v>2552</v>
      </c>
      <c r="B2613" s="138">
        <f>'Acct Summary 7-8'!G20</f>
        <v>186901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240509</v>
      </c>
      <c r="D2718" s="2" t="str">
        <f t="shared" si="41"/>
        <v>Error?</v>
      </c>
    </row>
    <row r="2719" spans="1:4" x14ac:dyDescent="0.2">
      <c r="A2719" s="5">
        <v>2658</v>
      </c>
      <c r="B2719" s="138">
        <f>'Expenditures 15-22'!D51</f>
        <v>2411</v>
      </c>
      <c r="D2719" s="2" t="str">
        <f t="shared" si="41"/>
        <v>Error?</v>
      </c>
    </row>
    <row r="2720" spans="1:4" x14ac:dyDescent="0.2">
      <c r="A2720" s="5">
        <v>2659</v>
      </c>
      <c r="B2720" s="138">
        <f>'Expenditures 15-22'!E51</f>
        <v>28923</v>
      </c>
      <c r="D2720" s="2" t="str">
        <f t="shared" si="41"/>
        <v>Error?</v>
      </c>
    </row>
    <row r="2721" spans="1:4" x14ac:dyDescent="0.2">
      <c r="A2721" s="5">
        <v>2660</v>
      </c>
      <c r="B2721" s="138">
        <f>'Expenditures 15-22'!F51</f>
        <v>10016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281859</v>
      </c>
      <c r="C2724" s="2" t="s">
        <v>573</v>
      </c>
      <c r="D2724" s="2" t="str">
        <f t="shared" si="41"/>
        <v>Error?</v>
      </c>
    </row>
    <row r="2725" spans="1:4" x14ac:dyDescent="0.2">
      <c r="A2725" s="5">
        <v>2664</v>
      </c>
      <c r="B2725" s="138">
        <f>'Expenditures 15-22'!D247</f>
        <v>18942</v>
      </c>
      <c r="D2725" s="2" t="str">
        <f t="shared" si="41"/>
        <v>Error?</v>
      </c>
    </row>
    <row r="2726" spans="1:4" x14ac:dyDescent="0.2">
      <c r="A2726" s="5">
        <v>2665</v>
      </c>
      <c r="B2726" s="138">
        <f>'Expenditures 15-22'!K247</f>
        <v>18942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185</v>
      </c>
      <c r="C2789" s="2" t="s">
        <v>573</v>
      </c>
      <c r="D2789" s="2" t="str">
        <f t="shared" si="42"/>
        <v>Error?</v>
      </c>
    </row>
    <row r="2790" spans="1:4" x14ac:dyDescent="0.2">
      <c r="A2790" s="5">
        <v>2729</v>
      </c>
      <c r="B2790" s="138">
        <f>'Expenditures 15-22'!E102</f>
        <v>185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376523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67912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376523</v>
      </c>
      <c r="D2912" s="2" t="str">
        <f t="shared" si="44"/>
        <v>Error?</v>
      </c>
    </row>
    <row r="2913" spans="1:4" x14ac:dyDescent="0.2">
      <c r="A2913" s="5">
        <v>2852</v>
      </c>
      <c r="B2913" s="138">
        <f>'Assets-Liab 5-6'!I41</f>
        <v>376523</v>
      </c>
      <c r="C2913" s="2" t="s">
        <v>573</v>
      </c>
      <c r="D2913" s="2" t="str">
        <f t="shared" si="44"/>
        <v>Error?</v>
      </c>
    </row>
    <row r="2914" spans="1:4" x14ac:dyDescent="0.2">
      <c r="A2914" s="5">
        <v>2853</v>
      </c>
      <c r="B2914" s="138">
        <f>'Assets-Liab 5-6'!L33</f>
        <v>67912</v>
      </c>
      <c r="D2914" s="2" t="str">
        <f t="shared" si="44"/>
        <v>Error?</v>
      </c>
    </row>
    <row r="2915" spans="1:4" x14ac:dyDescent="0.2">
      <c r="A2915" s="10">
        <v>2854</v>
      </c>
      <c r="D2915" s="2" t="str">
        <f t="shared" si="44"/>
        <v>OK</v>
      </c>
    </row>
    <row r="2916" spans="1:4" x14ac:dyDescent="0.2">
      <c r="A2916" s="5">
        <v>2855</v>
      </c>
      <c r="B2916" s="138">
        <f>'Assets-Liab 5-6'!L34</f>
        <v>67912</v>
      </c>
      <c r="C2916" s="2" t="s">
        <v>573</v>
      </c>
      <c r="D2916" s="2" t="str">
        <f t="shared" si="44"/>
        <v>Error?</v>
      </c>
    </row>
    <row r="2917" spans="1:4" x14ac:dyDescent="0.2">
      <c r="A2917" s="5">
        <v>2856</v>
      </c>
      <c r="B2917" s="138">
        <f>'Assets-Liab 5-6'!L41</f>
        <v>67912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6478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6478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80212</v>
      </c>
      <c r="D3055" s="2" t="str">
        <f t="shared" si="46"/>
        <v>Error?</v>
      </c>
    </row>
    <row r="3056" spans="1:4" x14ac:dyDescent="0.2">
      <c r="A3056" s="5">
        <v>2995</v>
      </c>
      <c r="B3056" s="138">
        <f>'Expenditures 15-22'!D10</f>
        <v>18418</v>
      </c>
      <c r="D3056" s="2" t="str">
        <f t="shared" si="46"/>
        <v>Error?</v>
      </c>
    </row>
    <row r="3057" spans="1:4" x14ac:dyDescent="0.2">
      <c r="A3057" s="5">
        <v>2996</v>
      </c>
      <c r="B3057" s="138">
        <f>'Expenditures 15-22'!E10</f>
        <v>182051</v>
      </c>
      <c r="D3057" s="2" t="str">
        <f t="shared" si="46"/>
        <v>Error?</v>
      </c>
    </row>
    <row r="3058" spans="1:4" x14ac:dyDescent="0.2">
      <c r="A3058" s="5">
        <v>2997</v>
      </c>
      <c r="B3058" s="138">
        <f>'Expenditures 15-22'!F10</f>
        <v>193947</v>
      </c>
      <c r="D3058" s="2" t="str">
        <f t="shared" si="46"/>
        <v>Error?</v>
      </c>
    </row>
    <row r="3059" spans="1:4" x14ac:dyDescent="0.2">
      <c r="A3059" s="5">
        <v>2998</v>
      </c>
      <c r="B3059" s="138">
        <f>'Expenditures 15-22'!G10</f>
        <v>91011</v>
      </c>
      <c r="D3059" s="2" t="str">
        <f t="shared" si="46"/>
        <v>Error?</v>
      </c>
    </row>
    <row r="3060" spans="1:4" x14ac:dyDescent="0.2">
      <c r="A3060" s="5">
        <v>2999</v>
      </c>
      <c r="B3060" s="138">
        <f>'Expenditures 15-22'!H10</f>
        <v>1918</v>
      </c>
      <c r="D3060" s="2" t="str">
        <f t="shared" si="46"/>
        <v>Error?</v>
      </c>
    </row>
    <row r="3061" spans="1:4" x14ac:dyDescent="0.2">
      <c r="A3061" s="10">
        <v>3000</v>
      </c>
      <c r="D3061" s="2" t="str">
        <f t="shared" si="46"/>
        <v>OK</v>
      </c>
    </row>
    <row r="3062" spans="1:4" x14ac:dyDescent="0.2">
      <c r="A3062" s="5">
        <v>3001</v>
      </c>
      <c r="B3062" s="138">
        <f>'Expenditures 15-22'!K10</f>
        <v>579494</v>
      </c>
      <c r="C3062" s="2" t="s">
        <v>573</v>
      </c>
      <c r="D3062" s="2" t="str">
        <f t="shared" si="46"/>
        <v>Error?</v>
      </c>
    </row>
    <row r="3063" spans="1:4" x14ac:dyDescent="0.2">
      <c r="A3063" s="10">
        <v>3002</v>
      </c>
      <c r="D3063" s="2" t="str">
        <f t="shared" si="46"/>
        <v>OK</v>
      </c>
    </row>
    <row r="3064" spans="1:4" x14ac:dyDescent="0.2">
      <c r="A3064" s="5">
        <v>3003</v>
      </c>
      <c r="B3064" s="138">
        <f>'Expenditures 15-22'!D219</f>
        <v>577</v>
      </c>
      <c r="D3064" s="2" t="str">
        <f t="shared" si="46"/>
        <v>Error?</v>
      </c>
    </row>
    <row r="3065" spans="1:4" x14ac:dyDescent="0.2">
      <c r="A3065" s="5">
        <v>3004</v>
      </c>
      <c r="B3065" s="138">
        <f>'Expenditures 15-22'!K219</f>
        <v>577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5655</v>
      </c>
      <c r="C3225" s="2" t="s">
        <v>573</v>
      </c>
      <c r="D3225" s="2" t="str">
        <f t="shared" si="49"/>
        <v>Error?</v>
      </c>
    </row>
    <row r="3226" spans="1:4" x14ac:dyDescent="0.2">
      <c r="A3226" s="5">
        <v>3165</v>
      </c>
      <c r="B3226" s="138">
        <f>'Acct Summary 7-8'!I8</f>
        <v>5655</v>
      </c>
      <c r="C3226" s="2" t="s">
        <v>573</v>
      </c>
      <c r="D3226" s="2" t="str">
        <f t="shared" si="49"/>
        <v>Error?</v>
      </c>
    </row>
    <row r="3227" spans="1:4" x14ac:dyDescent="0.2">
      <c r="A3227" s="5">
        <v>3166</v>
      </c>
      <c r="B3227" s="138">
        <f>'Acct Summary 7-8'!I20</f>
        <v>5655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12395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12395</v>
      </c>
      <c r="C3232" s="2" t="s">
        <v>573</v>
      </c>
      <c r="D3232" s="2" t="str">
        <f t="shared" si="49"/>
        <v>Error?</v>
      </c>
    </row>
    <row r="3233" spans="1:4" x14ac:dyDescent="0.2">
      <c r="A3233" s="5">
        <v>3172</v>
      </c>
      <c r="B3233" s="138">
        <f>'Acct Summary 7-8'!C78</f>
        <v>3105155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1047496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2600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2600</v>
      </c>
      <c r="C3255" s="2" t="s">
        <v>573</v>
      </c>
      <c r="D3255" s="2" t="str">
        <f t="shared" si="49"/>
        <v>Error?</v>
      </c>
    </row>
    <row r="3256" spans="1:4" x14ac:dyDescent="0.2">
      <c r="A3256" s="5">
        <v>3195</v>
      </c>
      <c r="B3256" s="138">
        <f>'Acct Summary 7-8'!F78</f>
        <v>127438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186901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4899</v>
      </c>
      <c r="D3275" s="2" t="str">
        <f t="shared" si="50"/>
        <v>Error?</v>
      </c>
    </row>
    <row r="3276" spans="1:4" x14ac:dyDescent="0.2">
      <c r="A3276" s="5">
        <v>3215</v>
      </c>
      <c r="B3276" s="138">
        <f>'Acct Summary 7-8'!E76</f>
        <v>4899</v>
      </c>
      <c r="C3276" s="2" t="s">
        <v>573</v>
      </c>
      <c r="D3276" s="2" t="str">
        <f t="shared" si="50"/>
        <v>Error?</v>
      </c>
    </row>
    <row r="3277" spans="1:4" x14ac:dyDescent="0.2">
      <c r="A3277" s="5">
        <v>3216</v>
      </c>
      <c r="B3277" s="138">
        <f>'Acct Summary 7-8'!E77</f>
        <v>-4899</v>
      </c>
      <c r="C3277" s="2" t="s">
        <v>573</v>
      </c>
      <c r="D3277" s="2" t="str">
        <f t="shared" si="50"/>
        <v>Error?</v>
      </c>
    </row>
    <row r="3278" spans="1:4" x14ac:dyDescent="0.2">
      <c r="A3278" s="5">
        <v>3217</v>
      </c>
      <c r="B3278" s="138">
        <f>'Acct Summary 7-8'!E78</f>
        <v>-4899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5655</v>
      </c>
      <c r="C3320" s="2" t="s">
        <v>573</v>
      </c>
      <c r="D3320" s="2" t="str">
        <f t="shared" si="50"/>
        <v>Error?</v>
      </c>
    </row>
    <row r="3321" spans="1:4" x14ac:dyDescent="0.2">
      <c r="A3321" s="5">
        <v>3260</v>
      </c>
      <c r="B3321" s="138">
        <f>'Acct Summary 7-8'!I79</f>
        <v>370868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376523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4142634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141268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122527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289312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4696553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131980</v>
      </c>
      <c r="D3387" s="2" t="str">
        <f t="shared" si="51"/>
        <v>Error?</v>
      </c>
    </row>
    <row r="3388" spans="1:4" x14ac:dyDescent="0.2">
      <c r="A3388" s="5">
        <v>3327</v>
      </c>
      <c r="B3388" s="138">
        <f>'Expenditures 15-22'!D217</f>
        <v>218426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131980</v>
      </c>
      <c r="C3390" s="2" t="s">
        <v>573</v>
      </c>
      <c r="D3390" s="2" t="str">
        <f t="shared" si="51"/>
        <v>Error?</v>
      </c>
    </row>
    <row r="3391" spans="1:4" x14ac:dyDescent="0.2">
      <c r="A3391" s="5">
        <v>3330</v>
      </c>
      <c r="B3391" s="138">
        <f>'Expenditures 15-22'!K217</f>
        <v>218426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101836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44981983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4863219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2485</v>
      </c>
      <c r="D3417" s="2" t="str">
        <f t="shared" si="52"/>
        <v>Error?</v>
      </c>
    </row>
    <row r="3418" spans="1:4" x14ac:dyDescent="0.2">
      <c r="A3418" s="10">
        <v>3357</v>
      </c>
      <c r="D3418" s="2" t="str">
        <f t="shared" si="52"/>
        <v>OK</v>
      </c>
    </row>
    <row r="3419" spans="1:4" x14ac:dyDescent="0.2">
      <c r="A3419" s="5">
        <v>3358</v>
      </c>
      <c r="B3419" s="138">
        <f>'Assets-Liab 5-6'!F4</f>
        <v>125554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223419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376523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67912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671096</v>
      </c>
      <c r="C3446" s="2" t="s">
        <v>573</v>
      </c>
      <c r="D3446" s="2" t="str">
        <f t="shared" si="52"/>
        <v>Error?</v>
      </c>
    </row>
    <row r="3447" spans="1:4" x14ac:dyDescent="0.2">
      <c r="A3447" s="5">
        <v>3386</v>
      </c>
      <c r="B3447" s="138">
        <f>'Tax Sched 23'!D16</f>
        <v>307054</v>
      </c>
      <c r="C3447" s="2" t="s">
        <v>573</v>
      </c>
      <c r="D3447" s="2" t="str">
        <f t="shared" si="52"/>
        <v>Error?</v>
      </c>
    </row>
    <row r="3448" spans="1:4" x14ac:dyDescent="0.2">
      <c r="A3448" s="5">
        <v>3387</v>
      </c>
      <c r="B3448" s="138">
        <f>'Tax Sched 23'!C16</f>
        <v>364042</v>
      </c>
      <c r="D3448" s="2" t="str">
        <f t="shared" si="52"/>
        <v>Error?</v>
      </c>
    </row>
    <row r="3449" spans="1:4" x14ac:dyDescent="0.2">
      <c r="A3449" s="5">
        <v>3388</v>
      </c>
      <c r="B3449" s="138">
        <f>'Tax Sched 23'!F16</f>
        <v>349009</v>
      </c>
      <c r="C3449" s="2" t="s">
        <v>573</v>
      </c>
      <c r="D3449" s="2" t="str">
        <f t="shared" si="52"/>
        <v>Error?</v>
      </c>
    </row>
    <row r="3450" spans="1:4" x14ac:dyDescent="0.2">
      <c r="A3450" s="5">
        <v>3389</v>
      </c>
      <c r="B3450" s="138">
        <f>'Tax Sched 23'!E16</f>
        <v>713051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12395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2600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117651</v>
      </c>
      <c r="D3546" s="2" t="str">
        <f t="shared" si="54"/>
        <v>Error?</v>
      </c>
    </row>
    <row r="3547" spans="1:4" x14ac:dyDescent="0.2">
      <c r="A3547" s="10">
        <v>3486</v>
      </c>
      <c r="D3547" s="2" t="str">
        <f t="shared" si="54"/>
        <v>OK</v>
      </c>
    </row>
    <row r="3548" spans="1:4" x14ac:dyDescent="0.2">
      <c r="A3548" s="5">
        <v>3487</v>
      </c>
      <c r="B3548" s="138">
        <f>'Assets-Liab 5-6'!K6</f>
        <v>7339</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124990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7339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7339</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117651</v>
      </c>
      <c r="D3567" s="2" t="str">
        <f t="shared" si="54"/>
        <v>Error?</v>
      </c>
    </row>
    <row r="3568" spans="1:4" x14ac:dyDescent="0.2">
      <c r="A3568" s="5">
        <v>3507</v>
      </c>
      <c r="B3568" s="138">
        <f>'Assets-Liab 5-6'!K41</f>
        <v>124990</v>
      </c>
      <c r="C3568" s="2" t="s">
        <v>573</v>
      </c>
      <c r="D3568" s="2" t="str">
        <f t="shared" si="54"/>
        <v>Error?</v>
      </c>
    </row>
    <row r="3569" spans="1:4" x14ac:dyDescent="0.2">
      <c r="A3569" s="5">
        <v>3508</v>
      </c>
      <c r="B3569" s="138">
        <f>'Acct Summary 7-8'!K4</f>
        <v>15450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15450</v>
      </c>
      <c r="C3571" s="2" t="s">
        <v>573</v>
      </c>
      <c r="D3571" s="2" t="str">
        <f t="shared" si="54"/>
        <v>Error?</v>
      </c>
    </row>
    <row r="3572" spans="1:4" x14ac:dyDescent="0.2">
      <c r="A3572" s="5">
        <v>3511</v>
      </c>
      <c r="B3572" s="138">
        <f>'Acct Summary 7-8'!K13</f>
        <v>1525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1525</v>
      </c>
      <c r="C3575" s="2" t="s">
        <v>573</v>
      </c>
      <c r="D3575" s="2" t="str">
        <f t="shared" si="54"/>
        <v>Error?</v>
      </c>
    </row>
    <row r="3576" spans="1:4" x14ac:dyDescent="0.2">
      <c r="A3576" s="5">
        <v>3515</v>
      </c>
      <c r="B3576" s="138">
        <f>'Acct Summary 7-8'!K20</f>
        <v>13925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13925</v>
      </c>
      <c r="C3588" s="2" t="s">
        <v>573</v>
      </c>
      <c r="D3588" s="2" t="str">
        <f t="shared" si="55"/>
        <v>Error?</v>
      </c>
    </row>
    <row r="3589" spans="1:4" x14ac:dyDescent="0.2">
      <c r="A3589" s="5">
        <v>3528</v>
      </c>
      <c r="B3589" s="138">
        <f>'Acct Summary 7-8'!K79</f>
        <v>103726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117651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1525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1525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1525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1525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1525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1525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1525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13925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1059660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12929014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48074658</v>
      </c>
      <c r="C4122" s="2" t="s">
        <v>573</v>
      </c>
      <c r="D4122" s="2" t="str">
        <f t="shared" si="63"/>
        <v>Error?</v>
      </c>
    </row>
    <row r="4123" spans="1:4" x14ac:dyDescent="0.2">
      <c r="A4123" s="5">
        <v>4062</v>
      </c>
      <c r="B4123" s="138">
        <f>'Acct Summary 7-8'!D10</f>
        <v>4313974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1739970</v>
      </c>
      <c r="C4125" s="2" t="s">
        <v>573</v>
      </c>
      <c r="D4125" s="2" t="str">
        <f t="shared" si="63"/>
        <v>Error?</v>
      </c>
    </row>
    <row r="4126" spans="1:4" x14ac:dyDescent="0.2">
      <c r="A4126" s="5">
        <v>4065</v>
      </c>
      <c r="B4126" s="138">
        <f>'Acct Summary 7-8'!G10</f>
        <v>1325934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5655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15450</v>
      </c>
      <c r="C4130" s="2" t="s">
        <v>573</v>
      </c>
      <c r="D4130" s="2" t="str">
        <f t="shared" si="63"/>
        <v>Error?</v>
      </c>
    </row>
    <row r="4131" spans="1:4" x14ac:dyDescent="0.2">
      <c r="A4131" s="5">
        <v>4070</v>
      </c>
      <c r="B4131" s="138">
        <f>'Acct Summary 7-8'!C18</f>
        <v>12929014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44981898</v>
      </c>
      <c r="C4136" s="2" t="s">
        <v>573</v>
      </c>
      <c r="D4136" s="2" t="str">
        <f t="shared" si="63"/>
        <v>Error?</v>
      </c>
    </row>
    <row r="4137" spans="1:4" x14ac:dyDescent="0.2">
      <c r="A4137" s="5">
        <v>4076</v>
      </c>
      <c r="B4137" s="138">
        <f>'Acct Summary 7-8'!D19</f>
        <v>3266478</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1615132</v>
      </c>
      <c r="C4139" s="2" t="s">
        <v>573</v>
      </c>
      <c r="D4139" s="2" t="str">
        <f t="shared" si="63"/>
        <v>Error?</v>
      </c>
    </row>
    <row r="4140" spans="1:4" x14ac:dyDescent="0.2">
      <c r="A4140" s="5">
        <v>4079</v>
      </c>
      <c r="B4140" s="138">
        <f>'Acct Summary 7-8'!G19</f>
        <v>1139033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1525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2087.6</v>
      </c>
      <c r="C4265" s="2" t="s">
        <v>573</v>
      </c>
      <c r="D4265" s="2" t="str">
        <f t="shared" si="65"/>
        <v>Error?</v>
      </c>
      <c r="E4265" s="128"/>
    </row>
    <row r="4266" spans="1:5" x14ac:dyDescent="0.2">
      <c r="A4266" s="12">
        <v>4205</v>
      </c>
      <c r="B4266" s="138">
        <f>('FP Info 3'!F10)*100000</f>
        <v>468.4</v>
      </c>
      <c r="C4266" s="2" t="s">
        <v>573</v>
      </c>
      <c r="D4266" s="2" t="str">
        <f t="shared" si="65"/>
        <v>Error?</v>
      </c>
      <c r="E4266" s="128"/>
    </row>
    <row r="4267" spans="1:5" x14ac:dyDescent="0.2">
      <c r="A4267" s="12">
        <v>4206</v>
      </c>
      <c r="B4267" s="138">
        <f>('FP Info 3'!H10)*100000</f>
        <v>295.7</v>
      </c>
      <c r="C4267" s="2" t="s">
        <v>573</v>
      </c>
      <c r="D4267" s="2" t="str">
        <f t="shared" si="65"/>
        <v>Error?</v>
      </c>
      <c r="E4267" s="128"/>
    </row>
    <row r="4268" spans="1:5" x14ac:dyDescent="0.2">
      <c r="A4268" s="12">
        <v>4207</v>
      </c>
      <c r="B4268" s="138">
        <f>('FP Info 3'!J10)*100000</f>
        <v>2852</v>
      </c>
      <c r="C4268" s="2" t="s">
        <v>573</v>
      </c>
      <c r="D4268" s="2" t="str">
        <f t="shared" si="65"/>
        <v>Error?</v>
      </c>
    </row>
    <row r="4269" spans="1:5" x14ac:dyDescent="0.2">
      <c r="A4269" s="12">
        <v>4208</v>
      </c>
      <c r="B4269" s="138">
        <f>'FP Info 3'!J16</f>
        <v>51339292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50504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143421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411126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32388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120695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122654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104457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258531397</v>
      </c>
      <c r="D4995" s="2" t="str">
        <f t="shared" si="77"/>
        <v>Error?</v>
      </c>
    </row>
    <row r="4996" spans="1:4" x14ac:dyDescent="0.2">
      <c r="A4996" s="12">
        <v>4935</v>
      </c>
      <c r="B4996" s="138">
        <f>'FP Info 3'!H31</f>
        <v>17838666.393000003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5228426</v>
      </c>
      <c r="D5061" s="2" t="str">
        <f t="shared" si="78"/>
        <v>Error?</v>
      </c>
    </row>
    <row r="5062" spans="1:4" x14ac:dyDescent="0.2">
      <c r="A5062" s="10">
        <v>5001</v>
      </c>
      <c r="D5062" s="2" t="str">
        <f t="shared" si="78"/>
        <v>OK</v>
      </c>
    </row>
    <row r="5063" spans="1:4" x14ac:dyDescent="0.2">
      <c r="A5063" s="5">
        <v>5002</v>
      </c>
      <c r="B5063" s="138">
        <f>'Revenues 9-14'!C7</f>
        <v>57599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5286025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94885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94885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398096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398096</v>
      </c>
      <c r="C5090" s="2" t="s">
        <v>573</v>
      </c>
      <c r="D5090" s="2" t="str">
        <f t="shared" si="78"/>
        <v>Error?</v>
      </c>
    </row>
    <row r="5091" spans="1:4" x14ac:dyDescent="0.2">
      <c r="A5091" s="5">
        <v>5030</v>
      </c>
      <c r="B5091" s="138">
        <f>'Revenues 9-14'!C70</f>
        <v>7413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63063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44664</v>
      </c>
      <c r="D5118" s="2" t="str">
        <f t="shared" si="78"/>
        <v>Error?</v>
      </c>
    </row>
    <row r="5119" spans="1:4" x14ac:dyDescent="0.2">
      <c r="A5119" s="5">
        <v>5058</v>
      </c>
      <c r="B5119" s="138">
        <f>'Revenues 9-14'!C107</f>
        <v>14993</v>
      </c>
      <c r="D5119" s="2" t="str">
        <f t="shared" ref="D5119:D5182" si="79">IF(ISBLANK(B5119),"OK",IF(A5119-B5119=0,"OK","Error?"))</f>
        <v>Error?</v>
      </c>
    </row>
    <row r="5120" spans="1:4" x14ac:dyDescent="0.2">
      <c r="A5120" s="5">
        <v>5059</v>
      </c>
      <c r="B5120" s="138">
        <f>'Revenues 9-14'!C108</f>
        <v>60400</v>
      </c>
      <c r="C5120" s="2" t="s">
        <v>573</v>
      </c>
      <c r="D5120" s="2" t="str">
        <f t="shared" si="79"/>
        <v>Error?</v>
      </c>
    </row>
    <row r="5121" spans="1:4" x14ac:dyDescent="0.2">
      <c r="A5121" s="5">
        <v>5060</v>
      </c>
      <c r="B5121" s="138">
        <f>'Revenues 9-14'!C109</f>
        <v>5902469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101836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101836</v>
      </c>
      <c r="C5125" s="2" t="s">
        <v>573</v>
      </c>
      <c r="D5125" s="2" t="str">
        <f t="shared" si="79"/>
        <v>Error?</v>
      </c>
    </row>
    <row r="5126" spans="1:4" x14ac:dyDescent="0.2">
      <c r="A5126" s="5">
        <v>5065</v>
      </c>
      <c r="B5126" s="138">
        <f>'Revenues 9-14'!C117</f>
        <v>22792738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22792738</v>
      </c>
      <c r="C5132" s="2" t="s">
        <v>573</v>
      </c>
      <c r="D5132" s="2" t="str">
        <f t="shared" si="79"/>
        <v>Error?</v>
      </c>
    </row>
    <row r="5133" spans="1:4" x14ac:dyDescent="0.2">
      <c r="A5133" s="5">
        <v>5072</v>
      </c>
      <c r="B5133" s="138">
        <f>'Revenues 9-14'!C125</f>
        <v>747178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747178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28852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541907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1422394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24215132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1074300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498608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1572908</v>
      </c>
      <c r="C5246" s="2" t="s">
        <v>573</v>
      </c>
      <c r="D5246" s="2" t="str">
        <f t="shared" si="80"/>
        <v>Error?</v>
      </c>
    </row>
    <row r="5247" spans="1:4" x14ac:dyDescent="0.2">
      <c r="A5247" s="5">
        <v>5186</v>
      </c>
      <c r="B5247" s="138">
        <f>'Revenues 9-14'!C200</f>
        <v>1274684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32388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1325188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33946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819077</v>
      </c>
      <c r="D5278" s="2" t="str">
        <f t="shared" si="81"/>
        <v>Error?</v>
      </c>
    </row>
    <row r="5279" spans="1:4" x14ac:dyDescent="0.2">
      <c r="A5279" s="5">
        <v>5218</v>
      </c>
      <c r="B5279" s="138">
        <f>'Revenues 9-14'!C214</f>
        <v>65689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918712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4926207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4926207</v>
      </c>
      <c r="C5326" s="2" t="s">
        <v>573</v>
      </c>
      <c r="D5326" s="2" t="str">
        <f t="shared" si="82"/>
        <v>Error?</v>
      </c>
    </row>
    <row r="5327" spans="1:5" x14ac:dyDescent="0.2">
      <c r="A5327" s="5">
        <v>5266</v>
      </c>
      <c r="B5327" s="138">
        <f>'Revenues 9-14'!C268</f>
        <v>35145644</v>
      </c>
      <c r="C5327" s="2" t="s">
        <v>573</v>
      </c>
      <c r="D5327" s="2" t="str">
        <f t="shared" si="82"/>
        <v>Error?</v>
      </c>
    </row>
    <row r="5328" spans="1:5" x14ac:dyDescent="0.2">
      <c r="A5328" s="5">
        <v>5267</v>
      </c>
      <c r="B5328" s="138">
        <f>'Revenues 9-14'!D5</f>
        <v>1156664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1156664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26919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26919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23077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108183</v>
      </c>
      <c r="D5354" s="2" t="str">
        <f t="shared" si="82"/>
        <v>Error?</v>
      </c>
    </row>
    <row r="5355" spans="1:4" x14ac:dyDescent="0.2">
      <c r="A5355" s="5">
        <v>5294</v>
      </c>
      <c r="B5355" s="138">
        <f>'Revenues 9-14'!D108</f>
        <v>131710</v>
      </c>
      <c r="C5355" s="2" t="s">
        <v>573</v>
      </c>
      <c r="D5355" s="2" t="str">
        <f t="shared" si="82"/>
        <v>Error?</v>
      </c>
    </row>
    <row r="5356" spans="1:4" x14ac:dyDescent="0.2">
      <c r="A5356" s="5">
        <v>5295</v>
      </c>
      <c r="B5356" s="138">
        <f>'Revenues 9-14'!D109</f>
        <v>1315293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2998681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2998681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2998681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4313974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697529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697529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1979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2521</v>
      </c>
      <c r="D5586" s="2" t="str">
        <f t="shared" si="86"/>
        <v>Error?</v>
      </c>
    </row>
    <row r="5587" spans="1:4" x14ac:dyDescent="0.2">
      <c r="A5587" s="5">
        <v>5526</v>
      </c>
      <c r="B5587" s="138">
        <f>'Revenues 9-14'!F108</f>
        <v>2521</v>
      </c>
      <c r="C5587" s="2" t="s">
        <v>573</v>
      </c>
      <c r="D5587" s="2" t="str">
        <f t="shared" si="86"/>
        <v>Error?</v>
      </c>
    </row>
    <row r="5588" spans="1:4" x14ac:dyDescent="0.2">
      <c r="A5588" s="5">
        <v>5527</v>
      </c>
      <c r="B5588" s="138">
        <f>'Revenues 9-14'!F109</f>
        <v>702029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1037941</v>
      </c>
      <c r="D5617" s="2" t="str">
        <f t="shared" si="86"/>
        <v>Error?</v>
      </c>
    </row>
    <row r="5618" spans="1:5" x14ac:dyDescent="0.2">
      <c r="A5618" s="5">
        <v>5557</v>
      </c>
      <c r="B5618" s="138">
        <f>'Revenues 9-14'!F155</f>
        <v>1037941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1037941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1037941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1739970</v>
      </c>
      <c r="C5720" s="2" t="s">
        <v>573</v>
      </c>
      <c r="D5720" s="2" t="str">
        <f t="shared" si="88"/>
        <v>Error?</v>
      </c>
    </row>
    <row r="5721" spans="1:4" x14ac:dyDescent="0.2">
      <c r="A5721" s="5">
        <v>5660</v>
      </c>
      <c r="B5721" s="138">
        <f>'Revenues 9-14'!G5</f>
        <v>634379</v>
      </c>
      <c r="D5721" s="2" t="str">
        <f t="shared" si="88"/>
        <v>Error?</v>
      </c>
    </row>
    <row r="5722" spans="1:4" x14ac:dyDescent="0.2">
      <c r="A5722" s="5">
        <v>5661</v>
      </c>
      <c r="B5722" s="138">
        <f>'Revenues 9-14'!G7</f>
        <v>0</v>
      </c>
      <c r="D5722" s="2" t="str">
        <f t="shared" si="88"/>
        <v>Error?</v>
      </c>
    </row>
    <row r="5723" spans="1:4" x14ac:dyDescent="0.2">
      <c r="A5723" s="5">
        <v>5662</v>
      </c>
      <c r="B5723" s="138">
        <f>'Revenues 9-14'!G8</f>
        <v>671096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1305475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573</v>
      </c>
      <c r="D5730" s="2" t="str">
        <f t="shared" si="88"/>
        <v>Error?</v>
      </c>
    </row>
    <row r="5731" spans="1:4" x14ac:dyDescent="0.2">
      <c r="A5731" s="5">
        <v>5670</v>
      </c>
      <c r="B5731" s="138">
        <f>'Revenues 9-14'!G65</f>
        <v>459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1325934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5655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5655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5655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14209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14209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15450</v>
      </c>
      <c r="C6023" s="2" t="s">
        <v>573</v>
      </c>
      <c r="D6023" s="2" t="str">
        <f t="shared" si="93"/>
        <v>Error?</v>
      </c>
    </row>
    <row r="6024" spans="1:5" x14ac:dyDescent="0.2">
      <c r="A6024" s="5">
        <v>5963</v>
      </c>
      <c r="B6024" s="138">
        <f>'Revenues 9-14'!G109</f>
        <v>1325934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5655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15450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55650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115463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2634.1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765872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206798</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43429</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4537</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9074</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397878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30752</v>
      </c>
      <c r="D6142" s="2" t="str">
        <f t="shared" si="94"/>
        <v>Error?</v>
      </c>
      <c r="E6142" s="2" t="s">
        <v>190</v>
      </c>
    </row>
    <row r="6143" spans="1:5" x14ac:dyDescent="0.2">
      <c r="A6143">
        <v>6082</v>
      </c>
      <c r="B6143" s="138">
        <f>'Assets-Liab 5-6'!D27</f>
        <v>27908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23916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139892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139892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257986</v>
      </c>
      <c r="D6215" s="2" t="str">
        <f t="shared" si="96"/>
        <v>Error?</v>
      </c>
      <c r="E6215" s="2" t="s">
        <v>190</v>
      </c>
    </row>
    <row r="6216" spans="1:5" x14ac:dyDescent="0.2">
      <c r="A6216">
        <v>6155</v>
      </c>
      <c r="B6216" s="138">
        <f>'Assets-Liab 5-6'!J41</f>
        <v>397878</v>
      </c>
      <c r="D6216" s="2" t="str">
        <f t="shared" si="96"/>
        <v>Error?</v>
      </c>
      <c r="E6216" s="2" t="s">
        <v>190</v>
      </c>
    </row>
    <row r="6217" spans="1:5" x14ac:dyDescent="0.2">
      <c r="A6217">
        <v>6156</v>
      </c>
      <c r="B6217" s="138">
        <f>'Assets-Liab 5-6'!J4</f>
        <v>247696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141108</v>
      </c>
      <c r="D6219" s="2" t="str">
        <f t="shared" si="96"/>
        <v>Error?</v>
      </c>
      <c r="E6219" s="2" t="s">
        <v>190</v>
      </c>
    </row>
    <row r="6220" spans="1:5" x14ac:dyDescent="0.2">
      <c r="A6220">
        <v>6159</v>
      </c>
      <c r="B6220" s="138">
        <f>'Acct Summary 7-8'!J4</f>
        <v>281250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281250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281250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305112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305112</v>
      </c>
      <c r="D6229" s="2" t="str">
        <f t="shared" si="96"/>
        <v>Error?</v>
      </c>
      <c r="E6229" s="2" t="s">
        <v>190</v>
      </c>
    </row>
    <row r="6230" spans="1:5" x14ac:dyDescent="0.2">
      <c r="A6230">
        <v>6169</v>
      </c>
      <c r="B6230" s="138">
        <f>'Acct Summary 7-8'!J20</f>
        <v>-23862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-23862</v>
      </c>
      <c r="D6263" s="2" t="str">
        <f t="shared" si="96"/>
        <v>Error?</v>
      </c>
      <c r="E6263" s="2" t="s">
        <v>190</v>
      </c>
    </row>
    <row r="6264" spans="1:5" x14ac:dyDescent="0.2">
      <c r="A6264">
        <v>6203</v>
      </c>
      <c r="B6264" s="138">
        <f>'Acct Summary 7-8'!J79</f>
        <v>281848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257986</v>
      </c>
      <c r="D6266" s="2" t="str">
        <f t="shared" si="96"/>
        <v>Error?</v>
      </c>
      <c r="E6266" s="2" t="s">
        <v>190</v>
      </c>
    </row>
    <row r="6267" spans="1:5" x14ac:dyDescent="0.2">
      <c r="A6267">
        <v>6206</v>
      </c>
      <c r="B6267" s="138">
        <f>'Acct Summary 7-8'!C82</f>
        <v>3105155</v>
      </c>
      <c r="D6267" s="2" t="str">
        <f t="shared" si="96"/>
        <v>Error?</v>
      </c>
      <c r="E6267" s="2" t="s">
        <v>190</v>
      </c>
    </row>
    <row r="6268" spans="1:5" x14ac:dyDescent="0.2">
      <c r="A6268">
        <v>6207</v>
      </c>
      <c r="B6268" s="138">
        <f>'Acct Summary 7-8'!D82</f>
        <v>1047496</v>
      </c>
      <c r="D6268" s="2" t="str">
        <f t="shared" si="96"/>
        <v>Error?</v>
      </c>
      <c r="E6268" s="2" t="s">
        <v>190</v>
      </c>
    </row>
    <row r="6269" spans="1:5" x14ac:dyDescent="0.2">
      <c r="A6269">
        <v>6208</v>
      </c>
      <c r="B6269" s="138">
        <f>'Acct Summary 7-8'!E82</f>
        <v>-4899</v>
      </c>
      <c r="D6269" s="2" t="str">
        <f t="shared" si="96"/>
        <v>Error?</v>
      </c>
      <c r="E6269" s="2" t="s">
        <v>190</v>
      </c>
    </row>
    <row r="6270" spans="1:5" x14ac:dyDescent="0.2">
      <c r="A6270">
        <v>6209</v>
      </c>
      <c r="B6270" s="138">
        <f>'Acct Summary 7-8'!F82</f>
        <v>127438</v>
      </c>
      <c r="D6270" s="2" t="str">
        <f t="shared" si="96"/>
        <v>Error?</v>
      </c>
      <c r="E6270" s="2" t="s">
        <v>190</v>
      </c>
    </row>
    <row r="6271" spans="1:5" x14ac:dyDescent="0.2">
      <c r="A6271">
        <v>6210</v>
      </c>
      <c r="B6271" s="138">
        <f>'Acct Summary 7-8'!G82</f>
        <v>186901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5655</v>
      </c>
      <c r="D6273" s="2" t="str">
        <f t="shared" si="97"/>
        <v>Error?</v>
      </c>
      <c r="E6273" s="2" t="s">
        <v>190</v>
      </c>
    </row>
    <row r="6274" spans="1:5" x14ac:dyDescent="0.2">
      <c r="A6274">
        <v>6213</v>
      </c>
      <c r="B6274" s="138">
        <f>'Acct Summary 7-8'!J82</f>
        <v>-23862</v>
      </c>
      <c r="D6274" s="2" t="str">
        <f t="shared" si="97"/>
        <v>Error?</v>
      </c>
      <c r="E6274" s="2" t="s">
        <v>190</v>
      </c>
    </row>
    <row r="6275" spans="1:5" x14ac:dyDescent="0.2">
      <c r="A6275">
        <v>6214</v>
      </c>
      <c r="B6275" s="138">
        <f>'Acct Summary 7-8'!K82</f>
        <v>13925</v>
      </c>
      <c r="D6275" s="2" t="str">
        <f t="shared" si="97"/>
        <v>Error?</v>
      </c>
      <c r="E6275" s="2" t="s">
        <v>190</v>
      </c>
    </row>
    <row r="6276" spans="1:5" x14ac:dyDescent="0.2">
      <c r="A6276">
        <v>6215</v>
      </c>
      <c r="B6276" s="138">
        <f>'Acct Summary 7-8'!C83</f>
        <v>6.7850037531980517E-2</v>
      </c>
      <c r="D6276" s="2" t="str">
        <f t="shared" si="97"/>
        <v>Error?</v>
      </c>
      <c r="E6276" s="2" t="s">
        <v>190</v>
      </c>
    </row>
    <row r="6277" spans="1:5" x14ac:dyDescent="0.2">
      <c r="A6277">
        <v>6216</v>
      </c>
      <c r="B6277" s="138">
        <f>'Acct Summary 7-8'!D83</f>
        <v>0.21447932411420212</v>
      </c>
      <c r="D6277" s="2" t="str">
        <f t="shared" si="97"/>
        <v>Error?</v>
      </c>
      <c r="E6277" s="2" t="s">
        <v>190</v>
      </c>
    </row>
    <row r="6278" spans="1:5" x14ac:dyDescent="0.2">
      <c r="A6278">
        <v>6217</v>
      </c>
      <c r="B6278" s="138">
        <f>'Acct Summary 7-8'!E83</f>
        <v>-1.9714285714285715</v>
      </c>
      <c r="D6278" s="2" t="str">
        <f t="shared" si="97"/>
        <v>Error?</v>
      </c>
      <c r="E6278" s="2" t="s">
        <v>190</v>
      </c>
    </row>
    <row r="6279" spans="1:5" x14ac:dyDescent="0.2">
      <c r="A6279">
        <v>6218</v>
      </c>
      <c r="B6279" s="138">
        <f>'Acct Summary 7-8'!F83</f>
        <v>0.40598797053801261</v>
      </c>
      <c r="D6279" s="2" t="str">
        <f t="shared" si="97"/>
        <v>Error?</v>
      </c>
      <c r="E6279" s="2" t="s">
        <v>190</v>
      </c>
    </row>
    <row r="6280" spans="1:5" x14ac:dyDescent="0.2">
      <c r="A6280">
        <v>6219</v>
      </c>
      <c r="B6280" s="138">
        <f>'Acct Summary 7-8'!G83</f>
        <v>0.82032048946844038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1.5019002823200707E-2</v>
      </c>
      <c r="D6282" s="2" t="str">
        <f t="shared" si="97"/>
        <v>Error?</v>
      </c>
      <c r="E6282" s="2" t="s">
        <v>190</v>
      </c>
    </row>
    <row r="6283" spans="1:5" x14ac:dyDescent="0.2">
      <c r="A6283">
        <v>6222</v>
      </c>
      <c r="B6283" s="138">
        <f>'Acct Summary 7-8'!J83</f>
        <v>-9.2493391114246509E-2</v>
      </c>
      <c r="D6283" s="2" t="str">
        <f t="shared" si="97"/>
        <v>Error?</v>
      </c>
      <c r="E6283" s="2" t="s">
        <v>190</v>
      </c>
    </row>
    <row r="6284" spans="1:5" x14ac:dyDescent="0.2">
      <c r="A6284">
        <v>6223</v>
      </c>
      <c r="B6284" s="138">
        <f>'Acct Summary 7-8'!K83</f>
        <v>0.11835853498907786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279569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279569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1681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1681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281250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533729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18267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11937</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1384686</v>
      </c>
      <c r="D6880" s="2" t="str">
        <f t="shared" si="106"/>
        <v>Error?</v>
      </c>
    </row>
    <row r="6881" spans="1:4" x14ac:dyDescent="0.2">
      <c r="A6881">
        <v>6820</v>
      </c>
      <c r="B6881" s="138">
        <f>'Expenditures 15-22'!K22</f>
        <v>1384686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167823</v>
      </c>
      <c r="D6894" s="2" t="str">
        <f t="shared" si="106"/>
        <v>Error?</v>
      </c>
    </row>
    <row r="6895" spans="1:4" x14ac:dyDescent="0.2">
      <c r="A6895">
        <v>6834</v>
      </c>
      <c r="B6895" s="138">
        <f>'Expenditures 15-22'!K29</f>
        <v>167823</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545666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691</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691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5514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5514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23113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23113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29318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574984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305112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281250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1296</v>
      </c>
      <c r="D7093" s="2" t="str">
        <f t="shared" si="109"/>
        <v>Error?</v>
      </c>
    </row>
    <row r="7094" spans="1:4" x14ac:dyDescent="0.2">
      <c r="A7094">
        <v>7033</v>
      </c>
      <c r="B7094" s="138">
        <f>'Expenditures 15-22'!K254</f>
        <v>1296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177464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177464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15919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34532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50451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77197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77197</v>
      </c>
      <c r="D7198" s="2" t="str">
        <f t="shared" si="111"/>
        <v>Error?</v>
      </c>
    </row>
    <row r="7199" spans="1:4" x14ac:dyDescent="0.2">
      <c r="A7199">
        <v>7138</v>
      </c>
      <c r="B7199" s="138">
        <f>'Expenditures 15-22'!C330</f>
        <v>15919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289193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305112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15919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289193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305112</v>
      </c>
      <c r="D7224" s="2" t="str">
        <f t="shared" si="111"/>
        <v>Error?</v>
      </c>
    </row>
    <row r="7225" spans="1:4" x14ac:dyDescent="0.2">
      <c r="A7225">
        <v>7164</v>
      </c>
      <c r="B7225" s="138">
        <f>'Expenditures 15-22'!K343</f>
        <v>-23862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499</v>
      </c>
      <c r="D7247" s="2" t="str">
        <f t="shared" si="112"/>
        <v>Error?</v>
      </c>
    </row>
    <row r="7248" spans="1:4" x14ac:dyDescent="0.2">
      <c r="A7248">
        <f t="shared" si="113"/>
        <v>7187</v>
      </c>
      <c r="B7248" s="138">
        <f>'Expenditures 15-22'!F7</f>
        <v>17768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574984</v>
      </c>
      <c r="D7624" s="2" t="str">
        <f t="shared" si="124"/>
        <v>Error?</v>
      </c>
      <c r="E7624" s="2" t="s">
        <v>19</v>
      </c>
    </row>
    <row r="7625" spans="1:5" x14ac:dyDescent="0.2">
      <c r="A7625">
        <f t="shared" si="123"/>
        <v>7564</v>
      </c>
      <c r="B7625" s="138">
        <f>'Cap Outlay Deprec 26'!I17</f>
        <v>57498.400000000001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1396622.4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57599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357765</v>
      </c>
      <c r="D7759" s="2" t="str">
        <f t="shared" si="127"/>
        <v>Error?</v>
      </c>
      <c r="E7759" s="4" t="s">
        <v>1333</v>
      </c>
    </row>
    <row r="7760" spans="1:6" x14ac:dyDescent="0.2">
      <c r="A7760">
        <v>7699</v>
      </c>
      <c r="B7760" s="138">
        <f>'Aud Quest 2'!J90</f>
        <v>357765</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279115</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t="str">
        <f>'Expenditures 15-22'!D282</f>
        <v xml:space="preserve"> </v>
      </c>
      <c r="D7783" s="2" t="e">
        <f t="shared" si="127"/>
        <v>#VALUE!</v>
      </c>
      <c r="E7783" s="4" t="s">
        <v>1852</v>
      </c>
    </row>
    <row r="7784" spans="1:5" x14ac:dyDescent="0.2">
      <c r="A7784">
        <v>7723</v>
      </c>
      <c r="B7784" s="138" t="str">
        <f>'Expenditures 15-22'!K282</f>
        <v xml:space="preserve"> </v>
      </c>
      <c r="D7784" s="2" t="e">
        <f t="shared" si="127"/>
        <v>#VALUE!</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303197</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278197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7" zoomScale="110" zoomScaleNormal="110" workbookViewId="0">
      <selection activeCell="B5" sqref="B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1986</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BERWYN NORTH SD 98</v>
      </c>
      <c r="B7" s="2408"/>
      <c r="C7" s="2408"/>
      <c r="D7" s="2409"/>
      <c r="E7" s="2410" t="str">
        <f>COVER!A13</f>
        <v>06-016-0980-02</v>
      </c>
      <c r="F7" s="2411"/>
      <c r="G7" s="2417" t="str">
        <f>COVER!T23</f>
        <v>066-004945</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GASSENSMITH &amp; MICHALESKO, LTD.</v>
      </c>
      <c r="H9" s="2423"/>
      <c r="I9" s="2423"/>
      <c r="J9" s="2423"/>
      <c r="K9" s="2423"/>
      <c r="L9" s="2424"/>
    </row>
    <row r="10" spans="1:29" ht="13.5" customHeight="1" x14ac:dyDescent="0.2">
      <c r="A10" s="2397" t="str">
        <f>COVER!A38</f>
        <v>Michelle Smith</v>
      </c>
      <c r="B10" s="2398"/>
      <c r="C10" s="2398"/>
      <c r="D10" s="2398"/>
      <c r="E10" s="2398"/>
      <c r="F10" s="2399"/>
      <c r="G10" s="2391" t="str">
        <f>COVER!T17</f>
        <v>323 SPRINGFIELD AVE</v>
      </c>
      <c r="H10" s="2392"/>
      <c r="I10" s="2392"/>
      <c r="J10" s="2392"/>
      <c r="K10" s="2392"/>
      <c r="L10" s="2393"/>
    </row>
    <row r="11" spans="1:29" ht="13.5" customHeight="1" x14ac:dyDescent="0.2">
      <c r="A11" s="1184" t="s">
        <v>1519</v>
      </c>
      <c r="B11" s="1185"/>
      <c r="C11" s="1186"/>
      <c r="D11" s="1191"/>
      <c r="E11" s="1186"/>
      <c r="F11" s="1190"/>
      <c r="G11" s="2391" t="str">
        <f>COVER!T19</f>
        <v>JOLIET</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JILLE@GASSENSMITH.COM</v>
      </c>
      <c r="J13" s="2404"/>
      <c r="K13" s="2404"/>
      <c r="L13" s="2405"/>
    </row>
    <row r="14" spans="1:29" ht="13.5" customHeight="1" x14ac:dyDescent="0.2">
      <c r="A14" s="2391" t="str">
        <f>COVER!A19</f>
        <v>6633 W. 16th Street</v>
      </c>
      <c r="B14" s="2392"/>
      <c r="C14" s="2392"/>
      <c r="D14" s="2392"/>
      <c r="E14" s="2392"/>
      <c r="F14" s="2393"/>
      <c r="G14" s="1195" t="s">
        <v>1185</v>
      </c>
      <c r="H14" s="1193"/>
      <c r="I14" s="1193"/>
      <c r="J14" s="1193"/>
      <c r="K14" s="1193"/>
      <c r="L14" s="1194"/>
    </row>
    <row r="15" spans="1:29" ht="13.5" customHeight="1" x14ac:dyDescent="0.2">
      <c r="A15" s="2391" t="str">
        <f>COVER!A21</f>
        <v xml:space="preserve">BERWYN  </v>
      </c>
      <c r="B15" s="2392"/>
      <c r="C15" s="2392"/>
      <c r="D15" s="2392"/>
      <c r="E15" s="2392"/>
      <c r="F15" s="2393"/>
      <c r="G15" s="2388" t="str">
        <f>COVER!T15</f>
        <v>JILL GASSENSMITH</v>
      </c>
      <c r="H15" s="2389"/>
      <c r="I15" s="2389"/>
      <c r="J15" s="2389"/>
      <c r="K15" s="2389"/>
      <c r="L15" s="2390"/>
    </row>
    <row r="16" spans="1:29" ht="12.2" customHeight="1" x14ac:dyDescent="0.2">
      <c r="A16" s="2413">
        <f>COVER!A25</f>
        <v>60402</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815-744-6200</v>
      </c>
      <c r="H18" s="2408"/>
      <c r="I18" s="2408"/>
      <c r="J18" s="2408"/>
      <c r="K18" s="2407" t="str">
        <f>COVER!X21</f>
        <v>815-744-3822</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BERWYN NORTH SD 98</v>
      </c>
      <c r="B1" s="2406"/>
      <c r="C1" s="2406"/>
      <c r="D1" s="2406"/>
    </row>
    <row r="2" spans="1:11" s="1212" customFormat="1" ht="12.75" x14ac:dyDescent="0.2">
      <c r="A2" s="2430" t="str">
        <f>'Single Audit Cover'!E7</f>
        <v>06-016-0980-02</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0"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BERWYN NORTH SD 98</v>
      </c>
      <c r="B1" s="2433"/>
      <c r="C1" s="2433"/>
      <c r="D1" s="2433"/>
      <c r="E1" s="2433"/>
    </row>
    <row r="2" spans="1:5" x14ac:dyDescent="0.2">
      <c r="A2" s="2434" t="str">
        <f>'Single Audit Cover'!E7</f>
        <v>06-016-0980-02</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4926207</v>
      </c>
    </row>
    <row r="11" spans="1:5" ht="18" customHeight="1" x14ac:dyDescent="0.2">
      <c r="A11" s="1258" t="s">
        <v>1240</v>
      </c>
      <c r="B11" s="1259"/>
      <c r="C11" s="1259"/>
    </row>
    <row r="12" spans="1:5" x14ac:dyDescent="0.2">
      <c r="A12" s="1258" t="s">
        <v>1239</v>
      </c>
      <c r="B12" s="1259" t="s">
        <v>1238</v>
      </c>
      <c r="C12" s="1259"/>
      <c r="D12" s="1261">
        <f>SUM('Revenues 9-14'!C112:D112,'Revenues 9-14'!F112:G112)</f>
        <v>101836</v>
      </c>
    </row>
    <row r="13" spans="1:5" x14ac:dyDescent="0.2">
      <c r="A13" s="1258" t="s">
        <v>1237</v>
      </c>
      <c r="B13" s="1259"/>
      <c r="C13" s="1259"/>
    </row>
    <row r="14" spans="1:5" x14ac:dyDescent="0.2">
      <c r="A14" s="1258" t="s">
        <v>1727</v>
      </c>
      <c r="B14" s="1259"/>
      <c r="C14" s="1259"/>
      <c r="D14" s="1261">
        <f>'ICR Computation 30'!E11</f>
        <v>115463</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-411126</v>
      </c>
    </row>
    <row r="19" spans="1:4" ht="13.5" thickBot="1" x14ac:dyDescent="0.25">
      <c r="A19" s="1262" t="s">
        <v>1235</v>
      </c>
      <c r="D19" s="1263">
        <f>SUM(D10:D17)</f>
        <v>4732380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4732380</v>
      </c>
    </row>
    <row r="33" spans="1:4" x14ac:dyDescent="0.2">
      <c r="D33" s="1266"/>
    </row>
    <row r="34" spans="1:4" x14ac:dyDescent="0.2">
      <c r="A34" s="317" t="s">
        <v>1232</v>
      </c>
    </row>
    <row r="35" spans="1:4" x14ac:dyDescent="0.2">
      <c r="A35" s="317" t="s">
        <v>1231</v>
      </c>
      <c r="B35" s="1255" t="s">
        <v>1230</v>
      </c>
      <c r="D35" s="1267">
        <f>+' SEFA'!F49</f>
        <v>4732380</v>
      </c>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4732380</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2"/>
  <sheetViews>
    <sheetView showGridLines="0" topLeftCell="A22" zoomScaleNormal="100" workbookViewId="0">
      <selection activeCell="D35" sqref="D35"/>
    </sheetView>
  </sheetViews>
  <sheetFormatPr defaultColWidth="33.5703125" defaultRowHeight="12.75" x14ac:dyDescent="0.2"/>
  <cols>
    <col min="1" max="1" width="0.140625" style="317" customWidth="1"/>
    <col min="2" max="2" width="45.140625" style="317" customWidth="1"/>
    <col min="3" max="3" width="8.7109375" style="1350" customWidth="1"/>
    <col min="4" max="4" width="12.7109375" style="1351"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BERWYN NORTH SD 98</v>
      </c>
      <c r="C1" s="2437"/>
      <c r="D1" s="2437"/>
      <c r="E1" s="2437"/>
      <c r="F1" s="2437"/>
      <c r="G1" s="2437"/>
      <c r="H1" s="2437"/>
      <c r="I1" s="2437"/>
      <c r="J1" s="2437"/>
      <c r="K1" s="2437"/>
      <c r="L1" s="2437"/>
      <c r="M1" s="2437"/>
    </row>
    <row r="2" spans="2:14" ht="15" x14ac:dyDescent="0.2">
      <c r="B2" s="2438" t="str">
        <f>'Single Audit Cover'!E7</f>
        <v>06-016-0980-02</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5" spans="2:14" ht="5.25" customHeight="1" x14ac:dyDescent="0.2"/>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x14ac:dyDescent="0.2">
      <c r="B11" s="1334" t="s">
        <v>2085</v>
      </c>
      <c r="C11" s="1335"/>
      <c r="D11" s="1336"/>
      <c r="E11" s="1337"/>
      <c r="F11" s="1337"/>
      <c r="G11" s="1337"/>
      <c r="H11" s="1337"/>
      <c r="I11" s="1337"/>
      <c r="J11" s="1337"/>
      <c r="K11" s="1337"/>
      <c r="L11" s="1337"/>
      <c r="M11" s="1337"/>
    </row>
    <row r="12" spans="2:14" x14ac:dyDescent="0.2">
      <c r="B12" s="1934" t="s">
        <v>2067</v>
      </c>
      <c r="C12" s="1338"/>
      <c r="D12" s="1339"/>
      <c r="E12" s="1340"/>
      <c r="F12" s="1340"/>
      <c r="G12" s="1340"/>
      <c r="H12" s="1340"/>
      <c r="I12" s="1340"/>
      <c r="J12" s="1340"/>
      <c r="K12" s="1340"/>
      <c r="L12" s="1337"/>
      <c r="M12" s="1340"/>
    </row>
    <row r="13" spans="2:14" x14ac:dyDescent="0.2">
      <c r="B13" s="1334" t="s">
        <v>2068</v>
      </c>
      <c r="C13" s="1338"/>
      <c r="D13" s="1339"/>
      <c r="E13" s="1340"/>
      <c r="F13" s="1340"/>
      <c r="G13" s="1340"/>
      <c r="H13" s="1340"/>
      <c r="I13" s="1340"/>
      <c r="J13" s="1340"/>
      <c r="K13" s="1340"/>
      <c r="L13" s="1337"/>
      <c r="M13" s="1340"/>
    </row>
    <row r="14" spans="2:14" ht="20.100000000000001" customHeight="1" x14ac:dyDescent="0.2">
      <c r="B14" s="1334" t="s">
        <v>2062</v>
      </c>
      <c r="C14" s="1338">
        <v>10.555</v>
      </c>
      <c r="D14" s="1339" t="s">
        <v>2093</v>
      </c>
      <c r="E14" s="1935">
        <v>0</v>
      </c>
      <c r="F14" s="1935">
        <f>1074300-F15</f>
        <v>921806</v>
      </c>
      <c r="G14" s="1935">
        <v>0</v>
      </c>
      <c r="H14" s="1935">
        <v>0</v>
      </c>
      <c r="I14" s="1935">
        <v>921806</v>
      </c>
      <c r="J14" s="1935">
        <v>0</v>
      </c>
      <c r="K14" s="1935">
        <v>0</v>
      </c>
      <c r="L14" s="1936">
        <f t="shared" ref="L14:L20" si="0">+G14+I14+K14</f>
        <v>921806</v>
      </c>
      <c r="M14" s="1340" t="s">
        <v>2117</v>
      </c>
    </row>
    <row r="15" spans="2:14" ht="20.100000000000001" customHeight="1" x14ac:dyDescent="0.2">
      <c r="B15" s="1334" t="s">
        <v>1058</v>
      </c>
      <c r="C15" s="1338">
        <v>10.555</v>
      </c>
      <c r="D15" s="1339" t="s">
        <v>2094</v>
      </c>
      <c r="E15" s="1935">
        <v>773888</v>
      </c>
      <c r="F15" s="1935">
        <f>926382-E15</f>
        <v>152494</v>
      </c>
      <c r="G15" s="1935">
        <v>773888</v>
      </c>
      <c r="H15" s="1935">
        <v>0</v>
      </c>
      <c r="I15" s="1935">
        <v>152494</v>
      </c>
      <c r="J15" s="1935">
        <v>0</v>
      </c>
      <c r="K15" s="1935">
        <v>0</v>
      </c>
      <c r="L15" s="1936">
        <f t="shared" si="0"/>
        <v>926382</v>
      </c>
      <c r="M15" s="1340" t="s">
        <v>2117</v>
      </c>
    </row>
    <row r="16" spans="2:14" ht="20.100000000000001" customHeight="1" x14ac:dyDescent="0.2">
      <c r="B16" s="1334" t="s">
        <v>2063</v>
      </c>
      <c r="C16" s="1338">
        <v>10.553000000000001</v>
      </c>
      <c r="D16" s="1339" t="s">
        <v>2095</v>
      </c>
      <c r="E16" s="1935">
        <v>0</v>
      </c>
      <c r="F16" s="1935">
        <f>498608-F17</f>
        <v>425379</v>
      </c>
      <c r="G16" s="1935">
        <v>0</v>
      </c>
      <c r="H16" s="1935">
        <v>0</v>
      </c>
      <c r="I16" s="1935">
        <v>425379</v>
      </c>
      <c r="J16" s="1935">
        <v>0</v>
      </c>
      <c r="K16" s="1935">
        <v>0</v>
      </c>
      <c r="L16" s="1936">
        <f t="shared" si="0"/>
        <v>425379</v>
      </c>
      <c r="M16" s="1340" t="s">
        <v>2117</v>
      </c>
    </row>
    <row r="17" spans="2:13" ht="20.100000000000001" customHeight="1" x14ac:dyDescent="0.2">
      <c r="B17" s="1334" t="s">
        <v>1059</v>
      </c>
      <c r="C17" s="1338">
        <v>10.553000000000001</v>
      </c>
      <c r="D17" s="1339" t="s">
        <v>2096</v>
      </c>
      <c r="E17" s="1935">
        <v>460701</v>
      </c>
      <c r="F17" s="1935">
        <f>533930-E17</f>
        <v>73229</v>
      </c>
      <c r="G17" s="1935">
        <v>460701</v>
      </c>
      <c r="H17" s="1935">
        <v>0</v>
      </c>
      <c r="I17" s="1935">
        <v>73229</v>
      </c>
      <c r="J17" s="1935">
        <v>0</v>
      </c>
      <c r="K17" s="1935">
        <v>0</v>
      </c>
      <c r="L17" s="1936">
        <f t="shared" si="0"/>
        <v>533930</v>
      </c>
      <c r="M17" s="1340" t="s">
        <v>2117</v>
      </c>
    </row>
    <row r="18" spans="2:13" x14ac:dyDescent="0.2">
      <c r="B18" s="1334" t="s">
        <v>2069</v>
      </c>
      <c r="C18" s="1338"/>
      <c r="D18" s="1339"/>
      <c r="E18" s="1935"/>
      <c r="F18" s="1935"/>
      <c r="G18" s="1935"/>
      <c r="H18" s="1935"/>
      <c r="I18" s="1935"/>
      <c r="J18" s="1935"/>
      <c r="K18" s="1935"/>
      <c r="L18" s="1936"/>
      <c r="M18" s="1340"/>
    </row>
    <row r="19" spans="2:13" ht="20.100000000000001" customHeight="1" x14ac:dyDescent="0.2">
      <c r="B19" s="1334" t="s">
        <v>2064</v>
      </c>
      <c r="C19" s="1338">
        <v>10.555</v>
      </c>
      <c r="D19" s="1339" t="s">
        <v>2097</v>
      </c>
      <c r="E19" s="1935">
        <v>0</v>
      </c>
      <c r="F19" s="1935">
        <v>115463</v>
      </c>
      <c r="G19" s="1935">
        <v>0</v>
      </c>
      <c r="H19" s="1935">
        <v>0</v>
      </c>
      <c r="I19" s="1935">
        <v>115463</v>
      </c>
      <c r="J19" s="1935">
        <v>0</v>
      </c>
      <c r="K19" s="1935">
        <v>0</v>
      </c>
      <c r="L19" s="1936">
        <f t="shared" si="0"/>
        <v>115463</v>
      </c>
      <c r="M19" s="1340" t="s">
        <v>2117</v>
      </c>
    </row>
    <row r="20" spans="2:13" ht="20.100000000000001" customHeight="1" x14ac:dyDescent="0.2">
      <c r="B20" s="1334" t="s">
        <v>2065</v>
      </c>
      <c r="C20" s="1338">
        <v>10.555</v>
      </c>
      <c r="D20" s="1339" t="s">
        <v>2098</v>
      </c>
      <c r="E20" s="1935">
        <v>124333</v>
      </c>
      <c r="F20" s="1935">
        <v>0</v>
      </c>
      <c r="G20" s="1935">
        <v>124333</v>
      </c>
      <c r="H20" s="1935">
        <v>0</v>
      </c>
      <c r="I20" s="1935">
        <v>0</v>
      </c>
      <c r="J20" s="1935">
        <v>0</v>
      </c>
      <c r="K20" s="1935">
        <v>0</v>
      </c>
      <c r="L20" s="1936">
        <f t="shared" si="0"/>
        <v>124333</v>
      </c>
      <c r="M20" s="1340" t="s">
        <v>2117</v>
      </c>
    </row>
    <row r="21" spans="2:13" x14ac:dyDescent="0.2">
      <c r="B21" s="1334" t="s">
        <v>2070</v>
      </c>
      <c r="C21" s="1338"/>
      <c r="D21" s="1339"/>
      <c r="E21" s="1935">
        <f t="shared" ref="E21:L21" si="1">SUBTOTAL(109,E14:E20)</f>
        <v>1358922</v>
      </c>
      <c r="F21" s="1935">
        <f t="shared" si="1"/>
        <v>1688371</v>
      </c>
      <c r="G21" s="1935">
        <f t="shared" si="1"/>
        <v>1358922</v>
      </c>
      <c r="H21" s="1935">
        <f t="shared" si="1"/>
        <v>0</v>
      </c>
      <c r="I21" s="1935">
        <f t="shared" si="1"/>
        <v>1688371</v>
      </c>
      <c r="J21" s="1935">
        <f t="shared" ref="J21:K21" si="2">SUBTOTAL(109,J14:J20)</f>
        <v>0</v>
      </c>
      <c r="K21" s="1935">
        <f t="shared" si="2"/>
        <v>0</v>
      </c>
      <c r="L21" s="1935">
        <f t="shared" si="1"/>
        <v>3047293</v>
      </c>
      <c r="M21" s="1340" t="s">
        <v>2117</v>
      </c>
    </row>
    <row r="22" spans="2:13" x14ac:dyDescent="0.2">
      <c r="B22" s="1334" t="s">
        <v>2066</v>
      </c>
      <c r="C22" s="1338"/>
      <c r="D22" s="1339"/>
      <c r="E22" s="1935"/>
      <c r="F22" s="1935"/>
      <c r="G22" s="1935"/>
      <c r="H22" s="1935"/>
      <c r="I22" s="1935"/>
      <c r="J22" s="1935"/>
      <c r="K22" s="1935"/>
      <c r="L22" s="1936"/>
      <c r="M22" s="1340"/>
    </row>
    <row r="23" spans="2:13" x14ac:dyDescent="0.2">
      <c r="B23" s="1934" t="s">
        <v>2067</v>
      </c>
      <c r="C23" s="1338"/>
      <c r="D23" s="1339"/>
      <c r="E23" s="1935"/>
      <c r="F23" s="1935"/>
      <c r="G23" s="1935"/>
      <c r="H23" s="1935"/>
      <c r="I23" s="1935"/>
      <c r="J23" s="1935"/>
      <c r="K23" s="1935"/>
      <c r="L23" s="1936"/>
      <c r="M23" s="1340"/>
    </row>
    <row r="24" spans="2:13" ht="20.100000000000001" customHeight="1" x14ac:dyDescent="0.2">
      <c r="B24" s="1334" t="s">
        <v>2071</v>
      </c>
      <c r="C24" s="1338" t="s">
        <v>2086</v>
      </c>
      <c r="D24" s="1339" t="s">
        <v>2099</v>
      </c>
      <c r="E24" s="1935">
        <v>0</v>
      </c>
      <c r="F24" s="1935">
        <f>1325188-F26-F25-F27</f>
        <v>843404</v>
      </c>
      <c r="G24" s="1935">
        <v>0</v>
      </c>
      <c r="H24" s="1935">
        <v>0</v>
      </c>
      <c r="I24" s="1935">
        <v>913392</v>
      </c>
      <c r="J24" s="1935">
        <v>0</v>
      </c>
      <c r="K24" s="1935">
        <v>0</v>
      </c>
      <c r="L24" s="1936">
        <f t="shared" ref="L24:L35" si="3">+G24+I24+K24</f>
        <v>913392</v>
      </c>
      <c r="M24" s="1340">
        <f>1310911+61224</f>
        <v>1372135</v>
      </c>
    </row>
    <row r="25" spans="2:13" ht="20.100000000000001" customHeight="1" x14ac:dyDescent="0.2">
      <c r="B25" s="1334" t="s">
        <v>2153</v>
      </c>
      <c r="C25" s="1338" t="s">
        <v>2086</v>
      </c>
      <c r="D25" s="1339" t="s">
        <v>2119</v>
      </c>
      <c r="E25" s="1935">
        <v>0</v>
      </c>
      <c r="F25" s="1935">
        <v>26391</v>
      </c>
      <c r="G25" s="1935">
        <v>0</v>
      </c>
      <c r="H25" s="1935">
        <v>0</v>
      </c>
      <c r="I25" s="1935">
        <v>26391</v>
      </c>
      <c r="J25" s="1935">
        <v>0</v>
      </c>
      <c r="K25" s="1935">
        <v>0</v>
      </c>
      <c r="L25" s="1936">
        <f t="shared" ref="L25" si="4">+G25+I25+K25</f>
        <v>26391</v>
      </c>
      <c r="M25" s="1340">
        <v>61224</v>
      </c>
    </row>
    <row r="26" spans="2:13" ht="20.100000000000001" customHeight="1" x14ac:dyDescent="0.2">
      <c r="B26" s="1334" t="s">
        <v>2071</v>
      </c>
      <c r="C26" s="1338" t="s">
        <v>2086</v>
      </c>
      <c r="D26" s="1339" t="s">
        <v>2100</v>
      </c>
      <c r="E26" s="1935">
        <v>786901</v>
      </c>
      <c r="F26" s="1935">
        <f>1217331-E26</f>
        <v>430430</v>
      </c>
      <c r="G26" s="1935">
        <f>957284+9858</f>
        <v>967142</v>
      </c>
      <c r="H26" s="1935">
        <v>0</v>
      </c>
      <c r="I26" s="1937">
        <v>260047</v>
      </c>
      <c r="J26" s="1935">
        <v>0</v>
      </c>
      <c r="K26" s="1935">
        <v>0</v>
      </c>
      <c r="L26" s="1936">
        <f t="shared" si="3"/>
        <v>1227189</v>
      </c>
      <c r="M26" s="1340">
        <v>1304992</v>
      </c>
    </row>
    <row r="27" spans="2:13" ht="20.100000000000001" customHeight="1" x14ac:dyDescent="0.2">
      <c r="B27" s="1334" t="s">
        <v>2071</v>
      </c>
      <c r="C27" s="1338" t="s">
        <v>2086</v>
      </c>
      <c r="D27" s="1339" t="s">
        <v>2120</v>
      </c>
      <c r="E27" s="1935">
        <v>0</v>
      </c>
      <c r="F27" s="1935">
        <v>24963</v>
      </c>
      <c r="G27" s="1935">
        <v>0</v>
      </c>
      <c r="H27" s="1935">
        <v>0</v>
      </c>
      <c r="I27" s="1935">
        <v>15105</v>
      </c>
      <c r="J27" s="1935">
        <v>0</v>
      </c>
      <c r="K27" s="1935">
        <v>0</v>
      </c>
      <c r="L27" s="1936">
        <f t="shared" si="3"/>
        <v>15105</v>
      </c>
      <c r="M27" s="1340">
        <v>24963</v>
      </c>
    </row>
    <row r="28" spans="2:13" ht="20.100000000000001" customHeight="1" x14ac:dyDescent="0.2">
      <c r="B28" s="1334" t="s">
        <v>2072</v>
      </c>
      <c r="C28" s="1338" t="s">
        <v>2087</v>
      </c>
      <c r="D28" s="1339" t="s">
        <v>2101</v>
      </c>
      <c r="E28" s="1935">
        <v>751</v>
      </c>
      <c r="F28" s="1935">
        <v>0</v>
      </c>
      <c r="G28" s="1935">
        <v>751</v>
      </c>
      <c r="H28" s="1935">
        <v>0</v>
      </c>
      <c r="I28" s="1935">
        <v>0</v>
      </c>
      <c r="J28" s="1935">
        <v>0</v>
      </c>
      <c r="K28" s="1935">
        <v>0</v>
      </c>
      <c r="L28" s="1936">
        <f t="shared" si="3"/>
        <v>751</v>
      </c>
      <c r="M28" s="1340">
        <v>1754</v>
      </c>
    </row>
    <row r="29" spans="2:13" ht="20.100000000000001" customHeight="1" x14ac:dyDescent="0.2">
      <c r="B29" s="1334" t="s">
        <v>2073</v>
      </c>
      <c r="C29" s="1338" t="s">
        <v>2087</v>
      </c>
      <c r="D29" s="1339" t="s">
        <v>2102</v>
      </c>
      <c r="E29" s="1935">
        <v>0</v>
      </c>
      <c r="F29" s="1935">
        <f>120695-F30</f>
        <v>113646</v>
      </c>
      <c r="G29" s="1935">
        <v>0</v>
      </c>
      <c r="H29" s="1935">
        <v>0</v>
      </c>
      <c r="I29" s="1935">
        <v>113646</v>
      </c>
      <c r="J29" s="1935">
        <v>0</v>
      </c>
      <c r="K29" s="1935">
        <v>0</v>
      </c>
      <c r="L29" s="1936">
        <f t="shared" si="3"/>
        <v>113646</v>
      </c>
      <c r="M29" s="1340">
        <v>147785</v>
      </c>
    </row>
    <row r="30" spans="2:13" ht="20.100000000000001" customHeight="1" x14ac:dyDescent="0.2">
      <c r="B30" s="1334" t="s">
        <v>2073</v>
      </c>
      <c r="C30" s="1338" t="s">
        <v>2087</v>
      </c>
      <c r="D30" s="1339" t="s">
        <v>2103</v>
      </c>
      <c r="E30" s="1935">
        <v>77969</v>
      </c>
      <c r="F30" s="1935">
        <f>85018-E30</f>
        <v>7049</v>
      </c>
      <c r="G30" s="1935">
        <v>77969</v>
      </c>
      <c r="H30" s="1935">
        <v>0</v>
      </c>
      <c r="I30" s="1935">
        <v>7049</v>
      </c>
      <c r="J30" s="1935">
        <v>0</v>
      </c>
      <c r="K30" s="1935">
        <v>0</v>
      </c>
      <c r="L30" s="1936">
        <f t="shared" si="3"/>
        <v>85018</v>
      </c>
      <c r="M30" s="1340">
        <v>142703</v>
      </c>
    </row>
    <row r="31" spans="2:13" ht="20.100000000000001" customHeight="1" x14ac:dyDescent="0.2">
      <c r="B31" s="1334" t="s">
        <v>2074</v>
      </c>
      <c r="C31" s="1338" t="s">
        <v>2088</v>
      </c>
      <c r="D31" s="1339" t="s">
        <v>2104</v>
      </c>
      <c r="E31" s="1935">
        <v>0</v>
      </c>
      <c r="F31" s="1935">
        <v>32388</v>
      </c>
      <c r="G31" s="1935">
        <v>0</v>
      </c>
      <c r="H31" s="1935">
        <v>0</v>
      </c>
      <c r="I31" s="1935">
        <v>32388</v>
      </c>
      <c r="J31" s="1935">
        <v>0</v>
      </c>
      <c r="K31" s="1935">
        <v>0</v>
      </c>
      <c r="L31" s="1936">
        <f t="shared" si="3"/>
        <v>32388</v>
      </c>
      <c r="M31" s="1340" t="s">
        <v>2117</v>
      </c>
    </row>
    <row r="32" spans="2:13" ht="20.100000000000001" customHeight="1" x14ac:dyDescent="0.2">
      <c r="B32" s="1334" t="s">
        <v>2074</v>
      </c>
      <c r="C32" s="1338" t="s">
        <v>2088</v>
      </c>
      <c r="D32" s="1339" t="s">
        <v>2118</v>
      </c>
      <c r="E32" s="1935">
        <v>14078</v>
      </c>
      <c r="F32" s="1935">
        <v>0</v>
      </c>
      <c r="G32" s="1935">
        <v>14078</v>
      </c>
      <c r="H32" s="1935">
        <v>0</v>
      </c>
      <c r="I32" s="1935"/>
      <c r="J32" s="1935">
        <v>0</v>
      </c>
      <c r="K32" s="1935">
        <v>0</v>
      </c>
      <c r="L32" s="1936">
        <f t="shared" si="3"/>
        <v>14078</v>
      </c>
      <c r="M32" s="1340">
        <v>28934</v>
      </c>
    </row>
    <row r="33" spans="2:13" ht="20.100000000000001" customHeight="1" x14ac:dyDescent="0.2">
      <c r="B33" s="1334" t="s">
        <v>758</v>
      </c>
      <c r="C33" s="1338" t="s">
        <v>2089</v>
      </c>
      <c r="D33" s="1339" t="s">
        <v>2105</v>
      </c>
      <c r="E33" s="1935">
        <v>0</v>
      </c>
      <c r="F33" s="1935">
        <f>122654-F34</f>
        <v>113194</v>
      </c>
      <c r="G33" s="1935">
        <v>0</v>
      </c>
      <c r="H33" s="1935">
        <v>0</v>
      </c>
      <c r="I33" s="1935">
        <v>112654</v>
      </c>
      <c r="J33" s="1935">
        <v>0</v>
      </c>
      <c r="K33" s="1935">
        <v>0</v>
      </c>
      <c r="L33" s="1936">
        <f t="shared" si="3"/>
        <v>112654</v>
      </c>
      <c r="M33" s="1340">
        <v>220754</v>
      </c>
    </row>
    <row r="34" spans="2:13" ht="20.100000000000001" customHeight="1" x14ac:dyDescent="0.2">
      <c r="B34" s="1334" t="s">
        <v>758</v>
      </c>
      <c r="C34" s="1338" t="s">
        <v>2089</v>
      </c>
      <c r="D34" s="1339" t="s">
        <v>2106</v>
      </c>
      <c r="E34" s="1935">
        <v>108256</v>
      </c>
      <c r="F34" s="1935">
        <f>117716-E34</f>
        <v>9460</v>
      </c>
      <c r="G34" s="1935">
        <v>117716</v>
      </c>
      <c r="H34" s="1935">
        <v>0</v>
      </c>
      <c r="I34" s="1935">
        <v>0</v>
      </c>
      <c r="J34" s="1935">
        <v>0</v>
      </c>
      <c r="K34" s="1935">
        <v>0</v>
      </c>
      <c r="L34" s="1936">
        <f t="shared" si="3"/>
        <v>117716</v>
      </c>
      <c r="M34" s="1340">
        <v>175342</v>
      </c>
    </row>
    <row r="35" spans="2:13" ht="20.100000000000001" customHeight="1" x14ac:dyDescent="0.2">
      <c r="B35" s="1334" t="s">
        <v>2125</v>
      </c>
      <c r="C35" s="1338" t="s">
        <v>2090</v>
      </c>
      <c r="D35" s="1339" t="s">
        <v>2107</v>
      </c>
      <c r="E35" s="1935">
        <v>0</v>
      </c>
      <c r="F35" s="1935">
        <f>33946-F36</f>
        <v>33916</v>
      </c>
      <c r="G35" s="1935">
        <v>0</v>
      </c>
      <c r="H35" s="1935">
        <v>0</v>
      </c>
      <c r="I35" s="1935">
        <v>33916</v>
      </c>
      <c r="J35" s="1935">
        <v>0</v>
      </c>
      <c r="K35" s="1935">
        <v>0</v>
      </c>
      <c r="L35" s="1936">
        <f t="shared" si="3"/>
        <v>33916</v>
      </c>
      <c r="M35" s="1340">
        <v>36291</v>
      </c>
    </row>
    <row r="36" spans="2:13" ht="20.100000000000001" customHeight="1" x14ac:dyDescent="0.2">
      <c r="B36" s="1334" t="s">
        <v>2125</v>
      </c>
      <c r="C36" s="1338" t="s">
        <v>2090</v>
      </c>
      <c r="D36" s="1339" t="s">
        <v>2108</v>
      </c>
      <c r="E36" s="1935">
        <v>22078</v>
      </c>
      <c r="F36" s="1935">
        <f>22108-E36</f>
        <v>30</v>
      </c>
      <c r="G36" s="1935">
        <v>22108</v>
      </c>
      <c r="H36" s="1935">
        <v>0</v>
      </c>
      <c r="I36" s="1935">
        <v>0</v>
      </c>
      <c r="J36" s="1935">
        <v>0</v>
      </c>
      <c r="K36" s="1935">
        <v>0</v>
      </c>
      <c r="L36" s="1936">
        <f>+G36+I36+K36</f>
        <v>22108</v>
      </c>
      <c r="M36" s="1340">
        <v>27676</v>
      </c>
    </row>
    <row r="37" spans="2:13" ht="20.100000000000001" customHeight="1" x14ac:dyDescent="0.2">
      <c r="B37" s="1334" t="s">
        <v>2126</v>
      </c>
      <c r="C37" s="1338" t="s">
        <v>2091</v>
      </c>
      <c r="D37" s="1339" t="s">
        <v>2154</v>
      </c>
      <c r="E37" s="1935">
        <v>0</v>
      </c>
      <c r="F37" s="1935">
        <v>65689</v>
      </c>
      <c r="G37" s="1935">
        <v>0</v>
      </c>
      <c r="H37" s="1935">
        <v>0</v>
      </c>
      <c r="I37" s="1935">
        <v>65689</v>
      </c>
      <c r="J37" s="1935">
        <v>0</v>
      </c>
      <c r="K37" s="1935">
        <v>0</v>
      </c>
      <c r="L37" s="1936">
        <f t="shared" ref="L37:L47" si="5">+G37+I37+K37</f>
        <v>65689</v>
      </c>
      <c r="M37" s="1340" t="s">
        <v>2117</v>
      </c>
    </row>
    <row r="38" spans="2:13" ht="20.100000000000001" customHeight="1" x14ac:dyDescent="0.2">
      <c r="B38" s="1334" t="s">
        <v>2075</v>
      </c>
      <c r="C38" s="1338" t="s">
        <v>2091</v>
      </c>
      <c r="D38" s="1339" t="s">
        <v>2109</v>
      </c>
      <c r="E38" s="1935">
        <v>0</v>
      </c>
      <c r="F38" s="1935">
        <f>819077-F39</f>
        <v>699107</v>
      </c>
      <c r="G38" s="1935">
        <v>0</v>
      </c>
      <c r="H38" s="1935">
        <v>0</v>
      </c>
      <c r="I38" s="1937">
        <v>699107</v>
      </c>
      <c r="J38" s="1935">
        <v>0</v>
      </c>
      <c r="K38" s="1935">
        <v>0</v>
      </c>
      <c r="L38" s="1936">
        <f t="shared" si="5"/>
        <v>699107</v>
      </c>
      <c r="M38" s="1340">
        <v>822176</v>
      </c>
    </row>
    <row r="39" spans="2:13" ht="20.100000000000001" customHeight="1" x14ac:dyDescent="0.2">
      <c r="B39" s="1334" t="s">
        <v>2076</v>
      </c>
      <c r="C39" s="1338" t="s">
        <v>2091</v>
      </c>
      <c r="D39" s="1339" t="s">
        <v>2110</v>
      </c>
      <c r="E39" s="1935">
        <v>511414</v>
      </c>
      <c r="F39" s="1935">
        <f>631384-E39</f>
        <v>119970</v>
      </c>
      <c r="G39" s="1935">
        <v>631384</v>
      </c>
      <c r="H39" s="1935">
        <v>0</v>
      </c>
      <c r="I39" s="1935">
        <v>0</v>
      </c>
      <c r="J39" s="1935">
        <v>0</v>
      </c>
      <c r="K39" s="1935">
        <v>0</v>
      </c>
      <c r="L39" s="1936">
        <f t="shared" si="5"/>
        <v>631384</v>
      </c>
      <c r="M39" s="1340">
        <v>784258</v>
      </c>
    </row>
    <row r="40" spans="2:13" ht="20.100000000000001" customHeight="1" x14ac:dyDescent="0.2">
      <c r="B40" s="1334" t="s">
        <v>2078</v>
      </c>
      <c r="C40" s="1338" t="s">
        <v>2092</v>
      </c>
      <c r="D40" s="1339" t="s">
        <v>2111</v>
      </c>
      <c r="E40" s="1935"/>
      <c r="F40" s="1935">
        <v>101836</v>
      </c>
      <c r="G40" s="1935"/>
      <c r="H40" s="1935"/>
      <c r="I40" s="1935">
        <v>101836</v>
      </c>
      <c r="J40" s="1935"/>
      <c r="K40" s="1935"/>
      <c r="L40" s="1936"/>
      <c r="M40" s="1340"/>
    </row>
    <row r="41" spans="2:13" x14ac:dyDescent="0.2">
      <c r="B41" s="1934" t="s">
        <v>2077</v>
      </c>
      <c r="C41" s="1338"/>
      <c r="D41" s="1339"/>
      <c r="E41" s="1935"/>
      <c r="F41" s="1935"/>
      <c r="G41" s="1935"/>
      <c r="H41" s="1935"/>
      <c r="I41" s="1935"/>
      <c r="J41" s="1935"/>
      <c r="K41" s="1935"/>
      <c r="L41" s="1936"/>
      <c r="M41" s="1340"/>
    </row>
    <row r="42" spans="2:13" ht="20.100000000000001" customHeight="1" x14ac:dyDescent="0.2">
      <c r="B42" s="1334" t="s">
        <v>2078</v>
      </c>
      <c r="C42" s="1338" t="s">
        <v>2092</v>
      </c>
      <c r="D42" s="1339" t="s">
        <v>2155</v>
      </c>
      <c r="E42" s="1935">
        <v>277364</v>
      </c>
      <c r="F42" s="1935">
        <v>279115</v>
      </c>
      <c r="G42" s="1935">
        <v>277364</v>
      </c>
      <c r="H42" s="1935">
        <v>0</v>
      </c>
      <c r="I42" s="1935">
        <v>279115</v>
      </c>
      <c r="J42" s="1935">
        <v>0</v>
      </c>
      <c r="K42" s="1935">
        <v>0</v>
      </c>
      <c r="L42" s="1936">
        <f t="shared" si="5"/>
        <v>556479</v>
      </c>
      <c r="M42" s="1340" t="s">
        <v>2117</v>
      </c>
    </row>
    <row r="43" spans="2:13" ht="20.100000000000001" customHeight="1" x14ac:dyDescent="0.2">
      <c r="B43" s="1334" t="s">
        <v>2079</v>
      </c>
      <c r="C43" s="1338"/>
      <c r="D43" s="1339"/>
      <c r="E43" s="1935">
        <f t="shared" ref="E43:L43" si="6">SUBTOTAL(109,E24:E42)</f>
        <v>1798811</v>
      </c>
      <c r="F43" s="1935">
        <f t="shared" si="6"/>
        <v>2900588</v>
      </c>
      <c r="G43" s="1935">
        <f t="shared" si="6"/>
        <v>2108512</v>
      </c>
      <c r="H43" s="1935">
        <f t="shared" si="6"/>
        <v>0</v>
      </c>
      <c r="I43" s="1935">
        <f t="shared" si="6"/>
        <v>2660335</v>
      </c>
      <c r="J43" s="1935">
        <f t="shared" ref="J43:K43" si="7">SUBTOTAL(109,J24:J42)</f>
        <v>0</v>
      </c>
      <c r="K43" s="1935">
        <f t="shared" si="7"/>
        <v>0</v>
      </c>
      <c r="L43" s="1935">
        <f t="shared" si="6"/>
        <v>4667011</v>
      </c>
      <c r="M43" s="1340" t="s">
        <v>2117</v>
      </c>
    </row>
    <row r="44" spans="2:13" x14ac:dyDescent="0.2">
      <c r="B44" s="1334" t="s">
        <v>2080</v>
      </c>
      <c r="C44" s="1338"/>
      <c r="D44" s="1339"/>
      <c r="E44" s="1935"/>
      <c r="F44" s="1935"/>
      <c r="G44" s="1935"/>
      <c r="H44" s="1935"/>
      <c r="I44" s="1935"/>
      <c r="J44" s="1935"/>
      <c r="K44" s="1935"/>
      <c r="L44" s="1936"/>
      <c r="M44" s="1340"/>
    </row>
    <row r="45" spans="2:13" ht="12" customHeight="1" x14ac:dyDescent="0.2">
      <c r="B45" s="1934" t="s">
        <v>2081</v>
      </c>
      <c r="C45" s="1338"/>
      <c r="D45" s="1339"/>
      <c r="E45" s="1935"/>
      <c r="F45" s="1935"/>
      <c r="G45" s="1935"/>
      <c r="H45" s="1935"/>
      <c r="I45" s="1935"/>
      <c r="J45" s="1935"/>
      <c r="K45" s="1935"/>
      <c r="L45" s="1936"/>
      <c r="M45" s="1340"/>
    </row>
    <row r="46" spans="2:13" ht="20.100000000000001" customHeight="1" x14ac:dyDescent="0.2">
      <c r="B46" s="1334" t="s">
        <v>2082</v>
      </c>
      <c r="C46" s="1338">
        <v>93.778000000000006</v>
      </c>
      <c r="D46" s="1339" t="s">
        <v>2112</v>
      </c>
      <c r="E46" s="1935">
        <v>0</v>
      </c>
      <c r="F46" s="1935">
        <v>143421</v>
      </c>
      <c r="G46" s="1935">
        <v>0</v>
      </c>
      <c r="H46" s="1935">
        <v>0</v>
      </c>
      <c r="I46" s="1935">
        <v>143421</v>
      </c>
      <c r="J46" s="1935">
        <v>0</v>
      </c>
      <c r="K46" s="1935">
        <v>0</v>
      </c>
      <c r="L46" s="1936">
        <f t="shared" si="5"/>
        <v>143421</v>
      </c>
      <c r="M46" s="1340" t="s">
        <v>2117</v>
      </c>
    </row>
    <row r="47" spans="2:13" ht="20.100000000000001" customHeight="1" x14ac:dyDescent="0.2">
      <c r="B47" s="1334" t="s">
        <v>2082</v>
      </c>
      <c r="C47" s="1338">
        <v>93.778000000000006</v>
      </c>
      <c r="D47" s="1339" t="s">
        <v>2113</v>
      </c>
      <c r="E47" s="1935">
        <v>123648</v>
      </c>
      <c r="F47" s="1935">
        <v>0</v>
      </c>
      <c r="G47" s="1935">
        <v>123648</v>
      </c>
      <c r="H47" s="1935">
        <v>0</v>
      </c>
      <c r="I47" s="1935">
        <v>0</v>
      </c>
      <c r="J47" s="1935">
        <v>0</v>
      </c>
      <c r="K47" s="1935">
        <v>0</v>
      </c>
      <c r="L47" s="1936">
        <f t="shared" si="5"/>
        <v>123648</v>
      </c>
      <c r="M47" s="1340" t="s">
        <v>2117</v>
      </c>
    </row>
    <row r="48" spans="2:13" ht="20.100000000000001" customHeight="1" x14ac:dyDescent="0.2">
      <c r="B48" s="1334" t="s">
        <v>2083</v>
      </c>
      <c r="C48" s="1338"/>
      <c r="D48" s="1339"/>
      <c r="E48" s="1935">
        <f t="shared" ref="E48:L48" si="8">SUBTOTAL(109,E46:E47)</f>
        <v>123648</v>
      </c>
      <c r="F48" s="1935">
        <f t="shared" si="8"/>
        <v>143421</v>
      </c>
      <c r="G48" s="1935">
        <f t="shared" si="8"/>
        <v>123648</v>
      </c>
      <c r="H48" s="1935">
        <f t="shared" si="8"/>
        <v>0</v>
      </c>
      <c r="I48" s="1935">
        <f t="shared" si="8"/>
        <v>143421</v>
      </c>
      <c r="J48" s="1935">
        <f t="shared" ref="J48:K48" si="9">SUBTOTAL(109,J46:J47)</f>
        <v>0</v>
      </c>
      <c r="K48" s="1935">
        <f t="shared" si="9"/>
        <v>0</v>
      </c>
      <c r="L48" s="1935">
        <f t="shared" si="8"/>
        <v>267069</v>
      </c>
      <c r="M48" s="1340" t="s">
        <v>2117</v>
      </c>
    </row>
    <row r="49" spans="2:14" ht="20.100000000000001" customHeight="1" x14ac:dyDescent="0.2">
      <c r="B49" s="1334" t="s">
        <v>2084</v>
      </c>
      <c r="C49" s="1338"/>
      <c r="D49" s="1339"/>
      <c r="E49" s="1935">
        <f t="shared" ref="E49:L49" si="10">SUBTOTAL(109,E14:E48)</f>
        <v>3281381</v>
      </c>
      <c r="F49" s="1935">
        <f t="shared" si="10"/>
        <v>4732380</v>
      </c>
      <c r="G49" s="1935">
        <f t="shared" si="10"/>
        <v>3591082</v>
      </c>
      <c r="H49" s="1935">
        <f t="shared" si="10"/>
        <v>0</v>
      </c>
      <c r="I49" s="1935">
        <f t="shared" si="10"/>
        <v>4492127</v>
      </c>
      <c r="J49" s="1935">
        <f t="shared" si="10"/>
        <v>0</v>
      </c>
      <c r="K49" s="1935">
        <f t="shared" si="10"/>
        <v>0</v>
      </c>
      <c r="L49" s="1935">
        <f t="shared" si="10"/>
        <v>7981373</v>
      </c>
      <c r="M49" s="1340"/>
    </row>
    <row r="50" spans="2:14" ht="13.5" customHeight="1" x14ac:dyDescent="0.2">
      <c r="B50" s="1279" t="s">
        <v>1734</v>
      </c>
      <c r="C50" s="1342"/>
      <c r="D50" s="1343"/>
      <c r="E50" s="1254"/>
      <c r="F50" s="1254"/>
      <c r="G50" s="1247"/>
      <c r="H50" s="1247"/>
      <c r="I50" s="1247"/>
      <c r="J50" s="1247"/>
      <c r="K50" s="1247"/>
      <c r="L50" s="1247"/>
      <c r="M50" s="1254"/>
      <c r="N50" s="1341"/>
    </row>
    <row r="51" spans="2:14" ht="8.25" customHeight="1" x14ac:dyDescent="0.2">
      <c r="B51" s="1279"/>
      <c r="C51" s="1342"/>
      <c r="D51" s="1343"/>
      <c r="E51" s="1254"/>
      <c r="F51" s="1254"/>
      <c r="G51" s="1247"/>
      <c r="H51" s="1247"/>
      <c r="I51" s="1247"/>
      <c r="J51" s="1247"/>
      <c r="K51" s="1247"/>
      <c r="L51" s="1247"/>
      <c r="M51" s="1254"/>
      <c r="N51" s="1341"/>
    </row>
    <row r="52" spans="2:14" x14ac:dyDescent="0.2">
      <c r="B52" s="1344" t="s">
        <v>1837</v>
      </c>
      <c r="C52" s="1345"/>
      <c r="D52" s="1346"/>
      <c r="E52" s="1347"/>
      <c r="F52" s="1347"/>
      <c r="G52" s="1347"/>
      <c r="H52" s="1347"/>
      <c r="I52" s="317"/>
      <c r="J52" s="317"/>
    </row>
    <row r="53" spans="2:14" ht="5.25" customHeight="1" x14ac:dyDescent="0.2">
      <c r="B53" s="1274"/>
      <c r="C53" s="1348"/>
      <c r="D53" s="1349"/>
      <c r="E53" s="1275"/>
      <c r="F53" s="1275"/>
      <c r="G53" s="317"/>
      <c r="H53" s="317"/>
      <c r="I53" s="317"/>
      <c r="J53" s="317"/>
    </row>
    <row r="54" spans="2:14" ht="13.5" customHeight="1" x14ac:dyDescent="0.2">
      <c r="B54" s="1273" t="s">
        <v>1246</v>
      </c>
      <c r="G54" s="317"/>
      <c r="H54" s="317"/>
      <c r="I54" s="317"/>
      <c r="J54" s="317"/>
    </row>
    <row r="55" spans="2:14" ht="6" customHeight="1" x14ac:dyDescent="0.2">
      <c r="B55" s="1352"/>
      <c r="C55" s="1353"/>
      <c r="D55" s="1354"/>
      <c r="E55" s="1294"/>
      <c r="F55" s="1294"/>
      <c r="G55" s="1294"/>
      <c r="H55" s="1294"/>
      <c r="I55" s="1294"/>
      <c r="J55" s="1294"/>
      <c r="K55" s="1355"/>
      <c r="L55" s="1355"/>
      <c r="M55" s="1294"/>
    </row>
    <row r="56" spans="2:14" ht="9.6" customHeight="1" x14ac:dyDescent="0.2">
      <c r="B56" s="1356"/>
      <c r="G56" s="317"/>
      <c r="H56" s="317"/>
      <c r="I56" s="317"/>
      <c r="J56" s="317"/>
    </row>
    <row r="57" spans="2:14" ht="11.25" customHeight="1" x14ac:dyDescent="0.2">
      <c r="B57" s="1357" t="s">
        <v>1735</v>
      </c>
      <c r="C57" s="1358"/>
      <c r="D57" s="1358"/>
      <c r="E57" s="1358"/>
      <c r="F57" s="1358"/>
      <c r="G57" s="1358"/>
      <c r="H57" s="1358"/>
      <c r="I57" s="1359"/>
      <c r="J57" s="1359"/>
      <c r="K57" s="1359"/>
      <c r="L57" s="1359"/>
      <c r="M57" s="1359"/>
    </row>
    <row r="58" spans="2:14" ht="11.25" customHeight="1" x14ac:dyDescent="0.2">
      <c r="B58" s="1360" t="s">
        <v>1584</v>
      </c>
      <c r="C58" s="1359"/>
      <c r="D58" s="1359"/>
      <c r="E58" s="1359"/>
      <c r="F58" s="1359"/>
      <c r="G58" s="1359"/>
      <c r="H58" s="1359"/>
      <c r="I58" s="1359"/>
      <c r="J58" s="1359"/>
      <c r="K58" s="1359"/>
      <c r="L58" s="1359"/>
      <c r="M58" s="1359"/>
    </row>
    <row r="59" spans="2:14" ht="3.95" customHeight="1" x14ac:dyDescent="0.2">
      <c r="B59" s="1360"/>
      <c r="C59" s="1359"/>
      <c r="D59" s="1359"/>
      <c r="E59" s="1359"/>
      <c r="F59" s="1359"/>
      <c r="G59" s="1359"/>
      <c r="H59" s="1359"/>
      <c r="I59" s="1359"/>
      <c r="J59" s="1359"/>
      <c r="K59" s="1359"/>
      <c r="L59" s="1359"/>
      <c r="M59" s="1359"/>
    </row>
    <row r="60" spans="2:14" ht="11.25" customHeight="1" x14ac:dyDescent="0.2">
      <c r="B60" s="1357" t="s">
        <v>1736</v>
      </c>
      <c r="C60" s="1359"/>
      <c r="D60" s="1359"/>
      <c r="E60" s="1359"/>
      <c r="F60" s="1359"/>
      <c r="G60" s="1359"/>
      <c r="H60" s="1359"/>
      <c r="I60" s="1359"/>
      <c r="J60" s="1359"/>
      <c r="K60" s="1359"/>
      <c r="L60" s="1359"/>
      <c r="M60" s="1359"/>
    </row>
    <row r="61" spans="2:14" ht="11.25" customHeight="1" x14ac:dyDescent="0.2">
      <c r="B61" s="1297" t="s">
        <v>1585</v>
      </c>
      <c r="C61" s="1361"/>
      <c r="D61" s="1362"/>
      <c r="E61" s="1297"/>
      <c r="F61" s="1297"/>
      <c r="G61" s="1297"/>
      <c r="H61" s="1297"/>
      <c r="I61" s="1297"/>
      <c r="J61" s="1297"/>
      <c r="K61" s="1363"/>
      <c r="L61" s="1363"/>
      <c r="M61" s="1297"/>
    </row>
    <row r="62" spans="2:14" ht="3.95" customHeight="1" x14ac:dyDescent="0.2">
      <c r="B62" s="1297"/>
      <c r="C62" s="1361"/>
      <c r="D62" s="1362"/>
      <c r="E62" s="1297"/>
      <c r="F62" s="1297"/>
      <c r="G62" s="1297"/>
      <c r="H62" s="1297"/>
      <c r="I62" s="1297"/>
      <c r="J62" s="1297"/>
      <c r="K62" s="1363"/>
      <c r="L62" s="1363"/>
      <c r="M62" s="1297"/>
    </row>
    <row r="63" spans="2:14" ht="11.25" customHeight="1" x14ac:dyDescent="0.2">
      <c r="B63" s="1364" t="s">
        <v>1737</v>
      </c>
      <c r="C63" s="1361"/>
      <c r="D63" s="1362"/>
      <c r="E63" s="1297"/>
      <c r="F63" s="1297"/>
      <c r="G63" s="1297"/>
      <c r="H63" s="1297"/>
      <c r="I63" s="1297"/>
      <c r="J63" s="1297"/>
      <c r="K63" s="1363"/>
      <c r="L63" s="1363"/>
      <c r="M63" s="1297"/>
    </row>
    <row r="64" spans="2:14" ht="3.95" customHeight="1" x14ac:dyDescent="0.2">
      <c r="B64" s="1364"/>
      <c r="C64" s="1361"/>
      <c r="D64" s="1362"/>
      <c r="E64" s="1297"/>
      <c r="F64" s="1297"/>
      <c r="G64" s="1297"/>
      <c r="H64" s="1297"/>
      <c r="I64" s="1297"/>
      <c r="J64" s="1297"/>
      <c r="K64" s="1363"/>
      <c r="L64" s="1363"/>
      <c r="M64" s="1297"/>
    </row>
    <row r="65" spans="2:13" ht="11.25" customHeight="1" x14ac:dyDescent="0.2">
      <c r="B65" s="1365" t="s">
        <v>1738</v>
      </c>
      <c r="C65" s="1361"/>
      <c r="D65" s="1362"/>
      <c r="E65" s="1297"/>
      <c r="F65" s="1297"/>
      <c r="G65" s="1297"/>
      <c r="H65" s="1297"/>
      <c r="I65" s="1297"/>
      <c r="J65" s="1297"/>
      <c r="K65" s="1363"/>
      <c r="L65" s="1363"/>
      <c r="M65" s="1297"/>
    </row>
    <row r="66" spans="2:13" ht="11.25" customHeight="1" x14ac:dyDescent="0.2">
      <c r="B66" s="1297" t="s">
        <v>1586</v>
      </c>
      <c r="G66" s="317"/>
      <c r="H66" s="317"/>
      <c r="I66" s="317"/>
      <c r="J66" s="317"/>
    </row>
    <row r="67" spans="2:13" ht="11.1" customHeight="1" x14ac:dyDescent="0.2">
      <c r="B67" s="1297"/>
      <c r="G67" s="317"/>
      <c r="H67" s="317"/>
      <c r="I67" s="317"/>
      <c r="J67" s="317"/>
    </row>
    <row r="68" spans="2:13" ht="11.1" customHeight="1" x14ac:dyDescent="0.2">
      <c r="B68" s="1297"/>
      <c r="G68" s="317"/>
      <c r="H68" s="317"/>
      <c r="I68" s="317"/>
      <c r="J68" s="317"/>
    </row>
    <row r="69" spans="2:13" ht="13.5" customHeight="1" x14ac:dyDescent="0.2">
      <c r="M69" s="1366"/>
    </row>
    <row r="70" spans="2:13" ht="13.5" customHeight="1" x14ac:dyDescent="0.2">
      <c r="M70" s="1366"/>
    </row>
    <row r="71" spans="2:13" ht="13.5" customHeight="1" x14ac:dyDescent="0.2">
      <c r="M71" s="1366"/>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25" bottom="0.23" header="0.19" footer="0.17"/>
  <pageSetup scale="59" firstPageNumber="38" orientation="landscape" useFirstPageNumber="1" r:id="rId1"/>
  <headerFooter alignWithMargins="0">
    <oddHeader>&amp;L&amp;8Page 40&amp;R&amp;8Page 40</oddHeader>
  </headerFooter>
  <ignoredErrors>
    <ignoredError sqref="F15:L15 E21:E23 F14 H14:L14 F17:L18 F16 H16:L16 F21:L23 F19 H19:L19 G20:H20 E26:E28 F27:H27 F24 H24:L24 F25 H25:L25 F30:L30 G28:L28 E30 F29 H29 F34:L34 G32:L32 E32 F31 H31:L31 F33 H33 E34 E36 F36:L36 F35 H35:L35 F41:L41 F37 H37:L37 F38 H38:L38 E41:E45 E47:E48 F48:L48 G47:H47 H46 J47:L47 J20:L20 J46:L46 E49 F49:L49 E39 F39:L39 F43:L45 G42:H42 J42:L42 F26:H26 J26:L26 J27:L27 J29:L29 J33:L3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BERWYN NORTH SD 98</v>
      </c>
      <c r="B1" s="2450"/>
      <c r="C1" s="2450"/>
      <c r="D1" s="2450"/>
      <c r="E1" s="2450"/>
      <c r="F1" s="2450"/>
    </row>
    <row r="2" spans="1:7" ht="13.5" customHeight="1" x14ac:dyDescent="0.2">
      <c r="A2" s="2438" t="str">
        <f>'Single Audit Cover'!E7</f>
        <v>06-016-0980-02</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2121</v>
      </c>
      <c r="B7" s="2449"/>
      <c r="C7" s="2449"/>
      <c r="D7" s="2449"/>
      <c r="E7" s="2449"/>
      <c r="F7" s="244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8"/>
      <c r="D11" s="1277"/>
      <c r="E11" s="1898"/>
      <c r="F11" s="1277"/>
      <c r="G11" s="1275"/>
    </row>
    <row r="12" spans="1:7" x14ac:dyDescent="0.2">
      <c r="A12" s="1273" t="s">
        <v>1587</v>
      </c>
      <c r="C12" s="1257"/>
      <c r="D12" s="1257"/>
    </row>
    <row r="13" spans="1:7" ht="15" customHeight="1" x14ac:dyDescent="0.2">
      <c r="A13" s="2449" t="s">
        <v>2122</v>
      </c>
      <c r="B13" s="2449"/>
      <c r="C13" s="2449"/>
      <c r="D13" s="2449"/>
      <c r="E13" s="2449"/>
      <c r="F13" s="2449"/>
    </row>
    <row r="14" spans="1:7" ht="9.75" customHeight="1" x14ac:dyDescent="0.2">
      <c r="C14" s="1257"/>
      <c r="D14" s="1257"/>
    </row>
    <row r="15" spans="1:7" ht="13.5" customHeight="1" x14ac:dyDescent="0.2">
      <c r="C15" s="1842" t="s">
        <v>1270</v>
      </c>
      <c r="D15" s="2447" t="s">
        <v>1269</v>
      </c>
      <c r="E15" s="2447"/>
      <c r="F15" s="2447"/>
    </row>
    <row r="16" spans="1:7" ht="13.5" customHeight="1" x14ac:dyDescent="0.2">
      <c r="A16" s="1279"/>
      <c r="B16" s="1273" t="s">
        <v>1268</v>
      </c>
      <c r="C16" s="1842" t="s">
        <v>1267</v>
      </c>
      <c r="D16" s="2448" t="s">
        <v>1588</v>
      </c>
      <c r="E16" s="2448"/>
      <c r="F16" s="2448"/>
    </row>
    <row r="17" spans="1:6" ht="20.45" customHeight="1" x14ac:dyDescent="0.2">
      <c r="A17" s="1280"/>
      <c r="B17" s="1281" t="s">
        <v>2152</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58"/>
      <c r="D30" s="1899"/>
      <c r="E30" s="1283"/>
    </row>
    <row r="31" spans="1:6" ht="12" customHeight="1" x14ac:dyDescent="0.2">
      <c r="A31" s="1284" t="s">
        <v>1549</v>
      </c>
      <c r="B31" s="328"/>
      <c r="C31" s="1458"/>
      <c r="D31" s="1899"/>
      <c r="E31" s="1283"/>
    </row>
    <row r="32" spans="1:6" ht="30" customHeight="1" x14ac:dyDescent="0.2">
      <c r="A32" s="2443" t="s">
        <v>2151</v>
      </c>
      <c r="B32" s="2443"/>
      <c r="C32" s="2443"/>
      <c r="D32" s="2443"/>
      <c r="E32" s="2443"/>
      <c r="F32" s="2443"/>
    </row>
    <row r="33" spans="1:6" ht="13.5" customHeight="1" x14ac:dyDescent="0.2">
      <c r="A33" s="328" t="s">
        <v>1434</v>
      </c>
      <c r="B33" s="328"/>
      <c r="C33" s="1285">
        <v>115463</v>
      </c>
      <c r="D33" s="1899"/>
      <c r="E33" s="1283"/>
    </row>
    <row r="34" spans="1:6" ht="13.5" customHeight="1" x14ac:dyDescent="0.2">
      <c r="A34" s="328" t="s">
        <v>1835</v>
      </c>
      <c r="B34" s="328"/>
      <c r="C34" s="1286">
        <v>0</v>
      </c>
      <c r="D34" s="1899" t="s">
        <v>1589</v>
      </c>
      <c r="E34" s="2444">
        <f>+C33+C34</f>
        <v>115463</v>
      </c>
      <c r="F34" s="2445"/>
    </row>
    <row r="35" spans="1:6" ht="12" customHeight="1" x14ac:dyDescent="0.2">
      <c r="A35" s="328"/>
      <c r="B35" s="328"/>
      <c r="C35" s="1900"/>
      <c r="D35" s="1899"/>
      <c r="E35" s="1287"/>
      <c r="F35" s="1288"/>
    </row>
    <row r="36" spans="1:6" ht="13.5" customHeight="1" x14ac:dyDescent="0.2">
      <c r="A36" s="1284" t="s">
        <v>1550</v>
      </c>
      <c r="B36" s="328"/>
      <c r="C36" s="1458"/>
      <c r="D36" s="1899"/>
      <c r="E36" s="1283"/>
    </row>
    <row r="37" spans="1:6" ht="14.25" customHeight="1" x14ac:dyDescent="0.2">
      <c r="A37" s="328" t="s">
        <v>1484</v>
      </c>
      <c r="B37" s="328"/>
      <c r="C37" s="1901"/>
      <c r="D37" s="1899"/>
      <c r="E37" s="1283"/>
    </row>
    <row r="38" spans="1:6" ht="14.25" customHeight="1" x14ac:dyDescent="0.2">
      <c r="A38" s="328"/>
      <c r="B38" s="328" t="s">
        <v>1435</v>
      </c>
      <c r="C38" s="1289"/>
      <c r="D38" s="1899"/>
      <c r="E38" s="1283"/>
    </row>
    <row r="39" spans="1:6" ht="14.25" customHeight="1" x14ac:dyDescent="0.2">
      <c r="A39" s="328"/>
      <c r="B39" s="328" t="s">
        <v>1436</v>
      </c>
      <c r="C39" s="1289"/>
      <c r="D39" s="1899"/>
      <c r="E39" s="1283"/>
    </row>
    <row r="40" spans="1:6" ht="14.25" customHeight="1" x14ac:dyDescent="0.2">
      <c r="A40" s="328"/>
      <c r="B40" s="328" t="s">
        <v>1437</v>
      </c>
      <c r="C40" s="1289"/>
      <c r="D40" s="1899"/>
      <c r="E40" s="1283"/>
    </row>
    <row r="41" spans="1:6" ht="14.25" customHeight="1" x14ac:dyDescent="0.2">
      <c r="A41" s="328"/>
      <c r="B41" s="328" t="s">
        <v>1438</v>
      </c>
      <c r="C41" s="1289"/>
      <c r="D41" s="1899"/>
      <c r="E41" s="1283"/>
    </row>
    <row r="42" spans="1:6" ht="14.25" customHeight="1" x14ac:dyDescent="0.2">
      <c r="A42" s="328" t="s">
        <v>1439</v>
      </c>
      <c r="B42" s="328"/>
      <c r="C42" s="1897"/>
      <c r="D42" s="1899"/>
      <c r="E42" s="1283"/>
    </row>
    <row r="43" spans="1:6" ht="14.25" customHeight="1" x14ac:dyDescent="0.2">
      <c r="A43" s="328" t="s">
        <v>1440</v>
      </c>
      <c r="B43" s="328"/>
      <c r="C43" s="1290"/>
      <c r="D43" s="1899"/>
      <c r="E43" s="1283"/>
    </row>
    <row r="44" spans="1:6" ht="14.25" customHeight="1" x14ac:dyDescent="0.2">
      <c r="A44" s="328"/>
      <c r="B44" s="328"/>
      <c r="C44" s="1901" t="s">
        <v>1441</v>
      </c>
      <c r="D44" s="1899"/>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2"/>
    </row>
    <row r="50" spans="1:5" s="1297" customFormat="1" ht="3.75" customHeight="1" x14ac:dyDescent="0.2">
      <c r="A50" s="1296"/>
      <c r="B50" s="1841"/>
      <c r="C50" s="1841"/>
      <c r="D50" s="1841"/>
      <c r="E50" s="1392"/>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J26" sqref="J26"/>
    </sheetView>
  </sheetViews>
  <sheetFormatPr defaultColWidth="9.140625" defaultRowHeight="12.75" x14ac:dyDescent="0.2"/>
  <cols>
    <col min="1" max="1" width="1.42578125" style="1297" customWidth="1"/>
    <col min="2" max="2" width="24.42578125" style="135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BERWYN NORTH SD 98</v>
      </c>
      <c r="C1" s="2465"/>
      <c r="D1" s="2465"/>
      <c r="E1" s="2465"/>
      <c r="F1" s="2465"/>
      <c r="G1" s="2465"/>
      <c r="H1" s="2465"/>
      <c r="I1" s="2465"/>
      <c r="J1" s="1402"/>
    </row>
    <row r="2" spans="2:10" s="317" customFormat="1" ht="12.75" customHeight="1" x14ac:dyDescent="0.2">
      <c r="B2" s="2466" t="str">
        <f>'Single Audit Cover'!E7</f>
        <v>06-016-0980-02</v>
      </c>
      <c r="C2" s="2467"/>
      <c r="D2" s="2467"/>
      <c r="E2" s="2467"/>
      <c r="F2" s="2467"/>
      <c r="G2" s="2467"/>
      <c r="H2" s="2467"/>
      <c r="I2" s="2467"/>
      <c r="J2" s="1402"/>
    </row>
    <row r="3" spans="2:10" s="317" customFormat="1" ht="12.75" customHeight="1" x14ac:dyDescent="0.2">
      <c r="B3" s="2468" t="s">
        <v>1285</v>
      </c>
      <c r="C3" s="2469"/>
      <c r="D3" s="2469"/>
      <c r="E3" s="2469"/>
      <c r="F3" s="2469"/>
      <c r="G3" s="2469"/>
      <c r="H3" s="2469"/>
      <c r="I3" s="2469"/>
      <c r="J3" s="1403"/>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4" t="s">
        <v>1169</v>
      </c>
      <c r="C5" s="1291"/>
      <c r="D5" s="1291"/>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68" t="s">
        <v>1284</v>
      </c>
      <c r="C7" s="2469"/>
      <c r="D7" s="2469"/>
      <c r="E7" s="2469"/>
      <c r="F7" s="2469"/>
      <c r="G7" s="2469"/>
      <c r="H7" s="2469"/>
      <c r="I7" s="2469"/>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5"/>
    </row>
    <row r="11" spans="2:10" s="317" customFormat="1" ht="13.5" customHeight="1" x14ac:dyDescent="0.2">
      <c r="B11" s="1342" t="s">
        <v>1282</v>
      </c>
      <c r="C11" s="2470" t="s">
        <v>2123</v>
      </c>
      <c r="D11" s="2470"/>
      <c r="E11" s="1412"/>
      <c r="F11" s="1412"/>
      <c r="G11" s="1412"/>
    </row>
    <row r="12" spans="2:10" s="317" customFormat="1" ht="11.45" customHeight="1" x14ac:dyDescent="0.2">
      <c r="B12" s="1350"/>
      <c r="C12" s="1413" t="s">
        <v>1442</v>
      </c>
      <c r="D12" s="1414"/>
      <c r="E12" s="1255"/>
    </row>
    <row r="13" spans="2:10" s="317" customFormat="1" ht="12.75" customHeight="1" x14ac:dyDescent="0.2">
      <c r="B13" s="1415"/>
      <c r="C13" s="1380"/>
      <c r="D13" s="1380"/>
      <c r="E13" s="1255"/>
    </row>
    <row r="14" spans="2:10" s="317" customFormat="1" ht="12.75" customHeight="1" x14ac:dyDescent="0.2">
      <c r="B14" s="1361" t="s">
        <v>1281</v>
      </c>
      <c r="C14" s="1279"/>
      <c r="E14" s="1255"/>
    </row>
    <row r="15" spans="2:10" s="317" customFormat="1" ht="13.5" customHeight="1" x14ac:dyDescent="0.2">
      <c r="B15" s="1416" t="s">
        <v>1278</v>
      </c>
      <c r="C15" s="1417"/>
      <c r="D15" s="1391"/>
      <c r="E15" s="1418"/>
      <c r="F15" s="1297" t="s">
        <v>885</v>
      </c>
      <c r="G15" s="1418" t="s">
        <v>2061</v>
      </c>
      <c r="H15" s="1297" t="s">
        <v>1276</v>
      </c>
      <c r="I15" s="1297"/>
    </row>
    <row r="16" spans="2:10" s="317" customFormat="1" ht="8.4499999999999993" customHeight="1" x14ac:dyDescent="0.2">
      <c r="B16" s="1361"/>
      <c r="C16" s="1279"/>
      <c r="E16" s="1376"/>
      <c r="F16" s="1297"/>
      <c r="G16" s="322"/>
      <c r="H16" s="1297"/>
      <c r="I16" s="1297"/>
    </row>
    <row r="17" spans="2:9" s="317" customFormat="1" ht="13.5" customHeight="1" x14ac:dyDescent="0.2">
      <c r="B17" s="1416" t="s">
        <v>1277</v>
      </c>
      <c r="C17" s="1417"/>
      <c r="D17" s="1391"/>
      <c r="E17" s="1419"/>
      <c r="F17" s="1254"/>
      <c r="G17" s="1419"/>
      <c r="H17" s="1297"/>
      <c r="I17" s="1297"/>
    </row>
    <row r="18" spans="2:9" s="317" customFormat="1" ht="12.75" customHeight="1" x14ac:dyDescent="0.2">
      <c r="B18" s="1416" t="s">
        <v>1443</v>
      </c>
      <c r="C18" s="1417"/>
      <c r="D18" s="1391"/>
      <c r="E18" s="1418"/>
      <c r="F18" s="1297" t="s">
        <v>885</v>
      </c>
      <c r="G18" s="1418" t="s">
        <v>2061</v>
      </c>
      <c r="H18" s="1297" t="s">
        <v>1276</v>
      </c>
      <c r="I18" s="1297"/>
    </row>
    <row r="19" spans="2:9" s="317" customFormat="1" ht="8.4499999999999993" customHeight="1" x14ac:dyDescent="0.2">
      <c r="B19" s="1361"/>
      <c r="C19" s="1279"/>
      <c r="E19" s="1376"/>
      <c r="F19" s="1297"/>
      <c r="G19" s="322"/>
      <c r="H19" s="1297"/>
      <c r="I19" s="1297"/>
    </row>
    <row r="20" spans="2:9" s="317" customFormat="1" ht="13.5" customHeight="1" x14ac:dyDescent="0.2">
      <c r="B20" s="1416" t="s">
        <v>1591</v>
      </c>
      <c r="C20" s="1417"/>
      <c r="D20" s="1391"/>
      <c r="E20" s="1418"/>
      <c r="F20" s="1297" t="s">
        <v>885</v>
      </c>
      <c r="G20" s="1418" t="s">
        <v>2061</v>
      </c>
      <c r="H20" s="1297" t="s">
        <v>99</v>
      </c>
      <c r="I20" s="1297"/>
    </row>
    <row r="21" spans="2:9" s="317" customFormat="1" ht="12.75" customHeight="1" x14ac:dyDescent="0.2">
      <c r="B21" s="1361"/>
      <c r="C21" s="1279"/>
      <c r="E21" s="1376"/>
      <c r="F21" s="1297"/>
      <c r="G21" s="322"/>
      <c r="H21" s="1297"/>
      <c r="I21" s="1297"/>
    </row>
    <row r="22" spans="2:9" s="317" customFormat="1" ht="12.75" customHeight="1" x14ac:dyDescent="0.2">
      <c r="B22" s="1410" t="s">
        <v>1280</v>
      </c>
      <c r="C22" s="1420"/>
      <c r="D22" s="1411"/>
      <c r="E22" s="1376"/>
      <c r="F22" s="1297"/>
      <c r="G22" s="322"/>
      <c r="H22" s="1297"/>
      <c r="I22" s="1297"/>
    </row>
    <row r="23" spans="2:9" s="317" customFormat="1" ht="12.75" customHeight="1" x14ac:dyDescent="0.2">
      <c r="B23" s="1361" t="s">
        <v>1279</v>
      </c>
      <c r="C23" s="1279"/>
      <c r="E23" s="1376"/>
      <c r="F23" s="1297"/>
      <c r="G23" s="322"/>
      <c r="H23" s="1297"/>
      <c r="I23" s="1297"/>
    </row>
    <row r="24" spans="2:9" s="317" customFormat="1" ht="13.5" customHeight="1" x14ac:dyDescent="0.2">
      <c r="B24" s="1416" t="s">
        <v>1278</v>
      </c>
      <c r="C24" s="1417"/>
      <c r="D24" s="1391"/>
      <c r="E24" s="1418"/>
      <c r="F24" s="1297" t="s">
        <v>885</v>
      </c>
      <c r="G24" s="1418" t="s">
        <v>2061</v>
      </c>
      <c r="H24" s="1297" t="s">
        <v>1276</v>
      </c>
      <c r="I24" s="1297"/>
    </row>
    <row r="25" spans="2:9" s="317" customFormat="1" ht="8.4499999999999993" customHeight="1" x14ac:dyDescent="0.2">
      <c r="B25" s="1361"/>
      <c r="C25" s="1279"/>
      <c r="E25" s="1376"/>
      <c r="F25" s="1297"/>
      <c r="G25" s="322"/>
      <c r="H25" s="1297"/>
      <c r="I25" s="1297"/>
    </row>
    <row r="26" spans="2:9" s="317" customFormat="1" ht="13.5" customHeight="1" x14ac:dyDescent="0.2">
      <c r="B26" s="1416" t="s">
        <v>1277</v>
      </c>
      <c r="C26" s="1417"/>
      <c r="D26" s="1391"/>
      <c r="E26" s="1419"/>
      <c r="F26" s="1254"/>
      <c r="G26" s="1419"/>
      <c r="H26" s="1297"/>
      <c r="I26" s="1297"/>
    </row>
    <row r="27" spans="2:9" s="317" customFormat="1" ht="12.75" customHeight="1" x14ac:dyDescent="0.2">
      <c r="B27" s="1416" t="s">
        <v>1443</v>
      </c>
      <c r="C27" s="1417"/>
      <c r="D27" s="1391"/>
      <c r="E27" s="1418"/>
      <c r="F27" s="1297" t="s">
        <v>885</v>
      </c>
      <c r="G27" s="1418" t="s">
        <v>2061</v>
      </c>
      <c r="H27" s="1297" t="s">
        <v>1276</v>
      </c>
      <c r="I27" s="1297"/>
    </row>
    <row r="28" spans="2:9" s="317" customFormat="1" ht="12.75" customHeight="1" x14ac:dyDescent="0.2">
      <c r="B28" s="1361"/>
      <c r="C28" s="1279"/>
      <c r="E28" s="1255"/>
    </row>
    <row r="29" spans="2:9" s="317" customFormat="1" ht="12.75" customHeight="1" x14ac:dyDescent="0.2">
      <c r="B29" s="1361" t="s">
        <v>1275</v>
      </c>
      <c r="C29" s="1279"/>
      <c r="D29" s="2471" t="s">
        <v>2123</v>
      </c>
      <c r="E29" s="2471"/>
      <c r="F29" s="2471"/>
      <c r="G29" s="2471"/>
      <c r="H29" s="2471"/>
      <c r="I29" s="2471"/>
    </row>
    <row r="30" spans="2:9" s="317" customFormat="1" x14ac:dyDescent="0.2">
      <c r="B30" s="1361"/>
      <c r="C30" s="322"/>
      <c r="D30" s="1413" t="s">
        <v>1745</v>
      </c>
      <c r="E30" s="1414"/>
      <c r="F30" s="1414"/>
      <c r="G30" s="1414"/>
      <c r="H30" s="1414"/>
      <c r="I30" s="1414"/>
    </row>
    <row r="31" spans="2:9" s="317" customFormat="1" ht="9.9499999999999993" customHeight="1" x14ac:dyDescent="0.2">
      <c r="B31" s="1361"/>
      <c r="E31" s="1255"/>
    </row>
    <row r="32" spans="2:9" s="317" customFormat="1" x14ac:dyDescent="0.2">
      <c r="B32" s="1361" t="s">
        <v>1274</v>
      </c>
      <c r="C32" s="1279"/>
      <c r="E32" s="1255"/>
    </row>
    <row r="33" spans="2:9" ht="13.5" customHeight="1" x14ac:dyDescent="0.2">
      <c r="B33" s="1361" t="s">
        <v>1552</v>
      </c>
      <c r="C33" s="1279"/>
      <c r="E33" s="1418"/>
      <c r="F33" s="1297" t="s">
        <v>885</v>
      </c>
      <c r="G33" s="1418" t="s">
        <v>2061</v>
      </c>
      <c r="H33" s="1297" t="s">
        <v>99</v>
      </c>
    </row>
    <row r="35" spans="2:9" x14ac:dyDescent="0.2">
      <c r="B35" s="1421" t="s">
        <v>1746</v>
      </c>
      <c r="C35" s="1422"/>
      <c r="D35" s="1264"/>
    </row>
    <row r="36" spans="2:9" ht="6" customHeight="1" x14ac:dyDescent="0.2">
      <c r="B36" s="1421"/>
      <c r="C36" s="1422"/>
      <c r="D36" s="1264"/>
    </row>
    <row r="37" spans="2:9" ht="17.25" customHeight="1" x14ac:dyDescent="0.2">
      <c r="B37" s="1423" t="s">
        <v>1747</v>
      </c>
      <c r="C37" s="2472" t="s">
        <v>1748</v>
      </c>
      <c r="D37" s="2473"/>
      <c r="E37" s="2473"/>
      <c r="F37" s="2474"/>
      <c r="G37" s="2472" t="s">
        <v>1592</v>
      </c>
      <c r="H37" s="2473"/>
      <c r="I37" s="2474"/>
    </row>
    <row r="38" spans="2:9" ht="16.5" customHeight="1" x14ac:dyDescent="0.2">
      <c r="B38" s="1424" t="s">
        <v>2086</v>
      </c>
      <c r="C38" s="2460" t="s">
        <v>2124</v>
      </c>
      <c r="D38" s="2461"/>
      <c r="E38" s="2461"/>
      <c r="F38" s="2462"/>
      <c r="G38" s="2475">
        <v>1214935</v>
      </c>
      <c r="H38" s="2476"/>
      <c r="I38" s="2477"/>
    </row>
    <row r="39" spans="2:9" ht="16.5" customHeight="1" x14ac:dyDescent="0.2">
      <c r="B39" s="1424" t="s">
        <v>2128</v>
      </c>
      <c r="C39" s="2460" t="s">
        <v>2127</v>
      </c>
      <c r="D39" s="2461"/>
      <c r="E39" s="2461"/>
      <c r="F39" s="2462"/>
      <c r="G39" s="2463">
        <v>798712</v>
      </c>
      <c r="H39" s="2463"/>
      <c r="I39" s="2463"/>
    </row>
    <row r="40" spans="2:9" ht="16.5" customHeight="1" x14ac:dyDescent="0.2">
      <c r="B40" s="1424"/>
      <c r="C40" s="2460"/>
      <c r="D40" s="2461"/>
      <c r="E40" s="2461"/>
      <c r="F40" s="2462"/>
      <c r="G40" s="2463"/>
      <c r="H40" s="2463"/>
      <c r="I40" s="2463"/>
    </row>
    <row r="41" spans="2:9" ht="16.5" customHeight="1" x14ac:dyDescent="0.2">
      <c r="B41" s="1424"/>
      <c r="C41" s="2460"/>
      <c r="D41" s="2461"/>
      <c r="E41" s="2461"/>
      <c r="F41" s="2462"/>
      <c r="G41" s="2463"/>
      <c r="H41" s="2463"/>
      <c r="I41" s="2463"/>
    </row>
    <row r="42" spans="2:9" ht="16.5" customHeight="1" x14ac:dyDescent="0.2">
      <c r="B42" s="1424"/>
      <c r="C42" s="2460"/>
      <c r="D42" s="2461"/>
      <c r="E42" s="2461"/>
      <c r="F42" s="2462"/>
      <c r="G42" s="2463"/>
      <c r="H42" s="2463"/>
      <c r="I42" s="2463"/>
    </row>
    <row r="43" spans="2:9" ht="16.5" customHeight="1" x14ac:dyDescent="0.2">
      <c r="B43" s="1424"/>
      <c r="C43" s="2453" t="s">
        <v>1593</v>
      </c>
      <c r="D43" s="2454"/>
      <c r="E43" s="2454"/>
      <c r="F43" s="2455"/>
      <c r="G43" s="2456">
        <f>SUM(G38:I42)</f>
        <v>2013647</v>
      </c>
      <c r="H43" s="2456"/>
      <c r="I43" s="2456"/>
    </row>
    <row r="44" spans="2:9" ht="12.75" customHeight="1" x14ac:dyDescent="0.2"/>
    <row r="45" spans="2:9" ht="12.75" customHeight="1" x14ac:dyDescent="0.2">
      <c r="B45" s="1415" t="s">
        <v>1838</v>
      </c>
      <c r="D45" s="2457">
        <f>+' SEFA'!I49</f>
        <v>4492127</v>
      </c>
      <c r="E45" s="2458"/>
    </row>
    <row r="46" spans="2:9" ht="5.25" customHeight="1" x14ac:dyDescent="0.2">
      <c r="B46" s="1425"/>
      <c r="D46" s="1426"/>
      <c r="E46" s="1427"/>
    </row>
    <row r="47" spans="2:9" ht="12.75" customHeight="1" x14ac:dyDescent="0.2">
      <c r="B47" s="1297" t="s">
        <v>1594</v>
      </c>
      <c r="C47" s="1297"/>
      <c r="D47" s="1428">
        <f>+G43/D45</f>
        <v>0.44826136928007598</v>
      </c>
      <c r="E47" s="1429"/>
      <c r="F47" s="1430"/>
      <c r="I47" s="1431"/>
    </row>
    <row r="48" spans="2:9" ht="9.9499999999999993" customHeight="1" x14ac:dyDescent="0.2"/>
    <row r="49" spans="1:9" x14ac:dyDescent="0.2">
      <c r="B49" s="1361" t="s">
        <v>1273</v>
      </c>
      <c r="C49" s="1279"/>
      <c r="D49" s="1279"/>
      <c r="E49" s="2459">
        <v>750000</v>
      </c>
      <c r="F49" s="2459"/>
      <c r="G49" s="2459"/>
      <c r="H49" s="322"/>
    </row>
    <row r="51" spans="1:9" ht="13.5" customHeight="1" x14ac:dyDescent="0.2">
      <c r="B51" s="1361" t="s">
        <v>1272</v>
      </c>
      <c r="C51" s="1279"/>
      <c r="E51" s="1418"/>
      <c r="F51" s="1297" t="s">
        <v>885</v>
      </c>
      <c r="G51" s="1418" t="s">
        <v>2061</v>
      </c>
      <c r="H51" s="1297" t="s">
        <v>99</v>
      </c>
    </row>
    <row r="52" spans="1:9" x14ac:dyDescent="0.2">
      <c r="B52" s="1353"/>
      <c r="C52" s="1294"/>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1749</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1750</v>
      </c>
      <c r="C58" s="1444"/>
      <c r="D58" s="1444"/>
    </row>
    <row r="59" spans="1:9" s="1441" customFormat="1" ht="3.95" customHeight="1" x14ac:dyDescent="0.2">
      <c r="A59" s="1438"/>
      <c r="B59" s="1443"/>
      <c r="C59" s="1444"/>
      <c r="D59" s="1444"/>
    </row>
    <row r="60" spans="1:9" s="1441" customFormat="1" ht="13.5" customHeight="1" x14ac:dyDescent="0.2">
      <c r="A60" s="1438"/>
      <c r="B60" s="1443" t="s">
        <v>1751</v>
      </c>
      <c r="C60" s="1444"/>
      <c r="D60" s="1444"/>
    </row>
    <row r="61" spans="1:9" s="1441" customFormat="1" ht="3.95" customHeight="1" x14ac:dyDescent="0.2">
      <c r="A61" s="1438"/>
      <c r="B61" s="1443"/>
      <c r="C61" s="1444"/>
      <c r="D61" s="1444"/>
    </row>
    <row r="62" spans="1:9" s="1441" customFormat="1" ht="12.75" customHeight="1" x14ac:dyDescent="0.2">
      <c r="A62" s="1438"/>
      <c r="B62" s="1443" t="s">
        <v>1752</v>
      </c>
      <c r="C62" s="1444"/>
      <c r="D62" s="1444"/>
    </row>
    <row r="63" spans="1:9" s="1441" customFormat="1" ht="13.5" customHeight="1" x14ac:dyDescent="0.2">
      <c r="A63" s="1438"/>
      <c r="B63" s="1442" t="s">
        <v>1597</v>
      </c>
      <c r="C63" s="1438"/>
      <c r="D63" s="143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BERWYN NORTH SD 98</v>
      </c>
      <c r="C1" s="2464"/>
      <c r="D1" s="2464"/>
      <c r="E1" s="2464"/>
      <c r="F1" s="2464"/>
      <c r="G1" s="2464"/>
      <c r="H1" s="2464"/>
      <c r="I1" s="2464"/>
      <c r="J1" s="2464"/>
      <c r="K1" s="2464"/>
      <c r="L1" s="1367"/>
      <c r="M1" s="1367"/>
    </row>
    <row r="2" spans="1:13" ht="12" customHeight="1" x14ac:dyDescent="0.2">
      <c r="B2" s="2466" t="str">
        <f>'Single Audit Cover'!E7</f>
        <v>06-016-0980-02</v>
      </c>
      <c r="C2" s="2466"/>
      <c r="D2" s="2466"/>
      <c r="E2" s="2466"/>
      <c r="F2" s="2466"/>
      <c r="G2" s="2466"/>
      <c r="H2" s="2466"/>
      <c r="I2" s="2466"/>
      <c r="J2" s="2466"/>
      <c r="K2" s="2466"/>
      <c r="L2" s="1368"/>
      <c r="M2" s="1369"/>
    </row>
    <row r="3" spans="1:13" ht="10.35" customHeight="1" x14ac:dyDescent="0.2">
      <c r="B3" s="2480" t="s">
        <v>1285</v>
      </c>
      <c r="C3" s="2480"/>
      <c r="D3" s="2480"/>
      <c r="E3" s="2480"/>
      <c r="F3" s="2480"/>
      <c r="G3" s="2480"/>
      <c r="H3" s="2480"/>
      <c r="I3" s="2480"/>
      <c r="J3" s="2480"/>
      <c r="K3" s="2480"/>
      <c r="L3" s="1370"/>
      <c r="M3" s="1370"/>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1"/>
      <c r="C6" s="1371"/>
      <c r="D6" s="1372"/>
      <c r="E6" s="1372"/>
      <c r="F6" s="1372"/>
      <c r="G6" s="1373"/>
      <c r="H6" s="1372"/>
      <c r="I6" s="1373"/>
      <c r="J6" s="1372"/>
      <c r="K6" s="1372"/>
      <c r="L6" s="1374"/>
    </row>
    <row r="7" spans="1:13" ht="12.75" customHeight="1" x14ac:dyDescent="0.2">
      <c r="A7" s="1279"/>
      <c r="B7" s="2481" t="s">
        <v>1296</v>
      </c>
      <c r="C7" s="2481"/>
      <c r="D7" s="2482"/>
      <c r="E7" s="2482"/>
      <c r="F7" s="2482"/>
      <c r="G7" s="2482"/>
      <c r="H7" s="2482"/>
      <c r="I7" s="2482"/>
      <c r="J7" s="2482"/>
      <c r="K7" s="2482"/>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1739</v>
      </c>
      <c r="C10" s="1378" t="s">
        <v>1988</v>
      </c>
      <c r="D10" s="1379"/>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91"/>
      <c r="C12" s="1291"/>
      <c r="D12" s="322"/>
      <c r="E12" s="322"/>
      <c r="F12" s="322"/>
      <c r="G12" s="1376"/>
      <c r="H12" s="322"/>
      <c r="I12" s="1376"/>
      <c r="J12" s="322"/>
      <c r="L12" s="1374"/>
    </row>
    <row r="13" spans="1:13" s="1279" customFormat="1" ht="13.5" customHeight="1" x14ac:dyDescent="0.2">
      <c r="B13" s="1386" t="s">
        <v>1291</v>
      </c>
      <c r="C13" s="1386"/>
      <c r="D13" s="1387"/>
      <c r="E13" s="1387"/>
      <c r="F13" s="1387"/>
      <c r="G13" s="1388"/>
      <c r="H13" s="1387"/>
      <c r="I13" s="1388"/>
      <c r="J13" s="1387"/>
      <c r="K13" s="1387"/>
      <c r="L13" s="1389"/>
    </row>
    <row r="14" spans="1:13" ht="45.75" customHeight="1" x14ac:dyDescent="0.2">
      <c r="B14" s="2479"/>
      <c r="C14" s="2479"/>
      <c r="D14" s="2479"/>
      <c r="E14" s="2479"/>
      <c r="F14" s="2479"/>
      <c r="G14" s="2479"/>
      <c r="H14" s="2479"/>
      <c r="I14" s="2479"/>
      <c r="J14" s="2479"/>
      <c r="K14" s="2479"/>
      <c r="L14" s="1390"/>
    </row>
    <row r="15" spans="1:13" ht="4.5" customHeight="1" x14ac:dyDescent="0.2">
      <c r="B15" s="1391"/>
      <c r="C15" s="1391"/>
      <c r="D15" s="1392"/>
      <c r="E15" s="1392"/>
      <c r="F15" s="1392"/>
      <c r="H15" s="1392"/>
      <c r="J15" s="1392"/>
      <c r="K15" s="1392"/>
      <c r="L15" s="1390"/>
    </row>
    <row r="16" spans="1:13" s="1279" customFormat="1" ht="13.5" customHeight="1" x14ac:dyDescent="0.2">
      <c r="B16" s="1386" t="s">
        <v>1290</v>
      </c>
      <c r="C16" s="1386"/>
      <c r="D16" s="1387"/>
      <c r="E16" s="1387"/>
      <c r="F16" s="1387"/>
      <c r="G16" s="1388"/>
      <c r="H16" s="1387"/>
      <c r="I16" s="1388"/>
      <c r="J16" s="1387"/>
      <c r="K16" s="1387"/>
      <c r="L16" s="1389"/>
    </row>
    <row r="17" spans="2:12" ht="45.75" customHeight="1" x14ac:dyDescent="0.2">
      <c r="B17" s="2479"/>
      <c r="C17" s="2479"/>
      <c r="D17" s="2479"/>
      <c r="E17" s="2479"/>
      <c r="F17" s="2479"/>
      <c r="G17" s="2479"/>
      <c r="H17" s="2479"/>
      <c r="I17" s="2479"/>
      <c r="J17" s="2479"/>
      <c r="K17" s="2479"/>
      <c r="L17" s="1374"/>
    </row>
    <row r="18" spans="2:12" ht="4.5" customHeight="1" x14ac:dyDescent="0.2">
      <c r="B18" s="1391"/>
      <c r="C18" s="1391"/>
      <c r="L18" s="1374"/>
    </row>
    <row r="19" spans="2:12" s="1279" customFormat="1" ht="13.5" customHeight="1" x14ac:dyDescent="0.2">
      <c r="B19" s="1386" t="s">
        <v>1740</v>
      </c>
      <c r="C19" s="1386"/>
      <c r="D19" s="1387"/>
      <c r="E19" s="1387"/>
      <c r="F19" s="1387"/>
      <c r="G19" s="1388"/>
      <c r="H19" s="1387"/>
      <c r="I19" s="1388"/>
      <c r="J19" s="1387"/>
      <c r="K19" s="1387"/>
      <c r="L19" s="1389"/>
    </row>
    <row r="20" spans="2:12" ht="45.75" customHeight="1" x14ac:dyDescent="0.2">
      <c r="B20" s="2483"/>
      <c r="C20" s="2483"/>
      <c r="D20" s="2479"/>
      <c r="E20" s="2479"/>
      <c r="F20" s="2479"/>
      <c r="G20" s="2479"/>
      <c r="H20" s="2479"/>
      <c r="I20" s="2479"/>
      <c r="J20" s="2479"/>
      <c r="K20" s="2479"/>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79"/>
      <c r="C23" s="2479"/>
      <c r="D23" s="2479"/>
      <c r="E23" s="2479"/>
      <c r="F23" s="2479"/>
      <c r="G23" s="2479"/>
      <c r="H23" s="2479"/>
      <c r="I23" s="2479"/>
      <c r="J23" s="2479"/>
      <c r="K23" s="2479"/>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79"/>
      <c r="C26" s="2479"/>
      <c r="D26" s="2479"/>
      <c r="E26" s="2479"/>
      <c r="F26" s="2479"/>
      <c r="G26" s="2479"/>
      <c r="H26" s="2479"/>
      <c r="I26" s="2479"/>
      <c r="J26" s="2479"/>
      <c r="K26" s="2479"/>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78"/>
      <c r="C29" s="2478"/>
      <c r="D29" s="2479"/>
      <c r="E29" s="2479"/>
      <c r="F29" s="2479"/>
      <c r="G29" s="2479"/>
      <c r="H29" s="2479"/>
      <c r="I29" s="2479"/>
      <c r="J29" s="2479"/>
      <c r="K29" s="2479"/>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1741</v>
      </c>
      <c r="C31" s="1396"/>
      <c r="D31" s="1371"/>
      <c r="E31" s="1372"/>
      <c r="F31" s="1372"/>
      <c r="G31" s="1373"/>
      <c r="H31" s="1372"/>
      <c r="I31" s="1373"/>
      <c r="J31" s="1372"/>
      <c r="K31" s="1372"/>
      <c r="L31" s="1374"/>
    </row>
    <row r="32" spans="2:12" s="322" customFormat="1" ht="44.25" customHeight="1" x14ac:dyDescent="0.2">
      <c r="B32" s="2478"/>
      <c r="C32" s="2478"/>
      <c r="D32" s="2479"/>
      <c r="E32" s="2479"/>
      <c r="F32" s="2479"/>
      <c r="G32" s="2479"/>
      <c r="H32" s="2479"/>
      <c r="I32" s="2479"/>
      <c r="J32" s="2479"/>
      <c r="K32" s="2479"/>
      <c r="L32" s="1374"/>
    </row>
    <row r="33" spans="1:13" s="322" customFormat="1" ht="4.5" customHeight="1" x14ac:dyDescent="0.2">
      <c r="B33" s="1395"/>
      <c r="C33" s="1395"/>
      <c r="G33" s="1376"/>
      <c r="I33" s="1376"/>
      <c r="L33" s="1374"/>
    </row>
    <row r="34" spans="1:13" s="322" customFormat="1" x14ac:dyDescent="0.2">
      <c r="A34" s="1294"/>
      <c r="B34" s="1397"/>
      <c r="C34" s="1397"/>
      <c r="D34" s="1397"/>
      <c r="E34" s="1397"/>
      <c r="F34" s="1397"/>
      <c r="G34" s="1398"/>
      <c r="H34" s="1397"/>
      <c r="I34" s="1398"/>
      <c r="J34" s="1397"/>
      <c r="K34" s="1397"/>
      <c r="L34" s="1374"/>
    </row>
    <row r="35" spans="1:13" ht="11.85" customHeight="1" x14ac:dyDescent="0.2">
      <c r="B35" s="1399" t="s">
        <v>1742</v>
      </c>
      <c r="C35" s="1399"/>
      <c r="D35" s="322"/>
      <c r="E35" s="322"/>
      <c r="F35" s="322"/>
      <c r="L35" s="1374"/>
    </row>
    <row r="36" spans="1:13" ht="9.6" customHeight="1" x14ac:dyDescent="0.2">
      <c r="B36" s="1297" t="s">
        <v>1839</v>
      </c>
      <c r="C36" s="1297"/>
      <c r="L36" s="1374"/>
    </row>
    <row r="37" spans="1:13" ht="9.6" customHeight="1" x14ac:dyDescent="0.2">
      <c r="B37" s="1297" t="s">
        <v>1840</v>
      </c>
      <c r="C37" s="1297"/>
    </row>
    <row r="38" spans="1:13" ht="11.85" customHeight="1" x14ac:dyDescent="0.2">
      <c r="B38" s="1400" t="s">
        <v>1743</v>
      </c>
      <c r="C38" s="1400"/>
    </row>
    <row r="39" spans="1:13" ht="9.6" customHeight="1" x14ac:dyDescent="0.2">
      <c r="B39" s="1297" t="s">
        <v>1286</v>
      </c>
      <c r="C39" s="1297"/>
      <c r="M39" s="1401"/>
    </row>
    <row r="40" spans="1:13" ht="12.6" customHeight="1" x14ac:dyDescent="0.2">
      <c r="B40" s="1400" t="s">
        <v>1744</v>
      </c>
      <c r="C40" s="1400"/>
      <c r="M40" s="1401"/>
    </row>
    <row r="41" spans="1:13" ht="9.6" customHeight="1" x14ac:dyDescent="0.2">
      <c r="B41" s="1297"/>
      <c r="C41" s="1297"/>
      <c r="M41" s="140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BERWYN NORTH SD 98</v>
      </c>
      <c r="C1" s="2487"/>
      <c r="D1" s="2487"/>
      <c r="E1" s="2487"/>
      <c r="F1" s="2487"/>
      <c r="G1" s="2487"/>
      <c r="H1" s="2487"/>
      <c r="I1" s="2487"/>
      <c r="J1" s="2487"/>
      <c r="K1" s="2487"/>
      <c r="L1" s="1445"/>
    </row>
    <row r="2" spans="1:12" ht="12.75" customHeight="1" x14ac:dyDescent="0.2">
      <c r="B2" s="2488" t="str">
        <f>'Single Audit Cover'!E7</f>
        <v>06-016-0980-02</v>
      </c>
      <c r="C2" s="2488"/>
      <c r="D2" s="2488"/>
      <c r="E2" s="2488"/>
      <c r="F2" s="2488"/>
      <c r="G2" s="2488"/>
      <c r="H2" s="2488"/>
      <c r="I2" s="2488"/>
      <c r="J2" s="2488"/>
      <c r="K2" s="2488"/>
      <c r="L2" s="1446"/>
    </row>
    <row r="3" spans="1:12" ht="12.75" customHeight="1" x14ac:dyDescent="0.2">
      <c r="B3" s="2480" t="s">
        <v>1285</v>
      </c>
      <c r="C3" s="2480"/>
      <c r="D3" s="2480"/>
      <c r="E3" s="2480"/>
      <c r="F3" s="2480"/>
      <c r="G3" s="2480"/>
      <c r="H3" s="2480"/>
      <c r="I3" s="2480"/>
      <c r="J3" s="2480"/>
      <c r="K3" s="2480"/>
      <c r="L3" s="1370"/>
    </row>
    <row r="4" spans="1:12" ht="12.75" customHeight="1" x14ac:dyDescent="0.2">
      <c r="B4" s="2480" t="str">
        <f>'Single Audit Cover'!A4</f>
        <v>Year Ending June 30, 2019</v>
      </c>
      <c r="C4" s="2480"/>
      <c r="D4" s="2480"/>
      <c r="E4" s="2480"/>
      <c r="F4" s="2480"/>
      <c r="G4" s="2480"/>
      <c r="H4" s="2480"/>
      <c r="I4" s="2480"/>
      <c r="J4" s="2480"/>
      <c r="K4" s="2480"/>
      <c r="L4" s="1370"/>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2"/>
      <c r="C7" s="1372"/>
      <c r="D7" s="1372"/>
      <c r="E7" s="1372"/>
      <c r="F7" s="1372"/>
      <c r="G7" s="1373"/>
      <c r="H7" s="1372"/>
      <c r="I7" s="1373"/>
      <c r="J7" s="1372"/>
      <c r="K7" s="1372"/>
      <c r="L7" s="322"/>
    </row>
    <row r="8" spans="1:12" ht="13.5" customHeight="1" x14ac:dyDescent="0.2">
      <c r="B8" s="1380" t="s">
        <v>1753</v>
      </c>
      <c r="C8" s="1447" t="s">
        <v>1988</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71"/>
      <c r="G12" s="2471"/>
      <c r="H12" s="2471"/>
      <c r="I12" s="2471"/>
      <c r="J12" s="2471"/>
      <c r="K12" s="2471"/>
      <c r="L12" s="322"/>
    </row>
    <row r="13" spans="1:12" ht="9.6" customHeight="1" x14ac:dyDescent="0.2">
      <c r="B13" s="1254"/>
      <c r="C13" s="1254"/>
      <c r="D13" s="304"/>
      <c r="E13" s="322"/>
      <c r="F13" s="322"/>
      <c r="G13" s="1376"/>
      <c r="H13" s="322"/>
      <c r="I13" s="1376"/>
      <c r="J13" s="322"/>
      <c r="K13" s="1412"/>
      <c r="L13" s="322"/>
    </row>
    <row r="14" spans="1:12" ht="13.5" customHeight="1" x14ac:dyDescent="0.2">
      <c r="B14" s="1380" t="s">
        <v>1304</v>
      </c>
      <c r="C14" s="1380"/>
      <c r="D14" s="2484"/>
      <c r="E14" s="2484"/>
      <c r="F14" s="2484"/>
      <c r="H14" s="1455" t="s">
        <v>1303</v>
      </c>
      <c r="I14" s="2485"/>
      <c r="J14" s="2485"/>
      <c r="K14" s="2485"/>
      <c r="L14" s="322"/>
    </row>
    <row r="15" spans="1:12" ht="9.4" customHeight="1" x14ac:dyDescent="0.2">
      <c r="B15" s="1380"/>
      <c r="C15" s="1380"/>
      <c r="D15" s="1366"/>
      <c r="E15" s="1257"/>
      <c r="F15" s="1257"/>
      <c r="G15" s="1283"/>
      <c r="H15" s="1257"/>
      <c r="I15" s="1456"/>
      <c r="J15" s="1291"/>
      <c r="K15" s="1288"/>
      <c r="L15" s="322"/>
    </row>
    <row r="16" spans="1:12" ht="13.5" customHeight="1" x14ac:dyDescent="0.2">
      <c r="B16" s="1380" t="s">
        <v>1302</v>
      </c>
      <c r="C16" s="1380"/>
      <c r="D16" s="2485"/>
      <c r="E16" s="2485"/>
      <c r="F16" s="2485"/>
      <c r="G16" s="2485"/>
      <c r="H16" s="2485"/>
      <c r="I16" s="2485"/>
      <c r="J16" s="2485"/>
      <c r="K16" s="2485"/>
      <c r="L16" s="322"/>
    </row>
    <row r="17" spans="2:12" ht="13.5" customHeight="1" x14ac:dyDescent="0.2">
      <c r="B17" s="1380" t="s">
        <v>1301</v>
      </c>
      <c r="C17" s="1380"/>
      <c r="D17" s="2486"/>
      <c r="E17" s="2486"/>
      <c r="F17" s="2486"/>
      <c r="G17" s="2486"/>
      <c r="H17" s="2486"/>
      <c r="I17" s="2486"/>
      <c r="J17" s="2486"/>
      <c r="K17" s="2486"/>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79"/>
      <c r="C20" s="2479"/>
      <c r="D20" s="2479"/>
      <c r="E20" s="2479"/>
      <c r="F20" s="2479"/>
      <c r="G20" s="2479"/>
      <c r="H20" s="2479"/>
      <c r="I20" s="2479"/>
      <c r="J20" s="2479"/>
      <c r="K20" s="2479"/>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1754</v>
      </c>
      <c r="C22" s="1457"/>
      <c r="D22" s="322"/>
      <c r="E22" s="322"/>
      <c r="F22" s="322"/>
      <c r="G22" s="1376"/>
      <c r="H22" s="322"/>
      <c r="I22" s="1376"/>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1755</v>
      </c>
      <c r="C25" s="1457"/>
      <c r="D25" s="322"/>
      <c r="E25" s="322"/>
      <c r="F25" s="322"/>
      <c r="G25" s="1376"/>
      <c r="H25" s="322"/>
      <c r="I25" s="1376"/>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1756</v>
      </c>
      <c r="C28" s="1457"/>
      <c r="D28" s="322"/>
      <c r="E28" s="322"/>
      <c r="F28" s="322"/>
      <c r="G28" s="1376"/>
      <c r="H28" s="322"/>
      <c r="I28" s="1376"/>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1757</v>
      </c>
      <c r="C40" s="1396"/>
      <c r="D40" s="1371"/>
      <c r="E40" s="1372"/>
      <c r="F40" s="1372"/>
      <c r="G40" s="1373"/>
      <c r="H40" s="1372"/>
      <c r="I40" s="1373"/>
      <c r="J40" s="1372"/>
      <c r="K40" s="1372"/>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1758</v>
      </c>
      <c r="C44" s="1399"/>
      <c r="D44" s="322"/>
      <c r="E44" s="322"/>
      <c r="F44" s="322"/>
    </row>
    <row r="45" spans="2:12" ht="10.5" customHeight="1" x14ac:dyDescent="0.2">
      <c r="B45" s="1400" t="s">
        <v>1759</v>
      </c>
      <c r="C45" s="1400"/>
      <c r="G45" s="317"/>
      <c r="I45" s="317"/>
    </row>
    <row r="46" spans="2:12" ht="11.1" customHeight="1" x14ac:dyDescent="0.2">
      <c r="B46" s="1400" t="s">
        <v>1760</v>
      </c>
      <c r="C46" s="1400"/>
      <c r="G46" s="317"/>
      <c r="I46" s="317"/>
    </row>
    <row r="47" spans="2:12" ht="11.1" customHeight="1" x14ac:dyDescent="0.2">
      <c r="B47" s="1400" t="s">
        <v>1761</v>
      </c>
      <c r="C47" s="1400"/>
      <c r="G47" s="317"/>
      <c r="I47" s="317"/>
    </row>
    <row r="48" spans="2:12" ht="11.1" customHeight="1" x14ac:dyDescent="0.2">
      <c r="B48" s="1400" t="s">
        <v>1762</v>
      </c>
      <c r="C48" s="1400"/>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BERWYN NORTH SD 98</v>
      </c>
      <c r="C1" s="2464"/>
      <c r="D1" s="2464"/>
      <c r="E1" s="1465"/>
    </row>
    <row r="2" spans="2:5" s="1279" customFormat="1" ht="12.75" customHeight="1" x14ac:dyDescent="0.2">
      <c r="B2" s="2466" t="str">
        <f>'Single Audit Cover'!E7</f>
        <v>06-016-0980-02</v>
      </c>
      <c r="C2" s="2466"/>
      <c r="D2" s="2466"/>
      <c r="E2" s="1466"/>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67"/>
    </row>
    <row r="5" spans="2:5" s="1279" customFormat="1" ht="40.15" customHeight="1" x14ac:dyDescent="0.2">
      <c r="B5" s="1468" t="s">
        <v>1764</v>
      </c>
      <c r="C5" s="328"/>
      <c r="D5" s="328"/>
      <c r="E5" s="328"/>
    </row>
    <row r="6" spans="2:5" s="1279" customFormat="1" ht="13.5" customHeight="1" x14ac:dyDescent="0.2">
      <c r="B6" s="1469" t="s">
        <v>1315</v>
      </c>
      <c r="C6" s="1469" t="s">
        <v>1314</v>
      </c>
      <c r="D6" s="1469" t="s">
        <v>1765</v>
      </c>
    </row>
    <row r="7" spans="2:5" ht="13.5" customHeight="1" x14ac:dyDescent="0.2">
      <c r="B7" s="1470" t="s">
        <v>2142</v>
      </c>
      <c r="C7" s="324"/>
      <c r="D7" s="324"/>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4" t="s">
        <v>1313</v>
      </c>
      <c r="C44" s="322"/>
    </row>
    <row r="45" spans="2:5" ht="12.2" customHeight="1" x14ac:dyDescent="0.2">
      <c r="B45" s="1479" t="s">
        <v>1766</v>
      </c>
    </row>
    <row r="46" spans="2:5" ht="12.2" customHeight="1" x14ac:dyDescent="0.2">
      <c r="B46" s="1479" t="s">
        <v>1767</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7"/>
    </row>
    <row r="69" spans="2:2" x14ac:dyDescent="0.2">
      <c r="B69" s="1297"/>
    </row>
    <row r="70" spans="2:2" x14ac:dyDescent="0.2">
      <c r="B70" s="1400"/>
    </row>
    <row r="71" spans="2:2" x14ac:dyDescent="0.2">
      <c r="B71" s="1400"/>
    </row>
    <row r="72" spans="2:2" x14ac:dyDescent="0.2">
      <c r="B72" s="1400"/>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2020-03-09T14:03:36Z</cp:lastPrinted>
  <dcterms:created xsi:type="dcterms:W3CDTF">2003-10-29T19:06:34Z</dcterms:created>
  <dcterms:modified xsi:type="dcterms:W3CDTF">2020-04-20T16:51:21Z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