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CC530EF-0007-49A5-BFE8-8A415539FF0D}"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 i="7" l="1"/>
  <c r="C4" i="7"/>
  <c r="F136" i="181" l="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2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5" i="181"/>
  <c r="E135" i="181"/>
  <c r="G134" i="181"/>
  <c r="E134" i="181"/>
  <c r="G133" i="181"/>
  <c r="E133" i="181"/>
  <c r="G132" i="181"/>
  <c r="E132" i="181"/>
  <c r="G131" i="181"/>
  <c r="E131" i="181"/>
  <c r="G130" i="181"/>
  <c r="E130" i="181"/>
  <c r="G129" i="181"/>
  <c r="E129" i="181"/>
  <c r="E128" i="181"/>
  <c r="G128" i="181" s="1"/>
  <c r="G127" i="181"/>
  <c r="E127" i="181"/>
  <c r="G126" i="181"/>
  <c r="E126" i="181"/>
  <c r="G125" i="181"/>
  <c r="E125" i="181"/>
  <c r="G124" i="181"/>
  <c r="E124" i="181"/>
  <c r="E123" i="181"/>
  <c r="G123" i="181" s="1"/>
  <c r="G122" i="181"/>
  <c r="E122" i="181"/>
  <c r="G121" i="181"/>
  <c r="E121" i="181"/>
  <c r="G120" i="181"/>
  <c r="E120" i="181"/>
  <c r="E119" i="181"/>
  <c r="G119" i="181" s="1"/>
  <c r="G118" i="181"/>
  <c r="E118" i="181"/>
  <c r="G117" i="181"/>
  <c r="E117" i="181"/>
  <c r="G116" i="181"/>
  <c r="E116" i="181"/>
  <c r="G115" i="181"/>
  <c r="E115" i="181"/>
  <c r="G114" i="181"/>
  <c r="E114" i="181"/>
  <c r="G113" i="181"/>
  <c r="E113" i="181"/>
  <c r="G112" i="181"/>
  <c r="E112" i="181"/>
  <c r="G111" i="181"/>
  <c r="E111" i="181"/>
  <c r="E110" i="181"/>
  <c r="G110" i="181" s="1"/>
  <c r="G109" i="181"/>
  <c r="E109" i="181"/>
  <c r="G108" i="181"/>
  <c r="E108" i="181"/>
  <c r="G107" i="181"/>
  <c r="E107" i="181"/>
  <c r="E106" i="181"/>
  <c r="G106" i="181" s="1"/>
  <c r="G105" i="181"/>
  <c r="E105" i="181"/>
  <c r="G104" i="181"/>
  <c r="E104" i="181"/>
  <c r="G103" i="181"/>
  <c r="E103" i="181"/>
  <c r="G102" i="181"/>
  <c r="E102" i="181"/>
  <c r="G101" i="181"/>
  <c r="E101" i="181"/>
  <c r="G100" i="181"/>
  <c r="E100" i="181"/>
  <c r="G95" i="181"/>
  <c r="E95" i="181"/>
  <c r="G99" i="181"/>
  <c r="E99" i="181"/>
  <c r="E98" i="181"/>
  <c r="G98" i="181" s="1"/>
  <c r="G97" i="181"/>
  <c r="E97" i="181"/>
  <c r="E96" i="181"/>
  <c r="G96" i="181" s="1"/>
  <c r="G94" i="181"/>
  <c r="E94" i="181"/>
  <c r="E93" i="181"/>
  <c r="G93" i="181" s="1"/>
  <c r="G92" i="181"/>
  <c r="E92" i="181"/>
  <c r="E91" i="181"/>
  <c r="G91" i="181" s="1"/>
  <c r="G89" i="181"/>
  <c r="E89" i="181"/>
  <c r="G88" i="181"/>
  <c r="E88" i="181"/>
  <c r="E87" i="181"/>
  <c r="G87" i="181" s="1"/>
  <c r="G86" i="181"/>
  <c r="E86" i="181"/>
  <c r="G85" i="181"/>
  <c r="E85" i="181"/>
  <c r="E84" i="181"/>
  <c r="G84" i="181" s="1"/>
  <c r="G83" i="181"/>
  <c r="E83" i="181"/>
  <c r="E82" i="181"/>
  <c r="G82" i="181" s="1"/>
  <c r="G80" i="181"/>
  <c r="E80" i="181"/>
  <c r="G79" i="181"/>
  <c r="E79" i="181"/>
  <c r="G78" i="181"/>
  <c r="E78" i="181"/>
  <c r="G77" i="181"/>
  <c r="E77" i="181"/>
  <c r="G76" i="181"/>
  <c r="E76" i="181"/>
  <c r="G75" i="181"/>
  <c r="E75" i="181"/>
  <c r="G74" i="181"/>
  <c r="E74" i="181"/>
  <c r="G73" i="181"/>
  <c r="E73" i="181"/>
  <c r="G72" i="181"/>
  <c r="E72" i="181"/>
  <c r="E71" i="181"/>
  <c r="G71" i="181" s="1"/>
  <c r="G70" i="181"/>
  <c r="E70" i="181"/>
  <c r="G69" i="181"/>
  <c r="E69" i="181"/>
  <c r="G136" i="181"/>
  <c r="E136" i="181"/>
  <c r="G90" i="181"/>
  <c r="E90" i="181"/>
  <c r="G81" i="181"/>
  <c r="E81" i="181"/>
  <c r="E68" i="181"/>
  <c r="G68" i="181" s="1"/>
  <c r="G67" i="181"/>
  <c r="E67" i="181"/>
  <c r="G66" i="181"/>
  <c r="E66" i="181"/>
  <c r="G65" i="181"/>
  <c r="E65" i="181"/>
  <c r="G64" i="181"/>
  <c r="E64" i="181"/>
  <c r="G63" i="181"/>
  <c r="E63" i="181"/>
  <c r="G62" i="181"/>
  <c r="E62" i="181"/>
  <c r="E61" i="181"/>
  <c r="G61" i="181" s="1"/>
  <c r="E60" i="181"/>
  <c r="G60" i="181" s="1"/>
  <c r="G59" i="181"/>
  <c r="E59" i="181"/>
  <c r="G58" i="181"/>
  <c r="E58" i="181"/>
  <c r="G57" i="181"/>
  <c r="E57" i="181"/>
  <c r="E56" i="181"/>
  <c r="G56" i="181" s="1"/>
  <c r="G55" i="181"/>
  <c r="E55" i="181"/>
  <c r="E54" i="181"/>
  <c r="G54" i="181" s="1"/>
  <c r="G53" i="181"/>
  <c r="E53" i="181"/>
  <c r="E52" i="181"/>
  <c r="G52" i="181" s="1"/>
  <c r="G51" i="181"/>
  <c r="E51" i="181"/>
  <c r="E50" i="181"/>
  <c r="G50" i="181" s="1"/>
  <c r="G49" i="181"/>
  <c r="E49" i="181"/>
  <c r="G48" i="181"/>
  <c r="E48" i="181"/>
  <c r="G47" i="181"/>
  <c r="E47" i="181"/>
  <c r="G46" i="181"/>
  <c r="E46" i="181"/>
  <c r="G45" i="181"/>
  <c r="E45" i="181"/>
  <c r="E44" i="181"/>
  <c r="G44" i="181" s="1"/>
  <c r="G43" i="181"/>
  <c r="E43" i="181"/>
  <c r="G42"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E31" i="181"/>
  <c r="E30" i="181"/>
  <c r="F30" i="181" s="1"/>
  <c r="E29" i="181"/>
  <c r="E28" i="181"/>
  <c r="F28" i="181" s="1"/>
  <c r="E27" i="181"/>
  <c r="F27" i="181" s="1"/>
  <c r="G27" i="181" s="1"/>
  <c r="E26" i="181"/>
  <c r="F26" i="181" s="1"/>
  <c r="E25" i="181"/>
  <c r="G25" i="181" s="1"/>
  <c r="E24" i="181"/>
  <c r="E23" i="181"/>
  <c r="E22" i="181"/>
  <c r="E21" i="181"/>
  <c r="E20" i="181"/>
  <c r="F20" i="181" s="1"/>
  <c r="E19" i="181"/>
  <c r="F19" i="181" s="1"/>
  <c r="F21" i="181" l="1"/>
  <c r="G21" i="181" s="1"/>
  <c r="F29" i="181"/>
  <c r="G29" i="181" s="1"/>
  <c r="F23" i="181"/>
  <c r="G23" i="181" s="1"/>
  <c r="F32" i="181"/>
  <c r="G32" i="181" s="1"/>
  <c r="F22" i="181"/>
  <c r="G22" i="181" s="1"/>
  <c r="F24" i="181"/>
  <c r="G24" i="181" s="1"/>
  <c r="F31" i="181"/>
  <c r="G31" i="181" s="1"/>
  <c r="G30" i="181"/>
  <c r="G28" i="181"/>
  <c r="G26" i="181"/>
  <c r="G20" i="181"/>
  <c r="G19" i="181"/>
  <c r="D137" i="181"/>
  <c r="D80" i="36" l="1"/>
  <c r="B7797" i="106"/>
  <c r="E137" i="181"/>
  <c r="E18" i="181"/>
  <c r="F18" i="181" s="1"/>
  <c r="E17" i="181"/>
  <c r="F17" i="181" s="1"/>
  <c r="G17" i="181" l="1"/>
  <c r="G18" i="181"/>
  <c r="G137" i="181" s="1"/>
  <c r="G40" i="108" l="1"/>
  <c r="B7799" i="106"/>
  <c r="F1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7" i="108"/>
  <c r="E27" i="108"/>
  <c r="F27" i="108"/>
  <c r="G27" i="108"/>
  <c r="F28" i="108"/>
  <c r="F31" i="108"/>
  <c r="F36" i="108"/>
  <c r="G28" i="108"/>
  <c r="G29" i="108"/>
  <c r="G30" i="108"/>
  <c r="D31" i="108"/>
  <c r="D36" i="108"/>
  <c r="E31" i="108"/>
  <c r="G31" i="108"/>
  <c r="E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J22" i="37"/>
  <c r="L22" i="37"/>
  <c r="D24" i="37"/>
  <c r="B4270" i="106" s="1"/>
  <c r="D4270" i="106" s="1"/>
  <c r="I129" i="29" l="1"/>
  <c r="B7037" i="106" s="1"/>
  <c r="D7037" i="106" s="1"/>
  <c r="L5" i="11"/>
  <c r="B2056" i="106" s="1"/>
  <c r="D2056" i="106" s="1"/>
  <c r="F19" i="7"/>
  <c r="B1807" i="106" s="1"/>
  <c r="D1807" i="106" s="1"/>
  <c r="E26" i="108"/>
  <c r="B1274" i="106"/>
  <c r="D1274" i="106" s="1"/>
  <c r="G26" i="108"/>
  <c r="B6995" i="106"/>
  <c r="D6995" i="106" s="1"/>
  <c r="E38" i="108"/>
  <c r="H33" i="118"/>
  <c r="L342" i="29"/>
  <c r="F42" i="34"/>
  <c r="B3647" i="106"/>
  <c r="D3647" i="106" s="1"/>
  <c r="C352" i="29"/>
  <c r="B3621" i="106" s="1"/>
  <c r="D3621" i="106" s="1"/>
  <c r="K76" i="4"/>
  <c r="B3586" i="106" s="1"/>
  <c r="D3586" i="106" s="1"/>
  <c r="G15" i="145"/>
  <c r="L367" i="29"/>
  <c r="F50" i="34"/>
  <c r="I210" i="29"/>
  <c r="B7071" i="106" s="1"/>
  <c r="D7071" i="106" s="1"/>
  <c r="J77" i="4"/>
  <c r="B6262" i="106" s="1"/>
  <c r="D6262" i="106" s="1"/>
  <c r="K184" i="29"/>
  <c r="F13" i="4" s="1"/>
  <c r="B2596" i="106" s="1"/>
  <c r="D2596" i="106" s="1"/>
  <c r="G210" i="29"/>
  <c r="C129" i="29"/>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D41" i="108" s="1"/>
  <c r="E43" i="108" s="1"/>
  <c r="E30" i="108"/>
  <c r="F37" i="108"/>
  <c r="F41" i="108" s="1"/>
  <c r="G43" i="108" s="1"/>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L114" i="29" l="1"/>
  <c r="B5527" i="106"/>
  <c r="D5527" i="106" s="1"/>
  <c r="D44" i="36"/>
  <c r="C114" i="29"/>
  <c r="B757" i="106" s="1"/>
  <c r="D757" i="106" s="1"/>
  <c r="C367" i="29"/>
  <c r="B3622" i="106" s="1"/>
  <c r="D3622" i="106" s="1"/>
  <c r="B1365" i="106"/>
  <c r="D1365" i="106" s="1"/>
  <c r="F65" i="34"/>
  <c r="D7256" i="106"/>
  <c r="D7251" i="106"/>
  <c r="G6" i="4"/>
  <c r="B2604" i="106" s="1"/>
  <c r="D260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F24" i="37"/>
  <c r="D268" i="5"/>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5508" i="106"/>
  <c r="D5508" i="106" s="1"/>
  <c r="B2567" i="106"/>
  <c r="D2567" i="106" s="1"/>
  <c r="J10" i="4" l="1"/>
  <c r="B6225" i="106" s="1"/>
  <c r="D6225" i="106" s="1"/>
  <c r="J19" i="4"/>
  <c r="B6229" i="106" s="1"/>
  <c r="D6229"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<sst xmlns="http://schemas.openxmlformats.org/spreadsheetml/2006/main" count="5149" uniqueCount="2138">
  <si>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</si>
  <si>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</si>
  <si>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</si>
  <si>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</si>
  <si>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</si>
  <si>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</si>
  <si>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</si>
  <si>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</si>
  <si>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</si>
  <si>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</si>
  <si>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</si>
  <si>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</si>
  <si>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</si>
  <si>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</si>
  <si>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</si>
  <si>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</si>
  <si>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</si>
  <si>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</si>
  <si>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</si>
  <si>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</si>
  <si>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</si>
  <si>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</si>
  <si>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</si>
  <si>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</si>
  <si>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</si>
  <si>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</si>
  <si>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</si>
  <si>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</si>
  <si>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</si>
  <si>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</si>
  <si>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</si>
  <si>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</si>
  <si>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</si>
  <si>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</si>
  <si>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</si>
  <si>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</si>
  <si>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</si>
  <si>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</si>
  <si>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</si>
  <si>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</si>
  <si>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</si>
  <si>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</si>
  <si>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</si>
  <si>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</si>
  <si>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</si>
  <si>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</si>
  <si>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</si>
  <si>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</si>
  <si>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</si>
  <si>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</si>
  <si>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</si>
  <si>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</si>
  <si>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</si>
  <si>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</si>
  <si>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</si>
  <si>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</si>
  <si>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</si>
  <si>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</si>
  <si>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</si>
  <si>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</si>
  <si>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</si>
  <si>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</si>
  <si>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</si>
  <si>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</si>
  <si>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</si>
  <si>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</si>
  <si>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</si>
  <si>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</si>
  <si>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</si>
  <si>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</si>
  <si>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</si>
  <si>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</si>
  <si>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</si>
  <si>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</si>
  <si>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</si>
  <si>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</si>
  <si>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</si>
  <si>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</si>
  <si>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</si>
  <si>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</si>
  <si>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</si>
  <si>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</si>
  <si>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</si>
  <si>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</si>
  <si>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</si>
  <si>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</si>
  <si>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</si>
  <si>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</si>
  <si>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</si>
  <si>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</si>
  <si>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</si>
  <si>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</si>
  <si>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</si>
  <si>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</si>
  <si>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</si>
  <si>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</si>
  <si>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</si>
  <si>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</si>
  <si>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</si>
  <si>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</si>
  <si>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</si>
  <si>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</si>
  <si>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</si>
  <si>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</si>
  <si>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</si>
  <si>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</si>
  <si>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</si>
  <si>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</si>
  <si>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</si>
  <si>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</si>
  <si>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</si>
  <si>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</si>
  <si>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</si>
  <si>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</si>
  <si>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</si>
  <si>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</si>
  <si>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</si>
  <si>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</si>
  <si>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</si>
  <si>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</si>
  <si>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</si>
  <si>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</si>
  <si>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</si>
  <si>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</si>
  <si>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</si>
  <si>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</si>
  <si>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</si>
  <si>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</si>
  <si>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</si>
  <si>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</si>
  <si>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</si>
  <si>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</si>
  <si>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</si>
  <si>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</si>
  <si>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</si>
  <si>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</si>
  <si>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</si>
  <si>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</si>
  <si>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</si>
  <si>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</si>
  <si>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</si>
  <si>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</si>
  <si>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</si>
  <si>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</si>
  <si>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</si>
  <si>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</si>
  <si>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</si>
  <si>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</si>
  <si>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</si>
  <si>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</si>
  <si>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</si>
  <si>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</si>
  <si>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</si>
  <si>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</si>
  <si>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</si>
  <si>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</si>
  <si>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</si>
  <si>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</si>
  <si>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</si>
  <si>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</si>
  <si>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</si>
  <si>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</si>
  <si>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</si>
  <si>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</si>
  <si>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</si>
  <si>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</si>
  <si>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</si>
  <si>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</si>
  <si>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</si>
  <si>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</si>
  <si>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</si>
  <si>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</si>
  <si>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</si>
  <si>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</si>
  <si>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</si>
  <si>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</si>
  <si>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</si>
  <si>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</si>
  <si>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</si>
  <si>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</si>
  <si>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</si>
  <si>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</si>
  <si>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</si>
  <si>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</si>
  <si>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</si>
  <si>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</si>
  <si>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</si>
  <si>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</si>
  <si>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</si>
  <si>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</si>
  <si>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</si>
  <si>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</si>
  <si>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</si>
  <si>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</si>
  <si>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</si>
  <si>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</si>
  <si>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</si>
  <si>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</si>
  <si>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</si>
  <si>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</si>
  <si>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</si>
  <si>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</si>
  <si>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</si>
  <si>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</si>
  <si>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</si>
  <si>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</si>
  <si>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</si>
  <si>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</si>
  <si>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</si>
  <si>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</si>
  <si>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</si>
  <si>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</si>
  <si>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</si>
  <si>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</si>
  <si>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</si>
  <si>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</si>
  <si>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</si>
  <si>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</si>
  <si>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</si>
  <si>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</si>
  <si>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</si>
  <si>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</si>
  <si>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</si>
  <si>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</si>
  <si>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</si>
  <si>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</si>
  <si>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</si>
  <si>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</si>
  <si>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</si>
  <si>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</si>
  <si>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</si>
  <si>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</si>
  <si>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</si>
  <si>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</si>
  <si>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</si>
  <si>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</si>
  <si>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</si>
  <si>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</si>
  <si>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</si>
  <si>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</si>
  <si>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</si>
  <si>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</si>
  <si>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</si>
  <si>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</si>
  <si>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</si>
  <si>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</si>
  <si>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</si>
  <si>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</si>
  <si>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</si>
  <si>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</si>
  <si>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</si>
  <si>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</si>
  <si>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</si>
  <si>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</si>
  <si>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</si>
  <si>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</si>
  <si>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</si>
  <si>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</si>
  <si>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</si>
  <si>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</si>
  <si>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</si>
  <si>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</si>
  <si>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</si>
  <si>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</si>
  <si>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</si>
  <si>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</si>
  <si>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</si>
  <si>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</si>
  <si>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</si>
  <si>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</si>
  <si>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</si>
  <si>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</si>
  <si>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</si>
  <si>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</si>
  <si>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</si>
  <si>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</si>
  <si>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</si>
  <si>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</si>
  <si>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</si>
  <si>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</si>
  <si>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</si>
  <si>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</si>
  <si>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</si>
  <si>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</si>
  <si>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</si>
  <si>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</si>
  <si>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</si>
  <si>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</si>
  <si>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</si>
  <si>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</si>
  <si>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</si>
  <si>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</si>
  <si>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</si>
  <si>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</si>
  <si>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</si>
  <si>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</si>
  <si>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</si>
  <si>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</si>
  <si>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</si>
  <si>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</si>
  <si>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</si>
  <si>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</si>
  <si>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</si>
  <si>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</si>
  <si>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</si>
  <si>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</si>
  <si>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</si>
  <si>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</si>
  <si>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</si>
  <si>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</si>
  <si>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</si>
  <si>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</si>
  <si>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</si>
  <si>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</si>
  <si>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</si>
  <si>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</si>
  <si>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</si>
  <si>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</si>
  <si>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</si>
  <si>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</si>
  <si>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</si>
  <si>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</si>
  <si>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</si>
  <si>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</si>
  <si>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</si>
  <si>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</si>
  <si>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</si>
  <si>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</si>
  <si>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</si>
  <si>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</si>
  <si>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</si>
  <si>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</si>
  <si>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</si>
  <si>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</si>
  <si>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</si>
  <si>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</si>
  <si>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</si>
  <si>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</si>
  <si>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</si>
  <si>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</si>
  <si>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</si>
  <si>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</si>
  <si>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</si>
  <si>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</si>
  <si>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</si>
  <si>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</si>
  <si>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</si>
  <si>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</si>
  <si>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</si>
  <si>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</si>
  <si>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</si>
  <si>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</si>
  <si>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</si>
  <si>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</si>
  <si>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</si>
  <si>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</si>
  <si>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</si>
  <si>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</si>
  <si>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</si>
  <si>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</si>
  <si>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</si>
  <si>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</si>
  <si>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</si>
  <si>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</si>
  <si>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</si>
  <si>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</si>
  <si>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</si>
  <si>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</si>
  <si>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</si>
  <si>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</si>
  <si>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</si>
  <si>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</si>
  <si>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</si>
  <si>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</si>
  <si>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</si>
  <si>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</si>
  <si>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</si>
  <si>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</si>
  <si>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</si>
  <si>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</si>
  <si>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</si>
  <si>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</si>
  <si>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</si>
  <si>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</si>
  <si>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</si>
  <si>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</si>
  <si>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</si>
  <si>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</si>
  <si>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</si>
  <si>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</si>
  <si>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</si>
  <si>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</si>
  <si>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</si>
  <si>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</si>
  <si>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</si>
  <si>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</si>
  <si>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</si>
  <si>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</si>
  <si>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</si>
  <si>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</si>
  <si>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</si>
  <si>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</si>
  <si>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</si>
  <si>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</si>
  <si>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</si>
  <si>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</si>
  <si>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</si>
  <si>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</si>
  <si>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</si>
  <si>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</si>
  <si>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</si>
  <si>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</si>
  <si>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</si>
  <si>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</si>
  <si>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</si>
  <si>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</si>
  <si>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</si>
  <si>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</si>
  <si>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</si>
  <si>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</si>
  <si>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</si>
  <si>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</si>
  <si>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</si>
  <si>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</si>
  <si>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</si>
  <si>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</si>
  <si>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</si>
  <si>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</si>
  <si>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</si>
  <si>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</si>
  <si>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</si>
  <si>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</si>
  <si>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</si>
  <si>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</si>
  <si>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</si>
  <si>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</si>
  <si>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</si>
  <si>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</si>
  <si>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</si>
  <si>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</si>
  <si>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</si>
  <si>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</si>
  <si>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</si>
  <si>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</si>
  <si>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</si>
  <si>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</si>
  <si>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</si>
  <si>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</si>
  <si>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</si>
  <si>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</si>
  <si>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</si>
  <si>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</si>
  <si>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</si>
  <si>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</si>
  <si>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</si>
  <si>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</si>
  <si>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</si>
  <si>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</si>
  <si>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</si>
  <si>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</si>
  <si>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</si>
  <si>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</si>
  <si>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</si>
  <si>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</si>
  <si>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</si>
  <si>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</si>
  <si>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</si>
  <si>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</si>
  <si>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</si>
  <si>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</si>
  <si>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</si>
  <si>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</si>
  <si>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</si>
  <si>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</si>
  <si>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</si>
  <si>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</si>
  <si>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</si>
  <si>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</si>
  <si>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</si>
  <si>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</si>
  <si>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</si>
  <si>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</si>
  <si>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</si>
  <si>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</si>
  <si>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</si>
  <si>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</si>
  <si>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</si>
  <si>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</si>
  <si>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</si>
  <si>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</si>
  <si>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</si>
  <si>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</si>
  <si>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</si>
  <si>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</si>
  <si>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</si>
  <si>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</si>
  <si>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</si>
  <si>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</si>
  <si>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</si>
  <si>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</si>
  <si>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</si>
  <si>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</si>
  <si>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</si>
  <si>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</si>
  <si>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</si>
  <si>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</si>
  <si>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</si>
  <si>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</si>
  <si>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</si>
  <si>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</si>
  <si>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</si>
  <si>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</si>
  <si>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</si>
  <si>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</si>
  <si>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</si>
  <si>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</si>
  <si>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</si>
  <si>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</si>
  <si>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</si>
  <si>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</si>
  <si>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</si>
  <si>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</si>
  <si>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</si>
  <si>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</si>
  <si>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</si>
  <si>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</si>
  <si>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</si>
  <si>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</si>
  <si>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</si>
  <si>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</si>
  <si>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</si>
  <si>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</si>
  <si>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</si>
  <si>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</si>
  <si>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</si>
  <si>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</si>
  <si>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</si>
  <si>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</si>
  <si>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</si>
  <si>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</si>
  <si>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</si>
  <si>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</si>
  <si>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</si>
  <si>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</si>
  <si>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</si>
  <si>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</si>
  <si>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</si>
  <si>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</si>
  <si>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</si>
  <si>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</si>
  <si>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</si>
  <si>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</si>
  <si>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</si>
  <si>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</si>
  <si>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</si>
  <si>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</si>
  <si>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</si>
  <si>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</si>
  <si>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</si>
  <si>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</si>
  <si>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</si>
  <si>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</si>
  <si>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</si>
  <si>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</si>
  <si>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</si>
  <si>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</si>
  <si>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</si>
  <si>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</si>
  <si>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</si>
  <si>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</si>
  <si>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</si>
  <si>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</si>
  <si>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</si>
  <si>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</si>
  <si>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</si>
  <si>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</si>
  <si>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</si>
  <si>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</si>
  <si>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</si>
  <si>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</si>
  <si>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</si>
  <si>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</si>
  <si>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</si>
  <si>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</si>
  <si>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</si>
  <si>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</si>
  <si>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</si>
  <si>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</si>
  <si>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</si>
  <si>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</si>
  <si>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</si>
  <si>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</si>
  <si>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</si>
  <si>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</si>
  <si>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</si>
  <si>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</si>
  <si>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</si>
  <si>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</si>
  <si>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</si>
  <si>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</si>
  <si>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</si>
  <si>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</si>
  <si>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</si>
  <si>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</si>
  <si>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</si>
  <si>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</si>
  <si>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</si>
  <si>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</si>
  <si>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</si>
  <si>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</si>
  <si>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</si>
  <si>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</si>
  <si>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</si>
  <si>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</si>
  <si>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</si>
  <si>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</si>
  <si>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</si>
  <si>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</si>
  <si>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</si>
  <si>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</si>
  <si>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</si>
  <si>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</si>
  <si>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</si>
  <si>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</si>
  <si>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</si>
  <si>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</si>
  <si>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</si>
  <si>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</si>
  <si>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</si>
  <si>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</si>
  <si>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</si>
  <si>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</si>
  <si>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</si>
  <si>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</si>
  <si>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</si>
  <si>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</si>
  <si>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</si>
  <si>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</si>
  <si>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</si>
  <si>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</si>
  <si>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</si>
  <si>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</si>
  <si>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</si>
  <si>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</si>
  <si>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</si>
  <si>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</si>
  <si>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</si>
  <si>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</si>
  <si>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</si>
  <si>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</si>
  <si>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</si>
  <si>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</si>
  <si>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</si>
  <si>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</si>
  <si>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</si>
  <si>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</si>
  <si>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</si>
  <si>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</si>
  <si>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</si>
  <si>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</si>
  <si>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</si>
  <si>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</si>
  <si>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</si>
  <si>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</si>
  <si>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</si>
  <si>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</si>
  <si>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</si>
  <si>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</si>
  <si>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</si>
  <si>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</si>
  <si>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</si>
  <si>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</si>
  <si>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</si>
  <si>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</si>
  <si>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</si>
  <si>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</si>
  <si>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</si>
  <si>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</si>
  <si>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</si>
  <si>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</si>
  <si>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</si>
  <si>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</si>
  <si>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</si>
  <si>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</si>
  <si>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</si>
  <si>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</si>
  <si>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</si>
  <si>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</si>
  <si>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</si>
  <si>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</si>
  <si>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</si>
  <si>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</si>
  <si>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</si>
  <si>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</si>
  <si>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</si>
  <si>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</si>
  <si>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</si>
  <si>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</si>
  <si>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</si>
  <si>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</si>
  <si>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</si>
  <si>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</si>
  <si>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</si>
  <si>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</si>
  <si>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</si>
  <si>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</si>
  <si>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</si>
  <si>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</si>
  <si>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</si>
  <si>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</si>
  <si>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</si>
  <si>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</si>
  <si>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</si>
  <si>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</si>
  <si>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</si>
  <si>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</si>
  <si>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</si>
  <si>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</si>
  <si>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</si>
  <si>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</si>
  <si>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</si>
  <si>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</si>
  <si>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</si>
  <si>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</si>
  <si>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</si>
  <si>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</si>
  <si>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</si>
  <si>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</si>
  <si>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</si>
  <si>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</si>
  <si>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</si>
  <si>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</si>
  <si>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</si>
  <si>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</si>
  <si>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</si>
  <si>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</si>
  <si>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</si>
  <si>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</si>
  <si>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</si>
  <si>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</si>
  <si>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</si>
  <si>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</si>
  <si>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</si>
  <si>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</si>
  <si>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</si>
  <si>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</si>
  <si>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</si>
  <si>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</si>
  <si>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</si>
  <si>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</si>
  <si>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</si>
  <si>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</si>
  <si>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</si>
  <si>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</si>
  <si>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</si>
  <si>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</si>
  <si>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</si>
  <si>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</si>
  <si>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</si>
  <si>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</si>
  <si>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</si>
  <si>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</si>
  <si>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</si>
  <si>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</si>
  <si>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</si>
  <si>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</si>
  <si>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</si>
  <si>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</si>
  <si>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</si>
  <si>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</si>
  <si>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</si>
  <si>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</si>
  <si>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</si>
  <si>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</si>
  <si>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</si>
  <si>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</si>
  <si>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</si>
  <si>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</si>
  <si>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</si>
  <si>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</si>
  <si>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</si>
  <si>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</si>
  <si>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</si>
  <si>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</si>
  <si>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</si>
  <si>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</si>
  <si>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</si>
  <si>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</si>
  <si>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</si>
  <si>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</si>
  <si>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</si>
  <si>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</si>
  <si>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</si>
  <si>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</si>
  <si>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</si>
  <si>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</si>
  <si>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</si>
  <si>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</si>
  <si>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</si>
  <si>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</si>
  <si>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</si>
  <si>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</si>
  <si>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</si>
  <si>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</si>
  <si>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</si>
  <si>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</si>
  <si>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</si>
  <si>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</si>
  <si>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</si>
  <si>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</si>
  <si>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</si>
  <si>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</si>
  <si>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</si>
  <si>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</si>
  <si>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</si>
  <si>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</si>
  <si>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</si>
  <si>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</si>
  <si>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</si>
  <si>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</si>
  <si>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</si>
  <si>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</si>
  <si>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</si>
  <si>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</si>
  <si>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</si>
  <si>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</si>
  <si>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</si>
  <si>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</si>
  <si>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</si>
  <si>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</si>
  <si>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</si>
  <si>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</si>
  <si>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</si>
  <si>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</si>
  <si>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</si>
  <si>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</si>
  <si>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</si>
  <si>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</si>
  <si>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</si>
  <si>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</si>
  <si>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</si>
  <si>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</si>
  <si>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</si>
  <si>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</si>
  <si>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</si>
  <si>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</si>
  <si>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</si>
  <si>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</si>
  <si>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</si>
  <si>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</si>
  <si>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</si>
  <si>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</si>
  <si>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</si>
  <si>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</si>
  <si>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</si>
  <si>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</si>
  <si>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</si>
  <si>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</si>
  <si>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</si>
  <si>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</si>
  <si>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</si>
  <si>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</si>
  <si>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</si>
  <si>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</si>
  <si>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</si>
  <si>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</si>
  <si>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</si>
  <si>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</si>
  <si>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</si>
  <si>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</si>
  <si>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</si>
  <si>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</si>
  <si>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</si>
  <si>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</si>
  <si>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</si>
  <si>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</si>
  <si>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</si>
  <si>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</si>
  <si>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</si>
  <si>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</si>
  <si>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</si>
  <si>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</si>
  <si>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</si>
  <si>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</si>
  <si>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</si>
  <si>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</si>
  <si>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</si>
  <si>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</si>
  <si>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</si>
  <si>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</si>
  <si>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</si>
  <si>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</si>
  <si>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</si>
  <si>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</si>
  <si>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</si>
  <si>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</si>
  <si>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</si>
  <si>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</si>
  <si>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</si>
  <si>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</si>
  <si>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</si>
  <si>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</si>
  <si>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</si>
  <si>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</si>
  <si>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</si>
  <si>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</si>
  <si>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</si>
  <si>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</si>
  <si>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</si>
  <si>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</si>
  <si>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</si>
  <si>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</si>
  <si>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</si>
  <si>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</si>
  <si>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</si>
  <si>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</si>
  <si>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</si>
  <si>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</si>
  <si>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</si>
  <si>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</si>
  <si>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</si>
  <si>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</si>
  <si>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</si>
  <si>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</si>
  <si>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</si>
  <si>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</si>
  <si>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</si>
  <si>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</si>
  <si>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</si>
  <si>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</si>
  <si>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</si>
  <si>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</si>
  <si>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</si>
  <si>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</si>
  <si>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</si>
  <si>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</si>
  <si>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</si>
  <si>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</si>
  <si>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</si>
  <si>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</si>
  <si>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</si>
  <si>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</si>
  <si>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</si>
  <si>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</si>
  <si>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</si>
  <si>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</si>
  <si>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</si>
  <si>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</si>
  <si>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</si>
  <si>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</si>
  <si>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</si>
  <si>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</si>
  <si>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</si>
  <si>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</si>
  <si>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</si>
  <si>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</si>
  <si>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</si>
  <si>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</si>
  <si>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</si>
  <si>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</si>
  <si>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</si>
  <si>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</si>
  <si>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</si>
  <si>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</si>
  <si>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</si>
  <si>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</si>
  <si>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</si>
  <si>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</si>
  <si>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</si>
  <si>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</si>
  <si>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</si>
  <si>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</si>
  <si>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</si>
  <si>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</si>
  <si>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</si>
  <si>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</si>
  <si>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</si>
  <si>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</si>
  <si>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</si>
  <si>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</si>
  <si>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</si>
  <si>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</si>
  <si>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</si>
  <si>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</si>
  <si>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</si>
  <si>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</si>
  <si>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</si>
  <si>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</si>
  <si>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</si>
  <si>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</si>
  <si>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</si>
  <si>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</si>
  <si>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</si>
  <si>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</si>
  <si>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</si>
  <si>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</si>
  <si>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</si>
  <si>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</si>
  <si>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</si>
  <si>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</si>
  <si>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</si>
  <si>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</si>
  <si>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</si>
  <si>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</si>
  <si>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</si>
  <si>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</si>
  <si>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</si>
  <si>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</si>
  <si>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</si>
  <si>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</si>
  <si>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</si>
  <si>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</si>
  <si>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</si>
  <si>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</si>
  <si>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</si>
  <si>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</si>
  <si>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</si>
  <si>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</si>
  <si>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</si>
  <si>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</si>
  <si>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</si>
  <si>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</si>
  <si>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</si>
  <si>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</si>
  <si>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</si>
  <si>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</si>
  <si>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</si>
  <si>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</si>
  <si>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</si>
  <si>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</si>
  <si>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</si>
  <si>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</si>
  <si>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</si>
  <si>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</si>
  <si>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</si>
  <si>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</si>
  <si>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</si>
  <si>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</si>
  <si>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</si>
  <si>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</si>
  <si>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</si>
  <si>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</si>
  <si>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</si>
  <si>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</si>
  <si>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</si>
  <si>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</si>
  <si>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</si>
  <si>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</si>
  <si>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</si>
  <si>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</si>
  <si>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</si>
  <si>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</si>
  <si>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</si>
  <si>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</si>
  <si>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</si>
  <si>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</si>
  <si>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</si>
  <si>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</si>
  <si>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</si>
  <si>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</si>
  <si>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</si>
  <si>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</si>
  <si>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</si>
  <si>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</si>
  <si>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</si>
  <si>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</si>
  <si>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</si>
  <si>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</si>
  <si>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</si>
  <si>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</si>
  <si>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</si>
  <si>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</si>
  <si>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</si>
  <si>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</si>
  <si>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</si>
  <si>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</si>
  <si>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</si>
  <si>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</si>
  <si>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</si>
  <si>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</si>
  <si>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</si>
  <si>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</si>
  <si>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</si>
  <si>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</si>
  <si>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</si>
  <si>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</si>
  <si>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</si>
  <si>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</si>
  <si>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</si>
  <si>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</si>
  <si>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</si>
  <si>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</si>
  <si>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</si>
  <si>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</si>
  <si>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</si>
  <si>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</si>
  <si>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</si>
  <si>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</si>
  <si>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</si>
  <si>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</si>
  <si>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</si>
  <si>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</si>
  <si>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</si>
  <si>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</si>
  <si>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</si>
  <si>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</si>
  <si>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</si>
  <si>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</si>
  <si>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</si>
  <si>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</si>
  <si>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</si>
  <si>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</si>
  <si>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</si>
  <si>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</si>
  <si>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</si>
  <si>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</si>
  <si>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</si>
  <si>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</si>
  <si>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</si>
  <si>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</si>
  <si>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</si>
  <si>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</si>
  <si>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</si>
  <si>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</si>
  <si>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</si>
  <si>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</si>
  <si>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</si>
  <si>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</si>
  <si>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</si>
  <si>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</si>
  <si>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</si>
  <si>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</si>
  <si>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</si>
  <si>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</si>
  <si>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</si>
  <si>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</si>
  <si>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</si>
  <si>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</si>
  <si>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</si>
  <si>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</si>
  <si>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</si>
  <si>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</si>
  <si>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</si>
  <si>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</si>
  <si>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</si>
  <si>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</si>
  <si>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</si>
  <si>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</si>
  <si>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</si>
  <si>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</si>
  <si>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</si>
  <si>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</si>
  <si>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</si>
  <si>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</si>
  <si>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</si>
  <si>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</si>
  <si>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</si>
  <si>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</si>
  <si>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</si>
  <si>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</si>
  <si>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</si>
  <si>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</si>
  <si>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</si>
  <si>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</si>
  <si>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</si>
  <si>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</si>
  <si>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</si>
  <si>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</si>
  <si>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</si>
  <si>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</si>
  <si>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</si>
  <si>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</si>
  <si>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</si>
  <si>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</si>
  <si>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</si>
  <si>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</si>
  <si>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</si>
  <si>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</si>
  <si>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</si>
  <si>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</si>
  <si>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</si>
  <si>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</si>
  <si>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</si>
  <si>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</si>
  <si>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</si>
  <si>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</si>
  <si>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</si>
  <si>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</si>
  <si>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</si>
  <si>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</si>
  <si>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</si>
  <si>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</si>
  <si>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</si>
  <si>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</si>
  <si>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</si>
  <si>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</si>
  <si>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</si>
  <si>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</si>
  <si>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</si>
  <si>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</si>
  <si>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</si>
  <si>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</si>
  <si>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</si>
  <si>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</si>
  <si>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</si>
  <si>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</si>
  <si>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</si>
  <si>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</si>
  <si>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</si>
  <si>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</si>
  <si>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</si>
  <si>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</si>
  <si>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</si>
  <si>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</si>
  <si>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</si>
  <si>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</si>
  <si>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</si>
  <si>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</si>
  <si>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</si>
  <si>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</si>
  <si>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</si>
  <si>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</si>
  <si>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</si>
  <si>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</si>
  <si>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</si>
  <si>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</si>
  <si>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</si>
  <si>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</si>
  <si>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</si>
  <si>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</si>
  <si>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</si>
  <si>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</si>
  <si>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</si>
  <si>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</si>
  <si>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</si>
  <si>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</si>
  <si>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</si>
  <si>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</si>
  <si>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</si>
  <si>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</si>
  <si>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</si>
  <si>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</si>
  <si>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</si>
  <si>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</si>
  <si>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</si>
  <si>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</si>
  <si>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</si>
  <si>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</si>
  <si>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</si>
  <si>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</si>
  <si>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</si>
  <si>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</si>
  <si>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</si>
  <si>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</si>
  <si>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</si>
  <si>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</si>
  <si>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</si>
  <si>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</si>
  <si>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</si>
  <si>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</si>
  <si>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</si>
  <si>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</si>
  <si>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</si>
  <si>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</si>
  <si>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</si>
  <si>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</si>
  <si>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</si>
  <si>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</si>
  <si>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</si>
  <si>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</si>
  <si>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</si>
  <si>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</si>
  <si>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</si>
  <si>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</si>
  <si>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</si>
  <si>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</si>
  <si>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</si>
  <si>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</si>
  <si>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</si>
  <si>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</si>
  <si>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</si>
  <si>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</si>
  <si>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</si>
  <si>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</si>
  <si>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</si>
  <si>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</si>
  <si>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</si>
  <si>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</si>
  <si>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</si>
  <si>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</si>
  <si>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</si>
  <si>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</si>
  <si>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</si>
  <si>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</si>
  <si>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</si>
  <si>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</si>
  <si>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</si>
  <si>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</si>
  <si>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</si>
  <si>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</si>
  <si>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</si>
  <si>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</si>
  <si>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</si>
  <si>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</si>
  <si>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</si>
  <si>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</si>
  <si>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</si>
  <si>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</si>
  <si>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</si>
  <si>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</si>
  <si>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</si>
  <si>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</si>
  <si>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</si>
  <si>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</si>
  <si>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</si>
  <si>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</si>
  <si>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</si>
  <si>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</si>
  <si>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</si>
  <si>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</si>
  <si>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</si>
  <si>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</si>
  <si>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</si>
  <si>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</si>
  <si>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</si>
  <si>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</si>
  <si>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</si>
  <si>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</si>
  <si>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</si>
  <si>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</si>
  <si>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</si>
  <si>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</si>
  <si>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</si>
  <si>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</si>
  <si>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</si>
  <si>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</si>
  <si>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</si>
  <si>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</si>
  <si>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</si>
  <si>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</si>
  <si>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</si>
  <si>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</si>
  <si>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</si>
  <si>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</si>
  <si>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</si>
  <si>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</si>
  <si>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</si>
  <si>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</si>
  <si>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</si>
  <si>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</si>
  <si>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</si>
  <si>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</si>
  <si>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</si>
  <si>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</si>
  <si>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</si>
  <si>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</si>
  <si>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</si>
  <si>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</si>
  <si>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</si>
  <si>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</si>
  <si>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</si>
  <si>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</si>
  <si>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</si>
  <si>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</si>
  <si>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</si>
  <si>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</si>
  <si>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</si>
  <si>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</si>
  <si>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</si>
  <si>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</si>
  <si>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</si>
  <si>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</si>
  <si>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</si>
  <si>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</si>
  <si>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</si>
  <si>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</si>
  <si>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</si>
  <si>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</si>
  <si>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</si>
  <si>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</si>
  <si>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</si>
  <si>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</si>
  <si>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</si>
  <si>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</si>
  <si>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</si>
  <si>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</si>
  <si>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</si>
  <si>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</si>
  <si>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</si>
  <si>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</si>
  <si>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</si>
  <si>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</si>
  <si>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</si>
  <si>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</si>
  <si>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</si>
  <si>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</si>
  <si>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</si>
  <si>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</si>
  <si>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</si>
  <si>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</si>
  <si>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</si>
  <si>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</si>
  <si>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</si>
  <si>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</si>
  <si>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</si>
  <si>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</si>
  <si>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</si>
  <si>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</si>
  <si>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</si>
  <si>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</si>
  <si>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</si>
  <si>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</si>
  <si>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</si>
  <si>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</si>
  <si>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</si>
  <si>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</si>
  <si>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</si>
  <si>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</si>
  <si>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</si>
  <si>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</si>
  <si>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</si>
  <si>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</si>
  <si>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</si>
  <si>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</si>
  <si>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</si>
  <si>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</si>
  <si>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</si>
  <si>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</si>
  <si>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</si>
  <si>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</si>
  <si>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</si>
  <si>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</si>
  <si>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</si>
  <si>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</si>
  <si>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</si>
  <si>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</si>
  <si>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</si>
  <si>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</si>
  <si>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</si>
  <si>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</si>
  <si>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</si>
  <si>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</si>
  <si>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</si>
  <si>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</si>
  <si>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</si>
  <si>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</si>
  <si>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</si>
  <si>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</si>
  <si>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</si>
  <si>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</si>
  <si>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</si>
  <si>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</si>
  <si>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</si>
  <si>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</si>
  <si>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</si>
  <si>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</si>
  <si>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</si>
  <si>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</si>
  <si>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</si>
  <si>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</si>
  <si>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</si>
  <si>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</si>
  <si>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</si>
  <si>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</si>
  <si>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</si>
  <si>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</si>
  <si>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</si>
  <si>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</si>
  <si>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</si>
  <si>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</si>
  <si>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</si>
  <si>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</si>
  <si>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</si>
  <si>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</si>
  <si>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</si>
  <si>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</si>
  <si>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</si>
  <si>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</si>
  <si>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</si>
  <si>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</si>
  <si>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</si>
  <si>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</si>
  <si>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</si>
  <si>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</si>
  <si>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</si>
  <si>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</si>
  <si>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</si>
  <si>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</si>
  <si>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</si>
  <si>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</si>
  <si>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</si>
  <si>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</si>
  <si>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</si>
  <si>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</si>
  <si>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</si>
  <si>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</si>
  <si>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</si>
  <si>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</si>
  <si>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</si>
  <si>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</si>
  <si>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</si>
  <si>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</si>
  <si>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</si>
  <si>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</si>
  <si>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</si>
  <si>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</si>
  <si>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</si>
  <si>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</si>
  <si>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</si>
  <si>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</si>
  <si>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</si>
  <si>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</si>
  <si>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</si>
  <si>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</si>
  <si>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</si>
  <si>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</si>
  <si>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</si>
  <si>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</si>
  <si>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</si>
  <si>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</si>
  <si>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</si>
  <si>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</si>
  <si>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</si>
  <si>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</si>
  <si>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</si>
  <si>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</si>
  <si>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</si>
  <si>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</si>
  <si>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</si>
  <si>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</si>
  <si>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</si>
  <si>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</si>
  <si>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</si>
  <si>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</si>
  <si>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</si>
  <si>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</si>
  <si>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</si>
  <si>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</si>
  <si>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</si>
  <si>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</si>
  <si>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</si>
  <si>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</si>
  <si>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</si>
  <si>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</si>
  <si>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</si>
  <si>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</si>
  <si>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</si>
  <si>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</si>
  <si>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</si>
  <si>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</si>
  <si>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</si>
  <si>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</si>
  <si>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</si>
  <si>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</si>
  <si>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</si>
  <si>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</si>
  <si>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</si>
  <si>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</si>
  <si>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</si>
  <si>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</si>
  <si>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</si>
  <si>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</si>
  <si>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</si>
  <si>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</si>
  <si>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</si>
  <si>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</si>
  <si>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</si>
  <si>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</si>
  <si>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</si>
  <si>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</si>
  <si>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</si>
  <si>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</si>
  <si>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</si>
  <si>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</si>
  <si>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</si>
  <si>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</si>
  <si>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</si>
  <si>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</si>
  <si>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</si>
  <si>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</si>
  <si>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</si>
  <si>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</si>
  <si>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</si>
  <si>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</si>
  <si>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</si>
  <si>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</si>
  <si>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</si>
  <si>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</si>
  <si>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</si>
  <si>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</si>
  <si>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</si>
  <si>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</si>
  <si>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</si>
  <si>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</si>
  <si>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</si>
  <si>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</si>
  <si>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</si>
  <si>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</si>
  <si>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</si>
  <si>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</si>
  <si>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</si>
  <si>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</si>
  <si>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</si>
  <si>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</si>
  <si>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</si>
  <si>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</si>
  <si>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</si>
  <si>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</si>
  <si>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</si>
  <si>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</si>
  <si>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</si>
  <si>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</si>
  <si>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</si>
  <si>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</si>
  <si>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</si>
  <si>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</si>
  <si>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</si>
  <si>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</si>
  <si>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</si>
  <si>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</si>
  <si>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</si>
  <si>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</si>
  <si>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</si>
  <si>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</si>
  <si>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</si>
  <si>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</si>
  <si>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</si>
  <si>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</si>
  <si>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</si>
  <si>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</si>
  <si>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</si>
  <si>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</si>
  <si>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</si>
  <si>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</si>
  <si>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</si>
  <si>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</si>
  <si>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</si>
  <si>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</si>
  <si>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</si>
  <si>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</si>
  <si>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</si>
  <si>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</si>
  <si>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</si>
  <si>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</si>
  <si>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</si>
  <si>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</si>
  <si>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</si>
  <si>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</si>
  <si>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</si>
  <si>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</si>
  <si>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</si>
  <si>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</si>
  <si>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</si>
  <si>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</si>
  <si>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</si>
  <si>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</si>
  <si>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</si>
  <si>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</si>
  <si>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</si>
  <si>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</si>
  <si>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</si>
  <si>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</si>
  <si>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</si>
  <si>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</si>
  <si>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</si>
  <si>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</si>
  <si>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</si>
  <si>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</si>
  <si>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</si>
  <si>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</si>
  <si>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</si>
  <si>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</si>
  <si>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</si>
  <si>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</si>
  <si>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</si>
  <si>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</si>
  <si>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</si>
  <si>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</si>
  <si>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</si>
  <si>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</si>
  <si>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</si>
  <si>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</si>
  <si>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</si>
  <si>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</si>
  <si>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</si>
  <si>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</si>
  <si>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</si>
  <si>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</si>
  <si>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</si>
  <si>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</si>
  <si>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</si>
  <si>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</si>
  <si>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</si>
  <si>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</si>
  <si>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</si>
  <si>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</si>
  <si>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</si>
  <si>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</si>
  <si>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</si>
  <si>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</si>
  <si>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</si>
  <si>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</si>
  <si>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</si>
  <si>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</si>
  <si>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</si>
  <si>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</si>
  <si>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</si>
  <si>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</si>
  <si>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</si>
  <si>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</si>
  <si>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</si>
  <si>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</si>
  <si>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</si>
  <si>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</si>
  <si>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</si>
  <si>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</si>
  <si>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</si>
  <si>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</si>
  <si>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</si>
  <si>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</si>
  <si>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</si>
  <si>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</si>
  <si>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</si>
  <si>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</si>
  <si>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</si>
  <si>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</si>
  <si>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</si>
  <si>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</si>
  <si>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</si>
  <si>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</si>
  <si>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</si>
  <si>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</si>
  <si>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</si>
  <si>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</si>
  <si>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</si>
  <si>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</si>
  <si>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</si>
  <si>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</si>
  <si>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</si>
  <si>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</si>
  <si>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</si>
  <si>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</si>
  <si>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</si>
  <si>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</si>
  <si>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</si>
  <si>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</si>
  <si>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</si>
  <si>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</si>
  <si>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</si>
  <si>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</si>
  <si>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</si>
  <si>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</si>
  <si>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</si>
  <si>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</si>
  <si>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</si>
  <si>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</si>
  <si>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</si>
  <si>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</si>
  <si>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</si>
  <si>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</si>
  <si>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</si>
  <si>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</si>
  <si>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</si>
  <si>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</si>
  <si>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</si>
  <si>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</si>
  <si>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</si>
  <si>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</si>
  <si>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</si>
  <si>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</si>
  <si>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</si>
  <si>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</si>
  <si>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</si>
  <si>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</si>
  <si>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</si>
  <si>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</si>
  <si>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</si>
  <si>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</si>
  <si>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</si>
  <si>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</si>
  <si>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</si>
  <si>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</si>
  <si>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</si>
  <si>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</si>
  <si>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</si>
  <si>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</si>
  <si>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</si>
  <si>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</si>
  <si>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</si>
  <si>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</si>
  <si>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</si>
  <si>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</si>
  <si>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</si>
  <si>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</si>
  <si>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</si>
  <si>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</si>
  <si>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</si>
  <si>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</si>
  <si>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</si>
  <si>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</si>
  <si>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</si>
  <si>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</si>
  <si>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</si>
  <si>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</si>
  <si>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</si>
  <si>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</si>
  <si>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</si>
  <si>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</si>
  <si>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</si>
  <si>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</si>
  <si>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</si>
  <si>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</si>
  <si>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</si>
  <si>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</si>
  <si>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</si>
  <si>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</si>
  <si>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</si>
  <si>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</si>
  <si>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</si>
  <si>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</si>
  <si>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</si>
  <si>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</si>
  <si>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</si>
  <si>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</si>
  <si>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</si>
  <si>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</si>
  <si>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</si>
  <si>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</si>
  <si>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</si>
  <si>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</si>
  <si>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</si>
  <si>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</si>
  <si>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</si>
  <si>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</si>
  <si>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</si>
  <si>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</si>
  <si>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</si>
  <si>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</si>
  <si>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</si>
  <si>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</si>
  <si>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</si>
  <si>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</si>
  <si>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</si>
  <si>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</si>
  <si>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</si>
  <si>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</si>
  <si>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</si>
  <si>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</si>
  <si>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</si>
  <si>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</si>
  <si>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</si>
  <si>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</si>
  <si>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</si>
  <si>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</si>
  <si>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</si>
  <si>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</si>
  <si>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</si>
  <si>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</si>
  <si>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</si>
  <si>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</si>
  <si>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</si>
  <si>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</si>
  <si>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</si>
  <si>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</si>
  <si>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</si>
  <si>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</si>
  <si>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</si>
  <si>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</si>
  <si>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</si>
  <si>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</si>
  <si>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</si>
  <si>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</si>
  <si>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</si>
  <si>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</si>
  <si>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</si>
  <si>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</si>
  <si>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</si>
  <si>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</si>
  <si>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</si>
  <si>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</si>
  <si>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</si>
  <si>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</si>
  <si>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</si>
  <si>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</si>
  <si>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</si>
  <si>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</si>
  <si>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</si>
  <si>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</si>
  <si>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</si>
  <si>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</si>
  <si>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</si>
  <si>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</si>
  <si>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</si>
  <si>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</si>
  <si>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</si>
  <si>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</si>
  <si>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</si>
  <si>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</si>
  <si>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</si>
  <si>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</si>
  <si>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</si>
  <si>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</si>
  <si>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</si>
  <si>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</si>
  <si>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</si>
  <si>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</si>
  <si>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</si>
  <si>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</si>
  <si>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</si>
  <si>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</si>
  <si>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</si>
  <si>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</si>
  <si>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</si>
  <si>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</si>
  <si>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</si>
  <si>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</si>
  <si>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</si>
  <si>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</si>
  <si>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</si>
  <si>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</si>
  <si>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</si>
  <si>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</si>
  <si>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</si>
  <si>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</si>
  <si>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</si>
  <si>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</si>
  <si>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</si>
  <si>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</si>
  <si>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</si>
  <si>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</si>
  <si>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</si>
  <si>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</si>
  <si>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</si>
  <si>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</si>
  <si>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</si>
  <si>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</si>
  <si>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</si>
  <si>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</si>
  <si>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</si>
  <si>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</si>
  <si>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</si>
  <si>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</si>
  <si>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</si>
  <si>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</si>
  <si>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</si>
  <si>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</si>
  <si>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</si>
  <si>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</si>
  <si>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</si>
  <si>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</si>
  <si>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</si>
  <si>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</si>
  <si>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</si>
  <si>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</si>
  <si>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</si>
  <si>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</si>
  <si>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</si>
  <si>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</si>
  <si>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</si>
  <si>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</si>
  <si>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</si>
  <si>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</si>
  <si>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</si>
  <si>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</si>
  <si>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</si>
  <si>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</si>
  <si>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</si>
  <si>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</si>
  <si>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</si>
  <si>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</si>
  <si>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</si>
  <si>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</si>
  <si>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</si>
  <si>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</si>
  <si>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</si>
  <si>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</si>
  <si>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</si>
  <si>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</si>
  <si>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</si>
  <si>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</si>
  <si>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</si>
  <si>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</si>
  <si>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</si>
  <si>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</si>
  <si>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</si>
  <si>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</si>
  <si>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</si>
  <si>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</si>
  <si>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</si>
  <si>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</si>
  <si>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</si>
  <si>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</si>
  <si>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</si>
  <si>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</si>
  <si>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</si>
  <si>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</si>
  <si>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</si>
  <si>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</si>
  <si>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</si>
  <si>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</si>
  <si>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</si>
  <si>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</si>
  <si>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</si>
  <si>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</si>
  <si>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</si>
  <si>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</si>
  <si>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</si>
  <si>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</si>
  <si>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</si>
  <si>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</si>
  <si>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</si>
  <si>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</si>
  <si>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</si>
  <si>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</si>
  <si>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</si>
  <si>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</si>
  <si>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</si>
  <si>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</si>
  <si>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</si>
  <si>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</si>
  <si>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</si>
  <si>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</si>
  <si>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</si>
  <si>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</si>
  <si>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</si>
  <si>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</si>
  <si>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</si>
  <si>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</si>
  <si>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</si>
  <si>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</si>
  <si>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</si>
  <si>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</si>
  <si>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</si>
  <si>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</si>
  <si>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</si>
  <si>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</si>
  <si>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</si>
  <si>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</si>
  <si>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</si>
  <si>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</si>
  <si>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</si>
  <si>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</si>
  <si>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</si>
  <si>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</si>
  <si>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</si>
  <si>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</si>
  <si>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</si>
  <si>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</si>
  <si>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</si>
  <si>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</si>
  <si>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</si>
  <si>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</si>
  <si>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</si>
  <si>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</si>
  <si>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</si>
  <si>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</si>
  <si>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</si>
  <si>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</si>
  <si>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</si>
  <si>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</si>
  <si>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</si>
  <si>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</si>
  <si>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</si>
  <si>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</si>
  <si>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</si>
  <si>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</si>
  <si>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Sikich LLP</t>
  </si>
  <si>
    <t>Cook County</t>
  </si>
  <si>
    <t>Anthony Cervini</t>
  </si>
  <si>
    <t>1415 W Dielh Road, Suite 400</t>
  </si>
  <si>
    <t>4600 N. Oak Park Avenue</t>
  </si>
  <si>
    <t>Naperville</t>
  </si>
  <si>
    <t>IL</t>
  </si>
  <si>
    <t>Harwood Heights, IL</t>
  </si>
  <si>
    <t>630-566-8400</t>
  </si>
  <si>
    <t>630-566-8401</t>
  </si>
  <si>
    <t>mkyne@urs86.org</t>
  </si>
  <si>
    <t>066-003284</t>
  </si>
  <si>
    <t>anthony.cervini@sikich.com</t>
  </si>
  <si>
    <t>Michael Maguire</t>
  </si>
  <si>
    <t>mmaguire@urs.org</t>
  </si>
  <si>
    <t>708-867-5822</t>
  </si>
  <si>
    <t>Series 2010</t>
  </si>
  <si>
    <t>Series 2016A</t>
  </si>
  <si>
    <t>Series 2016B</t>
  </si>
  <si>
    <t>Capital Leases</t>
  </si>
  <si>
    <t>General Obligation Bonds</t>
  </si>
  <si>
    <t>Capital leases</t>
  </si>
  <si>
    <t>SELF, SSCIP, EBC</t>
  </si>
  <si>
    <t>Illinois School Dostroct Liquid Asset Fund</t>
  </si>
  <si>
    <t>Leyden Area Special Education Cooperative</t>
  </si>
  <si>
    <t>Elmwood Park 401</t>
  </si>
  <si>
    <t>Transp-Support Services-Purchased Services</t>
  </si>
  <si>
    <t>A&amp;B Bus</t>
  </si>
  <si>
    <t>O&amp;M Support Services Purchased Services</t>
  </si>
  <si>
    <t>AT&amp;T</t>
  </si>
  <si>
    <t>Comcast</t>
  </si>
  <si>
    <t>O&amp;M Support Services Supplies &amp; Materials</t>
  </si>
  <si>
    <t>Consellation Energy</t>
  </si>
  <si>
    <t>Delage Landen</t>
  </si>
  <si>
    <t>Ed-Support Services Purchased Services</t>
  </si>
  <si>
    <t>E2 Services</t>
  </si>
  <si>
    <t>ECRA</t>
  </si>
  <si>
    <t>Ed Support Services Supplies and Materials</t>
  </si>
  <si>
    <t>Equifax</t>
  </si>
  <si>
    <t>Ed Support Services Purchased Services</t>
  </si>
  <si>
    <t>Food Service Professional</t>
  </si>
  <si>
    <t>O&amp;M Support Services Purchased SErvices</t>
  </si>
  <si>
    <t>Grapevine</t>
  </si>
  <si>
    <t>Groot</t>
  </si>
  <si>
    <t>Impact</t>
  </si>
  <si>
    <t xml:space="preserve">ED Support Services Purchased Services </t>
  </si>
  <si>
    <t>Innersync</t>
  </si>
  <si>
    <t>Knutte</t>
  </si>
  <si>
    <t>O&amp;M Support Services-Supplies and Materials</t>
  </si>
  <si>
    <t>Nextera Energy</t>
  </si>
  <si>
    <t>Orkin</t>
  </si>
  <si>
    <t>People Cab</t>
  </si>
  <si>
    <t>Ed-Support Services Supplies and Materials</t>
  </si>
  <si>
    <t>Pitney Bowes</t>
  </si>
  <si>
    <t>Raptor</t>
  </si>
  <si>
    <t>Richlee Vans</t>
  </si>
  <si>
    <t>Tort-Support Services-Purchased Services</t>
  </si>
  <si>
    <t>SELF</t>
  </si>
  <si>
    <t>SSCIP</t>
  </si>
  <si>
    <t>SSCIP (Board)</t>
  </si>
  <si>
    <t>Trugreen</t>
  </si>
  <si>
    <t>40-2550-300</t>
  </si>
  <si>
    <t>10-2300-300</t>
  </si>
  <si>
    <t>20-2540-300</t>
  </si>
  <si>
    <t>20-2540-400</t>
  </si>
  <si>
    <t>10-2660-300</t>
  </si>
  <si>
    <t>10-2620-300</t>
  </si>
  <si>
    <t>10-2560-300</t>
  </si>
  <si>
    <t>80-2300-300</t>
  </si>
  <si>
    <t>10-2300-400</t>
  </si>
  <si>
    <t>X</t>
  </si>
  <si>
    <t>Union Ridge SD 86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</si>
</sst>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0" fillId="0" borderId="157" xfId="17" applyFont="1" applyBorder="1" applyAlignment="1" applyProtection="1">
      <alignment horizontal="left" vertical="top" wrapText="1"/>
      <protection locked="0"/>
    </xf>
    <xf numFmtId="49" fontId="0" fillId="0" borderId="157" xfId="17" applyNumberFormat="1" applyFont="1" applyBorder="1" applyAlignment="1" applyProtection="1">
      <alignment horizontal="center" vertical="top"/>
      <protection locked="0"/>
    </xf>
    <xf numFmtId="0" fontId="0"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center"/>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K14" sqref="K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7" t="s">
        <v>405</v>
      </c>
      <c r="J1" s="1988"/>
      <c r="K1" s="1988"/>
      <c r="L1" s="1988"/>
      <c r="M1" s="1988"/>
      <c r="N1" s="1988"/>
      <c r="O1" s="1988"/>
      <c r="P1" s="1988"/>
      <c r="Q1" s="1988"/>
      <c r="R1" s="1988"/>
      <c r="S1" s="1988"/>
    </row>
    <row r="2" spans="1:28" ht="12" customHeight="1" x14ac:dyDescent="0.2">
      <c r="A2" s="47" t="s">
        <v>1991</v>
      </c>
      <c r="D2" s="48"/>
      <c r="I2" s="1989" t="s">
        <v>979</v>
      </c>
      <c r="J2" s="1988"/>
      <c r="K2" s="1988"/>
      <c r="L2" s="1988"/>
      <c r="M2" s="1988"/>
      <c r="N2" s="1988"/>
      <c r="O2" s="1988"/>
      <c r="P2" s="1988"/>
      <c r="Q2" s="1988"/>
      <c r="R2" s="1988"/>
      <c r="S2" s="1988"/>
    </row>
    <row r="3" spans="1:28" ht="12" customHeight="1" x14ac:dyDescent="0.2">
      <c r="A3" s="155" t="s">
        <v>1943</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2065</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2065</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6016086002</v>
      </c>
      <c r="B13" s="2023"/>
      <c r="C13" s="2023"/>
      <c r="D13" s="2023"/>
      <c r="E13" s="2023"/>
      <c r="F13" s="2023"/>
      <c r="G13" s="2023"/>
      <c r="H13" s="2024"/>
      <c r="I13" s="31"/>
      <c r="J13" s="30"/>
      <c r="K13" s="28"/>
      <c r="L13" s="30"/>
      <c r="M13" s="30"/>
      <c r="N13" s="30"/>
      <c r="O13" s="30"/>
      <c r="P13" s="30"/>
      <c r="Q13" s="30"/>
      <c r="R13" s="30"/>
      <c r="S13" s="30"/>
      <c r="T13" s="2027" t="s">
        <v>2066</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2067</v>
      </c>
      <c r="B15" s="2025"/>
      <c r="C15" s="2025"/>
      <c r="D15" s="2025"/>
      <c r="E15" s="2025"/>
      <c r="F15" s="2025"/>
      <c r="G15" s="2025"/>
      <c r="H15" s="2026"/>
      <c r="T15" s="2031" t="s">
        <v>2068</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2137</v>
      </c>
      <c r="B17" s="1982"/>
      <c r="C17" s="1982"/>
      <c r="D17" s="1982"/>
      <c r="E17" s="1982"/>
      <c r="F17" s="1982"/>
      <c r="G17" s="1982"/>
      <c r="H17" s="2007"/>
      <c r="T17" s="2038" t="s">
        <v>2069</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2070</v>
      </c>
      <c r="B19" s="1967"/>
      <c r="C19" s="1967"/>
      <c r="D19" s="1967"/>
      <c r="E19" s="1967"/>
      <c r="F19" s="1967"/>
      <c r="G19" s="1967"/>
      <c r="H19" s="1947"/>
      <c r="I19" s="30"/>
      <c r="J19" s="99"/>
      <c r="K19" s="40"/>
      <c r="L19" s="38"/>
      <c r="M19" s="112" t="s">
        <v>315</v>
      </c>
      <c r="P19" s="27"/>
      <c r="Q19" s="27"/>
      <c r="R19" s="27"/>
      <c r="S19" s="31"/>
      <c r="T19" s="2021" t="s">
        <v>2071</v>
      </c>
      <c r="U19" s="1946"/>
      <c r="V19" s="1946"/>
      <c r="W19" s="1947"/>
      <c r="X19" s="2036" t="s">
        <v>2072</v>
      </c>
      <c r="Y19" s="2037"/>
      <c r="Z19" s="2034">
        <v>60563</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2073</v>
      </c>
      <c r="B21" s="1946"/>
      <c r="C21" s="1946"/>
      <c r="D21" s="1946"/>
      <c r="E21" s="1946"/>
      <c r="F21" s="1946"/>
      <c r="G21" s="1946"/>
      <c r="H21" s="1947"/>
      <c r="I21" s="2001" t="s">
        <v>678</v>
      </c>
      <c r="J21" s="1996"/>
      <c r="K21" s="1996"/>
      <c r="L21" s="1996"/>
      <c r="M21" s="1996"/>
      <c r="N21" s="1996"/>
      <c r="O21" s="1996"/>
      <c r="P21" s="1996"/>
      <c r="Q21" s="1996"/>
      <c r="R21" s="1996"/>
      <c r="S21" s="2002"/>
      <c r="T21" s="2045" t="s">
        <v>2074</v>
      </c>
      <c r="U21" s="2046"/>
      <c r="V21" s="2046"/>
      <c r="W21" s="2046"/>
      <c r="X21" s="2051" t="s">
        <v>2075</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t="s">
        <v>2076</v>
      </c>
      <c r="B23" s="1999"/>
      <c r="C23" s="1999"/>
      <c r="D23" s="1999"/>
      <c r="E23" s="1999"/>
      <c r="F23" s="1999"/>
      <c r="G23" s="1999"/>
      <c r="H23" s="2000"/>
      <c r="T23" s="1981" t="s">
        <v>2077</v>
      </c>
      <c r="U23" s="2044"/>
      <c r="V23" s="2044"/>
      <c r="W23" s="2044"/>
      <c r="X23" s="2048">
        <v>44530</v>
      </c>
      <c r="Y23" s="2049"/>
      <c r="Z23" s="2049"/>
      <c r="AA23" s="2050"/>
    </row>
    <row r="24" spans="1:27" ht="14.1" customHeight="1" x14ac:dyDescent="0.2">
      <c r="A24" s="88" t="s">
        <v>677</v>
      </c>
      <c r="B24" s="49"/>
      <c r="C24" s="49"/>
      <c r="D24" s="49"/>
      <c r="E24" s="49"/>
      <c r="F24" s="49"/>
      <c r="G24" s="49"/>
      <c r="H24" s="61"/>
      <c r="J24" s="1968">
        <f>IF(B5="x",IF(AUDITCHECK!D29="AFR form Incomplete.","",IF(AUDITCHECK!D29="Deficit reduction plan is required.","School District must complete a deficit reduction plan in the 2019-2020 Budget",)),"")</f>
        <v>0</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60706</v>
      </c>
      <c r="B25" s="1946"/>
      <c r="C25" s="1946"/>
      <c r="D25" s="1946"/>
      <c r="E25" s="1946"/>
      <c r="F25" s="1946"/>
      <c r="G25" s="1946"/>
      <c r="H25" s="1947"/>
      <c r="I25" s="113"/>
      <c r="J25" s="1970"/>
      <c r="K25" s="1970"/>
      <c r="L25" s="1970"/>
      <c r="M25" s="1970"/>
      <c r="N25" s="1970"/>
      <c r="O25" s="1970"/>
      <c r="P25" s="1970"/>
      <c r="Q25" s="1970"/>
      <c r="R25" s="1970"/>
      <c r="S25" s="1971"/>
      <c r="T25" s="2041" t="s">
        <v>2078</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2079</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2080</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2081</v>
      </c>
      <c r="B42" s="1965"/>
      <c r="C42" s="1966"/>
      <c r="D42" s="1964"/>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13" sqref="D13"/>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4443927</v>
      </c>
      <c r="C4" s="1524">
        <f>2327727</f>
        <v>2327727</v>
      </c>
      <c r="D4" s="1752">
        <f>B4-C4</f>
        <v>2116200</v>
      </c>
      <c r="E4" s="1524">
        <f>4450800</f>
        <v>4450800</v>
      </c>
      <c r="F4" s="1752">
        <f>E4-C4</f>
        <v>2123073</v>
      </c>
    </row>
    <row r="5" spans="1:6" ht="13.7" customHeight="1" x14ac:dyDescent="0.2">
      <c r="A5" s="715" t="s">
        <v>870</v>
      </c>
      <c r="B5" s="1750">
        <f>'Revenues 9-14'!D5</f>
        <v>720848</v>
      </c>
      <c r="C5" s="585">
        <v>404010</v>
      </c>
      <c r="D5" s="1753">
        <f t="shared" ref="D5:D18" si="0">B5-C5</f>
        <v>316838</v>
      </c>
      <c r="E5" s="585">
        <v>772500</v>
      </c>
      <c r="F5" s="1753">
        <f>E5-C5</f>
        <v>368490</v>
      </c>
    </row>
    <row r="6" spans="1:6" ht="13.7" customHeight="1" x14ac:dyDescent="0.2">
      <c r="A6" s="715" t="s">
        <v>411</v>
      </c>
      <c r="B6" s="1750">
        <f>'Revenues 9-14'!E5</f>
        <v>154759</v>
      </c>
      <c r="C6" s="585">
        <v>82117</v>
      </c>
      <c r="D6" s="1753">
        <f t="shared" si="0"/>
        <v>72642</v>
      </c>
      <c r="E6" s="585">
        <v>157015</v>
      </c>
      <c r="F6" s="1753">
        <f t="shared" ref="F6:F18" si="1">E6-C6</f>
        <v>74898</v>
      </c>
    </row>
    <row r="7" spans="1:6" ht="13.7" customHeight="1" x14ac:dyDescent="0.2">
      <c r="A7" s="715" t="s">
        <v>155</v>
      </c>
      <c r="B7" s="1750">
        <f>'Revenues 9-14'!F5</f>
        <v>77729</v>
      </c>
      <c r="C7" s="585">
        <v>53868</v>
      </c>
      <c r="D7" s="1753">
        <f t="shared" si="0"/>
        <v>23861</v>
      </c>
      <c r="E7" s="585">
        <v>103000</v>
      </c>
      <c r="F7" s="1753">
        <f t="shared" si="1"/>
        <v>49132</v>
      </c>
    </row>
    <row r="8" spans="1:6" ht="13.7" customHeight="1" x14ac:dyDescent="0.2">
      <c r="A8" s="715" t="s">
        <v>1179</v>
      </c>
      <c r="B8" s="1750">
        <f>'Revenues 9-14'!G5</f>
        <v>102570</v>
      </c>
      <c r="C8" s="585">
        <v>70028</v>
      </c>
      <c r="D8" s="1753">
        <f t="shared" si="0"/>
        <v>32542</v>
      </c>
      <c r="E8" s="585">
        <v>133900</v>
      </c>
      <c r="F8" s="1753">
        <f t="shared" si="1"/>
        <v>63872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9442</v>
      </c>
      <c r="C10" s="585">
        <v>6734</v>
      </c>
      <c r="D10" s="1753">
        <f t="shared" si="0"/>
        <v>2708</v>
      </c>
      <c r="E10" s="585">
        <v>12875</v>
      </c>
      <c r="F10" s="1753">
        <f t="shared" si="1"/>
        <v>6141</v>
      </c>
    </row>
    <row r="11" spans="1:6" x14ac:dyDescent="0.2">
      <c r="A11" s="715" t="s">
        <v>409</v>
      </c>
      <c r="B11" s="1750">
        <f>'Revenues 9-14'!J5</f>
        <v>65841</v>
      </c>
      <c r="C11" s="585">
        <v>48481</v>
      </c>
      <c r="D11" s="1753">
        <f t="shared" si="0"/>
        <v>17360</v>
      </c>
      <c r="E11" s="585">
        <v>92700</v>
      </c>
      <c r="F11" s="1753">
        <f t="shared" si="1"/>
        <v>44219</v>
      </c>
    </row>
    <row r="12" spans="1:6" ht="13.7" customHeight="1" x14ac:dyDescent="0.2">
      <c r="A12" s="715" t="s">
        <v>157</v>
      </c>
      <c r="B12" s="1750">
        <f>'Revenues 9-14'!K5</f>
        <v>0</v>
      </c>
      <c r="C12" s="585"/>
      <c r="D12" s="1753">
        <f t="shared" si="0"/>
        <v>0</v>
      </c>
      <c r="E12" s="585"/>
      <c r="F12" s="1753">
        <f t="shared" si="1"/>
        <v>0</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60455</v>
      </c>
      <c r="C14" s="585">
        <v>43094</v>
      </c>
      <c r="D14" s="1753">
        <f t="shared" si="0"/>
        <v>17361</v>
      </c>
      <c r="E14" s="585">
        <v>82400</v>
      </c>
      <c r="F14" s="1753">
        <f t="shared" si="1"/>
        <v>39306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91721</v>
      </c>
      <c r="C16" s="585">
        <v>70028</v>
      </c>
      <c r="D16" s="1753">
        <f t="shared" si="0"/>
        <v>21693</v>
      </c>
      <c r="E16" s="585">
        <v>133900</v>
      </c>
      <c r="F16" s="1753">
        <f t="shared" si="1"/>
        <v>63872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5727292</v>
      </c>
      <c r="C19" s="1751">
        <f>SUM(C4:C18)</f>
        <v>3106087</v>
      </c>
      <c r="D19" s="1751">
        <f>SUM(D4:D18)</f>
        <v>2621205</v>
      </c>
      <c r="E19" s="1751">
        <f>SUM(E4:E18)</f>
        <v>5939090</v>
      </c>
      <c r="F19" s="1751">
        <f>SUM(F4:F18)</f>
        <v>2833003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110" zoomScaleNormal="110" workbookViewId="0">
      <selection activeCell="J34" sqref="J3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1954</v>
      </c>
      <c r="D2" s="723" t="s">
        <v>1955</v>
      </c>
      <c r="E2" s="723" t="s">
        <v>1956</v>
      </c>
      <c r="F2" s="1884" t="s">
        <v>1957</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2082</v>
      </c>
      <c r="B31" s="733">
        <v>40246</v>
      </c>
      <c r="C31" s="734">
        <v>221844</v>
      </c>
      <c r="D31" s="735">
        <v>7</v>
      </c>
      <c r="E31" s="734">
        <v>176652</v>
      </c>
      <c r="F31" s="734"/>
      <c r="G31" s="734"/>
      <c r="H31" s="734"/>
      <c r="I31" s="1756">
        <f>((E31+F31)-H31)+G31</f>
        <v>176652</v>
      </c>
      <c r="J31" s="734">
        <v>176652</v>
      </c>
      <c r="K31" s="736"/>
    </row>
    <row r="32" spans="1:11" ht="12" customHeight="1" x14ac:dyDescent="0.2">
      <c r="A32" s="732" t="s">
        <v>2083</v>
      </c>
      <c r="B32" s="733">
        <v>42712</v>
      </c>
      <c r="C32" s="734">
        <v>790000</v>
      </c>
      <c r="D32" s="735">
        <v>3</v>
      </c>
      <c r="E32" s="734">
        <v>790000</v>
      </c>
      <c r="F32" s="734"/>
      <c r="G32" s="734"/>
      <c r="H32" s="734"/>
      <c r="I32" s="1756">
        <f>((E32+F32)-H32)+G32</f>
        <v>790000</v>
      </c>
      <c r="J32" s="734">
        <v>790000</v>
      </c>
      <c r="K32" s="736"/>
    </row>
    <row r="33" spans="1:11" ht="12" customHeight="1" x14ac:dyDescent="0.2">
      <c r="A33" s="732" t="s">
        <v>2084</v>
      </c>
      <c r="B33" s="733">
        <v>42712</v>
      </c>
      <c r="C33" s="734">
        <v>780000</v>
      </c>
      <c r="D33" s="735">
        <v>3</v>
      </c>
      <c r="E33" s="734">
        <v>780000</v>
      </c>
      <c r="F33" s="734"/>
      <c r="G33" s="734"/>
      <c r="H33" s="734">
        <v>85000</v>
      </c>
      <c r="I33" s="1756">
        <f t="shared" ref="I33:I48" si="1">((E33+F33)-H33)+G33</f>
        <v>695000</v>
      </c>
      <c r="J33" s="734">
        <v>653273</v>
      </c>
      <c r="K33" s="736"/>
    </row>
    <row r="34" spans="1:11" ht="12" customHeight="1" x14ac:dyDescent="0.2">
      <c r="A34" s="732" t="s">
        <v>2085</v>
      </c>
      <c r="B34" s="733">
        <v>43250</v>
      </c>
      <c r="C34" s="734">
        <v>40039</v>
      </c>
      <c r="D34" s="735">
        <v>8</v>
      </c>
      <c r="E34" s="734">
        <v>39473</v>
      </c>
      <c r="F34" s="734"/>
      <c r="G34" s="734">
        <v>-7726</v>
      </c>
      <c r="H34" s="734"/>
      <c r="I34" s="1756">
        <f t="shared" si="1"/>
        <v>31747</v>
      </c>
      <c r="J34" s="734">
        <v>0</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1831883</v>
      </c>
      <c r="D49" s="745"/>
      <c r="E49" s="1756">
        <f t="shared" ref="E49:J49" si="2">SUM(E31:E48)</f>
        <v>1786125</v>
      </c>
      <c r="F49" s="1756">
        <f t="shared" si="2"/>
        <v>0</v>
      </c>
      <c r="G49" s="1756">
        <f t="shared" si="2"/>
        <v>-7726</v>
      </c>
      <c r="H49" s="1756">
        <f t="shared" si="2"/>
        <v>85000</v>
      </c>
      <c r="I49" s="1756">
        <f t="shared" si="2"/>
        <v>1693399</v>
      </c>
      <c r="J49" s="1756">
        <f t="shared" si="2"/>
        <v>1619925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t="s">
        <v>2086</v>
      </c>
      <c r="G52" s="2192"/>
      <c r="H52" s="736"/>
      <c r="I52" s="736"/>
      <c r="J52" s="746"/>
    </row>
    <row r="53" spans="1:11" ht="11.25" customHeight="1" x14ac:dyDescent="0.2">
      <c r="A53" s="750" t="s">
        <v>913</v>
      </c>
      <c r="B53" s="751" t="s">
        <v>951</v>
      </c>
      <c r="C53" s="746"/>
      <c r="D53" s="737"/>
      <c r="E53" s="749" t="s">
        <v>497</v>
      </c>
      <c r="F53" s="2193" t="s">
        <v>2087</v>
      </c>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6" sqref="H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1962</v>
      </c>
      <c r="B3" s="2241"/>
      <c r="C3" s="2241"/>
      <c r="D3" s="2241"/>
      <c r="E3" s="2242"/>
      <c r="F3" s="763"/>
      <c r="G3" s="764"/>
      <c r="H3" s="764"/>
      <c r="I3" s="764"/>
      <c r="J3" s="765"/>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60455</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60455</v>
      </c>
      <c r="I12" s="1758">
        <f>SUM(I5:I11)</f>
        <v>0</v>
      </c>
      <c r="J12" s="1758">
        <f>SUM(J5:J11)</f>
        <v>0</v>
      </c>
      <c r="K12" s="1758">
        <f>SUM(K5:K11)</f>
        <v>0</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c r="I14" s="771"/>
      <c r="J14" s="773"/>
      <c r="K14" s="765"/>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c r="K18" s="795"/>
    </row>
    <row r="19" spans="1:11" ht="21.75" customHeight="1" x14ac:dyDescent="0.2">
      <c r="A19" s="2230" t="s">
        <v>1809</v>
      </c>
      <c r="B19" s="2230"/>
      <c r="C19" s="2230"/>
      <c r="D19" s="2230"/>
      <c r="E19" s="2231"/>
      <c r="F19" s="789" t="s">
        <v>933</v>
      </c>
      <c r="G19" s="782"/>
      <c r="H19" s="782"/>
      <c r="I19" s="782"/>
      <c r="J19" s="765"/>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0</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0</v>
      </c>
      <c r="I23" s="1758">
        <f>SUM(I14:I16,I21,I22)</f>
        <v>0</v>
      </c>
      <c r="J23" s="1758">
        <f>SUM(J14:J16,J21,J22)</f>
        <v>0</v>
      </c>
      <c r="K23" s="1758">
        <f>SUM(K14:K16,K21,K22)</f>
        <v>0</v>
      </c>
    </row>
    <row r="24" spans="1:11" ht="14.25" thickTop="1" thickBot="1" x14ac:dyDescent="0.25">
      <c r="A24" s="2252" t="s">
        <v>1963</v>
      </c>
      <c r="B24" s="2251"/>
      <c r="C24" s="2251"/>
      <c r="D24" s="2251"/>
      <c r="E24" s="2251"/>
      <c r="F24" s="1762"/>
      <c r="G24" s="1763">
        <f>SUM(G3,G12)-G23</f>
        <v>0</v>
      </c>
      <c r="H24" s="1763">
        <f>SUM(H3,H12)-H23</f>
        <v>60455</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60455</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11" sqref="D11"/>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49573</v>
      </c>
      <c r="D5" s="841"/>
      <c r="E5" s="841"/>
      <c r="F5" s="1760">
        <f>(C5+D5)-E5</f>
        <v>49573</v>
      </c>
      <c r="G5" s="837"/>
      <c r="H5" s="842"/>
      <c r="I5" s="842"/>
      <c r="J5" s="842"/>
      <c r="K5" s="793"/>
      <c r="L5" s="1769">
        <f>F5-K5</f>
        <v>49573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7941805</v>
      </c>
      <c r="D8" s="844"/>
      <c r="E8" s="844"/>
      <c r="F8" s="1760">
        <f>(C8+D8)-E8</f>
        <v>7941805</v>
      </c>
      <c r="G8" s="843">
        <v>50</v>
      </c>
      <c r="H8" s="765"/>
      <c r="I8" s="765"/>
      <c r="J8" s="765"/>
      <c r="K8" s="1769">
        <f>(H8+I8)-J8</f>
        <v>0</v>
      </c>
      <c r="L8" s="1769">
        <f>F8-K8</f>
        <v>7941805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1183269</v>
      </c>
      <c r="D10" s="846">
        <v>9470</v>
      </c>
      <c r="E10" s="846"/>
      <c r="F10" s="1764">
        <f>(C10+D10)-E10</f>
        <v>1192739</v>
      </c>
      <c r="G10" s="843">
        <v>20</v>
      </c>
      <c r="H10" s="847"/>
      <c r="I10" s="847"/>
      <c r="J10" s="847"/>
      <c r="K10" s="1769">
        <f>(H10+I10)-J10</f>
        <v>0</v>
      </c>
      <c r="L10" s="1769">
        <f>F10-K10</f>
        <v>1192739</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479537</v>
      </c>
      <c r="D12" s="844"/>
      <c r="E12" s="844"/>
      <c r="F12" s="1760">
        <f>(C12+D12)-E12</f>
        <v>479537</v>
      </c>
      <c r="G12" s="843">
        <v>10</v>
      </c>
      <c r="H12" s="765"/>
      <c r="I12" s="765"/>
      <c r="J12" s="765"/>
      <c r="K12" s="1769">
        <f>(H12+I12)-J12</f>
        <v>0</v>
      </c>
      <c r="L12" s="1769">
        <f>F12-K12</f>
        <v>479537</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9654184</v>
      </c>
      <c r="D16" s="1760">
        <f>SUM(D3,D5:D6,D8:D10,D12:D15)</f>
        <v>9470</v>
      </c>
      <c r="E16" s="1760">
        <f>SUM(E3,E5:E6,E8:E10,E12:E15)</f>
        <v>0</v>
      </c>
      <c r="F16" s="1760">
        <f>SUM(F3,F5:F6,F8:F10,F12:F15)</f>
        <v>9663654</v>
      </c>
      <c r="G16" s="843"/>
      <c r="H16" s="1760">
        <f>SUM(H3,H6,H8:H10,H12:H14,)</f>
        <v>0</v>
      </c>
      <c r="I16" s="1760">
        <f>SUM(I3,I6,I8:I10,I12:I14,)</f>
        <v>0</v>
      </c>
      <c r="J16" s="1760">
        <f>SUM(J3,J6,J8:J10,J12:J14,)</f>
        <v>0</v>
      </c>
      <c r="K16" s="1760">
        <f>(H16+I16)-J16</f>
        <v>0</v>
      </c>
      <c r="L16" s="1760">
        <f>F16-K16</f>
        <v>9663654</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87723</v>
      </c>
      <c r="G17" s="837">
        <v>10</v>
      </c>
      <c r="H17" s="769"/>
      <c r="I17" s="1769">
        <f>F17/G17</f>
        <v>8772.2999999999993</v>
      </c>
      <c r="J17" s="769"/>
      <c r="K17" s="795"/>
      <c r="L17" s="795"/>
    </row>
    <row r="18" spans="1:12" ht="14.25" thickTop="1" thickBot="1" x14ac:dyDescent="0.25">
      <c r="A18" s="1767" t="s">
        <v>685</v>
      </c>
      <c r="B18" s="1768"/>
      <c r="C18" s="771"/>
      <c r="D18" s="771"/>
      <c r="E18" s="771"/>
      <c r="F18" s="850"/>
      <c r="G18" s="851"/>
      <c r="H18" s="773"/>
      <c r="I18" s="1760">
        <f>SUM(I16,I17)</f>
        <v>8772.2999999999993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3"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6245550</v>
      </c>
      <c r="G8" s="865"/>
    </row>
    <row r="9" spans="1:7" x14ac:dyDescent="0.2">
      <c r="A9" s="869" t="s">
        <v>460</v>
      </c>
      <c r="B9" s="870" t="s">
        <v>1876</v>
      </c>
      <c r="C9" s="871"/>
      <c r="D9" s="869" t="s">
        <v>501</v>
      </c>
      <c r="E9" s="868"/>
      <c r="F9" s="1909">
        <f>'Expenditures 15-22'!K151</f>
        <v>665086</v>
      </c>
      <c r="G9" s="872"/>
    </row>
    <row r="10" spans="1:7" x14ac:dyDescent="0.2">
      <c r="A10" s="869" t="s">
        <v>499</v>
      </c>
      <c r="B10" s="870" t="s">
        <v>1877</v>
      </c>
      <c r="C10" s="871"/>
      <c r="D10" s="869" t="s">
        <v>501</v>
      </c>
      <c r="E10" s="868"/>
      <c r="F10" s="1909">
        <f>'Expenditures 15-22'!K174</f>
        <v>151301</v>
      </c>
      <c r="G10" s="872"/>
    </row>
    <row r="11" spans="1:7" x14ac:dyDescent="0.2">
      <c r="A11" s="869" t="s">
        <v>461</v>
      </c>
      <c r="B11" s="870" t="s">
        <v>1878</v>
      </c>
      <c r="C11" s="871"/>
      <c r="D11" s="869" t="s">
        <v>501</v>
      </c>
      <c r="E11" s="868"/>
      <c r="F11" s="1909">
        <f>'Expenditures 15-22'!K210</f>
        <v>174184</v>
      </c>
      <c r="G11" s="872"/>
    </row>
    <row r="12" spans="1:7" x14ac:dyDescent="0.2">
      <c r="A12" s="869" t="s">
        <v>462</v>
      </c>
      <c r="B12" s="870" t="s">
        <v>1879</v>
      </c>
      <c r="C12" s="871"/>
      <c r="D12" s="869" t="s">
        <v>501</v>
      </c>
      <c r="E12" s="868"/>
      <c r="F12" s="1909">
        <f>'Expenditures 15-22'!K295</f>
        <v>258164</v>
      </c>
      <c r="G12" s="872"/>
    </row>
    <row r="13" spans="1:7" x14ac:dyDescent="0.2">
      <c r="A13" s="869" t="s">
        <v>106</v>
      </c>
      <c r="B13" s="870" t="s">
        <v>1880</v>
      </c>
      <c r="C13" s="871"/>
      <c r="D13" s="869" t="s">
        <v>501</v>
      </c>
      <c r="E13" s="868"/>
      <c r="F13" s="1909">
        <f>'Expenditures 15-22'!K342</f>
        <v>77727</v>
      </c>
      <c r="G13" s="873"/>
    </row>
    <row r="14" spans="1:7" ht="12" customHeight="1" thickBot="1" x14ac:dyDescent="0.25">
      <c r="A14" s="1770"/>
      <c r="B14" s="1771"/>
      <c r="C14" s="1772"/>
      <c r="D14" s="1773" t="s">
        <v>501</v>
      </c>
      <c r="E14" s="1774" t="s">
        <v>958</v>
      </c>
      <c r="F14" s="1775">
        <f>SUM(F8:F13)</f>
        <v>7572012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208260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117864</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1635</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261822</v>
      </c>
      <c r="G53" s="865"/>
    </row>
    <row r="54" spans="1:7" x14ac:dyDescent="0.2">
      <c r="A54" s="869" t="s">
        <v>459</v>
      </c>
      <c r="B54" s="869" t="s">
        <v>1476</v>
      </c>
      <c r="C54" s="889" t="s">
        <v>982</v>
      </c>
      <c r="D54" s="885" t="s">
        <v>1095</v>
      </c>
      <c r="E54" s="868"/>
      <c r="F54" s="1913">
        <f>'Expenditures 15-22'!G114</f>
        <v>7635</v>
      </c>
      <c r="G54" s="865"/>
    </row>
    <row r="55" spans="1:7" x14ac:dyDescent="0.2">
      <c r="A55" s="869" t="s">
        <v>459</v>
      </c>
      <c r="B55" s="869" t="s">
        <v>1477</v>
      </c>
      <c r="C55" s="889" t="s">
        <v>982</v>
      </c>
      <c r="D55" s="885" t="s">
        <v>291</v>
      </c>
      <c r="E55" s="868"/>
      <c r="F55" s="1913">
        <f>'Expenditures 15-22'!I114</f>
        <v>82735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42225</v>
      </c>
      <c r="G58" s="865"/>
    </row>
    <row r="59" spans="1:7" x14ac:dyDescent="0.2">
      <c r="A59" s="893" t="s">
        <v>460</v>
      </c>
      <c r="B59" s="856" t="s">
        <v>1883</v>
      </c>
      <c r="C59" s="894" t="s">
        <v>982</v>
      </c>
      <c r="D59" s="856" t="s">
        <v>291</v>
      </c>
      <c r="F59" s="1916">
        <f>'Expenditures 15-22'!I151</f>
        <v>4988</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85000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8622</v>
      </c>
      <c r="G67" s="865"/>
    </row>
    <row r="68" spans="1:8" x14ac:dyDescent="0.2">
      <c r="A68" s="869" t="s">
        <v>462</v>
      </c>
      <c r="B68" s="869" t="s">
        <v>1479</v>
      </c>
      <c r="C68" s="886" t="str">
        <f>'Expenditures 15-22'!B218</f>
        <v>1225</v>
      </c>
      <c r="D68" s="892" t="str">
        <f>'Expenditures 15-22'!A218</f>
        <v>Special Education Programs - Pre-K</v>
      </c>
      <c r="E68" s="868"/>
      <c r="F68" s="1913">
        <f>'Expenditures 15-22'!K218</f>
        <v>1159</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23</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821968</v>
      </c>
      <c r="G76" s="865"/>
    </row>
    <row r="77" spans="1:8" s="893" customFormat="1" ht="12" customHeight="1" thickTop="1" thickBot="1" x14ac:dyDescent="0.25">
      <c r="A77" s="1779"/>
      <c r="B77" s="1776"/>
      <c r="C77" s="1772"/>
      <c r="D77" s="1777" t="s">
        <v>1899</v>
      </c>
      <c r="E77" s="1774"/>
      <c r="F77" s="1780">
        <f>(F14-F76)</f>
        <v>6750044</v>
      </c>
      <c r="G77" s="869"/>
    </row>
    <row r="78" spans="1:8" s="893" customFormat="1" ht="12" customHeight="1" thickTop="1" x14ac:dyDescent="0.2">
      <c r="A78" s="1781"/>
      <c r="B78" s="1776"/>
      <c r="C78" s="1772"/>
      <c r="D78" s="1777" t="s">
        <v>2060</v>
      </c>
      <c r="E78" s="1774"/>
      <c r="F78" s="898">
        <v>557.1</v>
      </c>
      <c r="G78" s="899"/>
      <c r="H78" s="869"/>
    </row>
    <row r="79" spans="1:8" s="893" customFormat="1" ht="12" customHeight="1" thickBot="1" x14ac:dyDescent="0.25">
      <c r="A79" s="1782"/>
      <c r="B79" s="1776"/>
      <c r="C79" s="1772"/>
      <c r="D79" s="1777" t="s">
        <v>1900</v>
      </c>
      <c r="E79" s="1774" t="s">
        <v>958</v>
      </c>
      <c r="F79" s="1783">
        <f>IF(F78&gt;0,F77/F78," Complete Line 78")</f>
        <v>12116.39562017591</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34207</v>
      </c>
      <c r="G94" s="912"/>
    </row>
    <row r="95" spans="1:7" x14ac:dyDescent="0.2">
      <c r="A95" s="908" t="s">
        <v>140</v>
      </c>
      <c r="B95" s="908" t="s">
        <v>175</v>
      </c>
      <c r="C95" s="910">
        <v>1700</v>
      </c>
      <c r="D95" s="918" t="str">
        <f>'Revenues 9-14'!A82</f>
        <v>Total District/School Activity Income</v>
      </c>
      <c r="E95" s="906"/>
      <c r="F95" s="1789">
        <f>SUM('Revenues 9-14'!C82,'Revenues 9-14'!D82)</f>
        <v>57934</v>
      </c>
      <c r="G95" s="912"/>
    </row>
    <row r="96" spans="1:7" x14ac:dyDescent="0.2">
      <c r="A96" s="908" t="s">
        <v>459</v>
      </c>
      <c r="B96" s="908" t="s">
        <v>176</v>
      </c>
      <c r="C96" s="910">
        <f>'Revenues 9-14'!B84</f>
        <v>1811</v>
      </c>
      <c r="D96" s="911" t="str">
        <f>'Revenues 9-14'!A84</f>
        <v>Rentals - Regular Textbooks</v>
      </c>
      <c r="E96" s="906"/>
      <c r="F96" s="1789">
        <f>'Revenues 9-14'!C84</f>
        <v>103950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6410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7707</v>
      </c>
      <c r="G103" s="912"/>
    </row>
    <row r="104" spans="1:7" x14ac:dyDescent="0.2">
      <c r="A104" s="908" t="s">
        <v>459</v>
      </c>
      <c r="B104" s="908" t="s">
        <v>808</v>
      </c>
      <c r="C104" s="910">
        <f>'Revenues 9-14'!B106</f>
        <v>1993</v>
      </c>
      <c r="D104" s="911" t="str">
        <f>'Revenues 9-14'!A106</f>
        <v>Other Local Fees (Describe &amp; Itemize)</v>
      </c>
      <c r="E104" s="906"/>
      <c r="F104" s="1789">
        <f>('Revenues 9-14'!C106)</f>
        <v>38808</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1635</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24922</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121602</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157434</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130597</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5506</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799</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799</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17407</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30328</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37390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776636</v>
      </c>
    </row>
    <row r="175" spans="1:7" ht="12" customHeight="1" x14ac:dyDescent="0.2">
      <c r="A175" s="1770"/>
      <c r="B175" s="1784"/>
      <c r="C175" s="1785"/>
      <c r="D175" s="1786" t="s">
        <v>2055</v>
      </c>
      <c r="E175" s="1787"/>
      <c r="F175" s="1789">
        <f>'PCTC-OEPP 27-28'!F77-F174</f>
        <v>5973408</v>
      </c>
    </row>
    <row r="176" spans="1:7" ht="12" customHeight="1" x14ac:dyDescent="0.2">
      <c r="A176" s="1770"/>
      <c r="B176" s="1784"/>
      <c r="C176" s="1785"/>
      <c r="D176" s="1786" t="s">
        <v>1817</v>
      </c>
      <c r="E176" s="1787"/>
      <c r="F176" s="1789">
        <f>'Cap Outlay Deprec 26'!I18</f>
        <v>8772.2999999999993</v>
      </c>
    </row>
    <row r="177" spans="1:7" ht="12" customHeight="1" x14ac:dyDescent="0.2">
      <c r="A177" s="1770"/>
      <c r="B177" s="1784"/>
      <c r="C177" s="1785"/>
      <c r="D177" s="1786" t="s">
        <v>2056</v>
      </c>
      <c r="E177" s="1787"/>
      <c r="F177" s="1789">
        <f>F175+F176</f>
        <v>5982180.2999999998</v>
      </c>
    </row>
    <row r="178" spans="1:7" ht="12" customHeight="1" x14ac:dyDescent="0.2">
      <c r="A178" s="1770"/>
      <c r="B178" s="1790"/>
      <c r="C178" s="1785"/>
      <c r="D178" s="1786" t="str">
        <f>D78</f>
        <v>9 Month ADA from District Average Daily Attendance/Prior General State Aid Inquiry 2018-2019</v>
      </c>
      <c r="E178" s="1787"/>
      <c r="F178" s="1791">
        <f>'PCTC-OEPP 27-28'!F78</f>
        <v>557.1</v>
      </c>
      <c r="G178" s="930"/>
    </row>
    <row r="179" spans="1:7" ht="12" customHeight="1" thickBot="1" x14ac:dyDescent="0.25">
      <c r="A179" s="1770"/>
      <c r="B179" s="1790"/>
      <c r="C179" s="1785"/>
      <c r="D179" s="1786" t="s">
        <v>2057</v>
      </c>
      <c r="E179" s="1787" t="s">
        <v>1545</v>
      </c>
      <c r="F179" s="1792">
        <f>F177/F178</f>
        <v>10738.072697899837</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37"/>
  <sheetViews>
    <sheetView showGridLines="0" topLeftCell="A15" zoomScaleNormal="100" workbookViewId="0">
      <selection activeCell="B26" sqref="B26"/>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935" t="s">
        <v>2064</v>
      </c>
      <c r="B6" s="1936"/>
      <c r="C6" s="1936"/>
      <c r="D6" s="1936"/>
      <c r="E6" s="1936"/>
      <c r="F6" s="1936"/>
      <c r="G6" s="1937"/>
    </row>
    <row r="7" spans="1:7" ht="18.75" x14ac:dyDescent="0.25">
      <c r="A7" s="1534" t="s">
        <v>1819</v>
      </c>
      <c r="B7" s="1535"/>
      <c r="C7" s="1535"/>
      <c r="D7" s="1535"/>
      <c r="E7" s="1535"/>
      <c r="F7" s="1535"/>
      <c r="G7" s="1536"/>
    </row>
    <row r="8" spans="1:7" ht="30.75" customHeight="1" x14ac:dyDescent="0.25">
      <c r="A8" s="2280" t="s">
        <v>1931</v>
      </c>
      <c r="B8" s="2281"/>
      <c r="C8" s="2281"/>
      <c r="D8" s="2281"/>
      <c r="E8" s="2281"/>
      <c r="F8" s="2281"/>
      <c r="G8" s="2282"/>
    </row>
    <row r="9" spans="1:7" ht="15.75" customHeight="1" x14ac:dyDescent="0.25">
      <c r="A9" s="2283" t="s">
        <v>1906</v>
      </c>
      <c r="B9" s="2284"/>
      <c r="C9" s="2284"/>
      <c r="D9" s="2284"/>
      <c r="E9" s="2284"/>
      <c r="F9" s="2284"/>
      <c r="G9" s="2285"/>
    </row>
    <row r="10" spans="1:7" ht="35.25" customHeight="1" x14ac:dyDescent="0.25">
      <c r="A10" s="2280" t="s">
        <v>2063</v>
      </c>
      <c r="B10" s="2281"/>
      <c r="C10" s="2281"/>
      <c r="D10" s="2281"/>
      <c r="E10" s="2281"/>
      <c r="F10" s="2281"/>
      <c r="G10" s="2282"/>
    </row>
    <row r="11" spans="1:7" ht="15" customHeight="1" x14ac:dyDescent="0.25">
      <c r="A11" s="1537" t="s">
        <v>1820</v>
      </c>
      <c r="B11" s="1538"/>
      <c r="C11" s="1538"/>
      <c r="D11" s="1538"/>
      <c r="E11" s="1538"/>
      <c r="F11" s="1538"/>
      <c r="G11" s="1539"/>
    </row>
    <row r="12" spans="1:7" ht="17.25" customHeight="1" x14ac:dyDescent="0.25">
      <c r="A12" s="2280" t="s">
        <v>1933</v>
      </c>
      <c r="B12" s="2281"/>
      <c r="C12" s="2281"/>
      <c r="D12" s="2281"/>
      <c r="E12" s="2281"/>
      <c r="F12" s="2281"/>
      <c r="G12" s="2282"/>
    </row>
    <row r="13" spans="1:7" ht="15" customHeight="1" x14ac:dyDescent="0.25">
      <c r="A13" s="1537" t="s">
        <v>1825</v>
      </c>
      <c r="B13" s="1538"/>
      <c r="C13" s="1538"/>
      <c r="D13" s="1538"/>
      <c r="E13" s="1538"/>
      <c r="F13" s="1538"/>
      <c r="G13" s="1539"/>
    </row>
    <row r="14" spans="1:7" ht="32.25" customHeight="1" x14ac:dyDescent="0.25">
      <c r="A14" s="2271" t="s">
        <v>1974</v>
      </c>
      <c r="B14" s="2272"/>
      <c r="C14" s="2272"/>
      <c r="D14" s="2272"/>
      <c r="E14" s="2272"/>
      <c r="F14" s="2272"/>
      <c r="G14" s="2273"/>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8" t="s">
        <v>2092</v>
      </c>
      <c r="B18" s="1939" t="s">
        <v>2127</v>
      </c>
      <c r="C18" s="1940" t="s">
        <v>2093</v>
      </c>
      <c r="D18" s="1844">
        <v>27276</v>
      </c>
      <c r="E18" s="1540">
        <f t="shared" ref="E18:E137" si="0">IF(D18&lt;=25000,D18,IF(D18&gt;25000,25000,0))</f>
        <v>25000</v>
      </c>
      <c r="F18" s="1934">
        <f t="shared" ref="F18:F7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2276</v>
      </c>
      <c r="H18" s="1647"/>
    </row>
    <row r="19" spans="1:8" x14ac:dyDescent="0.25">
      <c r="A19" s="1941" t="s">
        <v>2094</v>
      </c>
      <c r="B19" s="1942" t="s">
        <v>2129</v>
      </c>
      <c r="C19" s="1943" t="s">
        <v>2095</v>
      </c>
      <c r="D19" s="1844">
        <v>8630</v>
      </c>
      <c r="E19" s="1540">
        <f t="shared" ref="E19:E136" si="2">IF(D19&lt;=25000,D19,IF(D19&gt;25000,25000,0))</f>
        <v>8630</v>
      </c>
      <c r="F19" s="1934">
        <f t="shared" si="1"/>
        <v>8630</v>
      </c>
      <c r="G19" s="1793">
        <f t="shared" ref="G19:G136" si="3">IF(F19=0,0,D19-F19)</f>
        <v>0</v>
      </c>
    </row>
    <row r="20" spans="1:8" x14ac:dyDescent="0.25">
      <c r="A20" s="1653" t="s">
        <v>2094</v>
      </c>
      <c r="B20" s="1942" t="s">
        <v>2129</v>
      </c>
      <c r="C20" s="1943" t="s">
        <v>2096</v>
      </c>
      <c r="D20" s="1844">
        <v>6371</v>
      </c>
      <c r="E20" s="1540">
        <f t="shared" si="2"/>
        <v>6371</v>
      </c>
      <c r="F20" s="1934">
        <f t="shared" si="1"/>
        <v>6371</v>
      </c>
      <c r="G20" s="1793">
        <f t="shared" si="3"/>
        <v>0</v>
      </c>
    </row>
    <row r="21" spans="1:8" x14ac:dyDescent="0.25">
      <c r="A21" s="1653" t="s">
        <v>2097</v>
      </c>
      <c r="B21" s="1942" t="s">
        <v>2130</v>
      </c>
      <c r="C21" s="1943" t="s">
        <v>2098</v>
      </c>
      <c r="D21" s="1844">
        <v>13729</v>
      </c>
      <c r="E21" s="1540">
        <f t="shared" si="2"/>
        <v>13729</v>
      </c>
      <c r="F21" s="1934">
        <f t="shared" si="1"/>
        <v>13729</v>
      </c>
      <c r="G21" s="1793">
        <f t="shared" si="3"/>
        <v>0</v>
      </c>
    </row>
    <row r="22" spans="1:8" x14ac:dyDescent="0.25">
      <c r="A22" s="1653" t="s">
        <v>2094</v>
      </c>
      <c r="B22" s="1942" t="s">
        <v>2129</v>
      </c>
      <c r="C22" s="1940" t="s">
        <v>2099</v>
      </c>
      <c r="D22" s="1844">
        <v>5425</v>
      </c>
      <c r="E22" s="1540">
        <f t="shared" si="2"/>
        <v>5425</v>
      </c>
      <c r="F22" s="1934">
        <f t="shared" si="1"/>
        <v>5425</v>
      </c>
      <c r="G22" s="1793">
        <f t="shared" si="3"/>
        <v>0</v>
      </c>
    </row>
    <row r="23" spans="1:8" x14ac:dyDescent="0.25">
      <c r="A23" s="1653" t="s">
        <v>2100</v>
      </c>
      <c r="B23" s="1942" t="s">
        <v>2131</v>
      </c>
      <c r="C23" s="1943" t="s">
        <v>2101</v>
      </c>
      <c r="D23" s="1844">
        <v>13568</v>
      </c>
      <c r="E23" s="1540">
        <f t="shared" si="2"/>
        <v>13568</v>
      </c>
      <c r="F23" s="1934">
        <f t="shared" si="1"/>
        <v>13568</v>
      </c>
      <c r="G23" s="1793">
        <f t="shared" si="3"/>
        <v>0</v>
      </c>
    </row>
    <row r="24" spans="1:8" x14ac:dyDescent="0.25">
      <c r="A24" s="1653" t="s">
        <v>2100</v>
      </c>
      <c r="B24" s="1942" t="s">
        <v>2132</v>
      </c>
      <c r="C24" s="1943" t="s">
        <v>2102</v>
      </c>
      <c r="D24" s="1844">
        <v>18210</v>
      </c>
      <c r="E24" s="1540">
        <f t="shared" si="2"/>
        <v>18210</v>
      </c>
      <c r="F24" s="1934">
        <f t="shared" si="1"/>
        <v>18210</v>
      </c>
      <c r="G24" s="1793">
        <f t="shared" si="3"/>
        <v>0</v>
      </c>
    </row>
    <row r="25" spans="1:8" x14ac:dyDescent="0.25">
      <c r="A25" s="1653" t="s">
        <v>2103</v>
      </c>
      <c r="B25" s="1942" t="s">
        <v>2135</v>
      </c>
      <c r="C25" s="1943" t="s">
        <v>2104</v>
      </c>
      <c r="D25" s="1844">
        <v>868</v>
      </c>
      <c r="E25" s="1540">
        <f t="shared" si="2"/>
        <v>868</v>
      </c>
      <c r="F25" s="1934">
        <f t="shared" si="1"/>
        <v>868</v>
      </c>
      <c r="G25" s="1793">
        <f t="shared" si="3"/>
        <v>0</v>
      </c>
    </row>
    <row r="26" spans="1:8" x14ac:dyDescent="0.25">
      <c r="A26" s="1653" t="s">
        <v>2105</v>
      </c>
      <c r="B26" s="1942" t="s">
        <v>2133</v>
      </c>
      <c r="C26" s="1943" t="s">
        <v>2106</v>
      </c>
      <c r="D26" s="1844">
        <v>117632</v>
      </c>
      <c r="E26" s="1540">
        <f t="shared" si="2"/>
        <v>25000</v>
      </c>
      <c r="F26" s="1934">
        <f t="shared" si="1"/>
        <v>25000</v>
      </c>
      <c r="G26" s="1793">
        <f t="shared" si="3"/>
        <v>92632</v>
      </c>
    </row>
    <row r="27" spans="1:8" x14ac:dyDescent="0.25">
      <c r="A27" s="1653" t="s">
        <v>2107</v>
      </c>
      <c r="B27" s="1942" t="s">
        <v>2129</v>
      </c>
      <c r="C27" s="1943" t="s">
        <v>2108</v>
      </c>
      <c r="D27" s="1844">
        <v>3336</v>
      </c>
      <c r="E27" s="1540">
        <f t="shared" si="2"/>
        <v>3336</v>
      </c>
      <c r="F27" s="1934">
        <f t="shared" si="1"/>
        <v>3336</v>
      </c>
      <c r="G27" s="1793">
        <f t="shared" si="3"/>
        <v>0</v>
      </c>
    </row>
    <row r="28" spans="1:8" x14ac:dyDescent="0.25">
      <c r="A28" s="1653" t="s">
        <v>2094</v>
      </c>
      <c r="B28" s="1942" t="s">
        <v>2129</v>
      </c>
      <c r="C28" s="1654" t="s">
        <v>2109</v>
      </c>
      <c r="D28" s="1844">
        <v>4637</v>
      </c>
      <c r="E28" s="1540">
        <f t="shared" si="2"/>
        <v>4637</v>
      </c>
      <c r="F28" s="1934">
        <f t="shared" si="1"/>
        <v>4637</v>
      </c>
      <c r="G28" s="1793">
        <f t="shared" si="3"/>
        <v>0</v>
      </c>
    </row>
    <row r="29" spans="1:8" x14ac:dyDescent="0.25">
      <c r="A29" s="1653" t="s">
        <v>2094</v>
      </c>
      <c r="B29" s="1942" t="s">
        <v>2129</v>
      </c>
      <c r="C29" s="1654" t="s">
        <v>2110</v>
      </c>
      <c r="D29" s="1844">
        <v>9300</v>
      </c>
      <c r="E29" s="1540">
        <f t="shared" si="2"/>
        <v>9300</v>
      </c>
      <c r="F29" s="1934">
        <f t="shared" si="1"/>
        <v>9300</v>
      </c>
      <c r="G29" s="1793">
        <f t="shared" si="3"/>
        <v>0</v>
      </c>
    </row>
    <row r="30" spans="1:8" x14ac:dyDescent="0.25">
      <c r="A30" s="1653" t="s">
        <v>2111</v>
      </c>
      <c r="B30" s="1942" t="s">
        <v>2131</v>
      </c>
      <c r="C30" s="1654" t="s">
        <v>2112</v>
      </c>
      <c r="D30" s="1844">
        <v>2388</v>
      </c>
      <c r="E30" s="1540">
        <f t="shared" si="2"/>
        <v>2388</v>
      </c>
      <c r="F30" s="1934">
        <f t="shared" si="1"/>
        <v>2388</v>
      </c>
      <c r="G30" s="1793">
        <f t="shared" si="3"/>
        <v>0</v>
      </c>
    </row>
    <row r="31" spans="1:8" x14ac:dyDescent="0.25">
      <c r="A31" s="1653" t="s">
        <v>2105</v>
      </c>
      <c r="B31" s="1942" t="s">
        <v>2128</v>
      </c>
      <c r="C31" s="1654" t="s">
        <v>2113</v>
      </c>
      <c r="D31" s="1844">
        <v>11000</v>
      </c>
      <c r="E31" s="1540">
        <f t="shared" si="2"/>
        <v>11000</v>
      </c>
      <c r="F31" s="1934">
        <f t="shared" si="1"/>
        <v>11000</v>
      </c>
      <c r="G31" s="1793">
        <f t="shared" si="3"/>
        <v>0</v>
      </c>
    </row>
    <row r="32" spans="1:8" x14ac:dyDescent="0.25">
      <c r="A32" s="1653" t="s">
        <v>2114</v>
      </c>
      <c r="B32" s="1942" t="s">
        <v>2130</v>
      </c>
      <c r="C32" s="1654" t="s">
        <v>2115</v>
      </c>
      <c r="D32" s="1844">
        <v>64605</v>
      </c>
      <c r="E32" s="1540">
        <f t="shared" si="2"/>
        <v>25000</v>
      </c>
      <c r="F32" s="1934">
        <f t="shared" si="1"/>
        <v>25000</v>
      </c>
      <c r="G32" s="1793">
        <f t="shared" si="3"/>
        <v>39605</v>
      </c>
    </row>
    <row r="33" spans="1:7" x14ac:dyDescent="0.25">
      <c r="A33" s="1653" t="s">
        <v>2094</v>
      </c>
      <c r="B33" s="1942" t="s">
        <v>2129</v>
      </c>
      <c r="C33" s="1654" t="s">
        <v>2116</v>
      </c>
      <c r="D33" s="1844">
        <v>1410</v>
      </c>
      <c r="E33" s="1540">
        <f t="shared" si="2"/>
        <v>1410</v>
      </c>
      <c r="F33" s="1934">
        <f t="shared" ref="F33:F41" si="4">(IF(D33="",0,(IF(OR(B33="10-1000-100",B33="10-1000-200",B33="10-1000-300",B33="10-1000-400",B33="10-1000-600",B33="10-1000-800",B33="50-1000-200",B33="10-2100-100",B33="10-2100-200",B33="10-2100-300",B33="10-2100-400",B33="10-2100-600",B33="10-2100-800",B33="20-2100-100",B33="20-2100-200",B33="20-2100-300",B33="20-2100-400",B33="20-2100-600",B33="20-2100-800",B33="40-2100-100",B33="40-2100-200",B33="40-2100-300",B33="40-2100-400",B33="40-2100-600",B33="40-2100-800",B33="50-2100-200",B33="10-2200-100",B33="10-2200-200",B33="10-2200-300",B33="10-2200-400",B33="10-2200-600",B33="10-2200-800",B33="50-2200-200",B33="10-2300-100",B33="10-2300-200",B33="10-2300-300",B33="10-2300-400",B33="10-2300-600",B33="10-2300-800",B33="50-2300-200",B33="80-2300-100",B33="80-2300-200",B33="80-2300-300",B33="80-2300-400",B33="80-2300-600",B33="80-2300-800",B33="10-2400-100",B33="10-2400-200",B33="10-2400-300",B33="10-2400-400",B33="10-2400-600",B33="10-2400-800",B33="50-2400-200",B33="10-2510-100",B33="10-2510-200",B33="10-2510-300",B33="10-2510-400",B33="10-2510-600",B33="10-2510-800",B33="20-2510-100",B33="20-2510-200",B33="20-2510-300",B33="20-2510-400",B33="20-2510-600",B33="20-2510-800",B33="50-2510-200",B33="10-2520-100",B33="10-2520-200",B33="10-2520-300",B33="10-2520-400",B33="10-2520-600",B33="10-2520-800",B33="50-2520-200",B33="10-2540-100",B33="10-2540-200",B33="10-2540-300",B33="10-2540-400",B33="10-2540-600",B33="10-2540-800",B33="20-2540-100",B33="20-2540-200",B33="20-2540-300",B33="20-2540-400",B33="20-2540-600",B33="20-2540-800",B33="50-2540-200",B33="10-2550-100",B33="10-2550-200",B33="10-2550-300",B33="10-2550-400",B33="10-2550-600",B33="10-2550-800",B33="20-2550-100",B33="20-2550-200",B33="20-2550-300",B33="20-2550-400",B33="20-2550-600",B33="20-2550-800",B33="40-2550-100",B33="40-2550-200",B33="40-2550-300",B33="40-2550-400",B33="40-2550-600",B33="40-2550-800",B33="50-2550-200",B33="10-2560-100",B33="10-2560-200",B33="10-2560-300",B33="10-2560-400",B33="10-2560-600",B33="10-2560-800",B33="50-2560-200",B33="10-2570-100",B33="10-2570-200",B33="10-2570-300",B33="10-2570-400",B33="10-2570-600",B33="10-2570-800",B33="50-2570-200",B33="10-2610-100",B33="10-2610-200",B33="10-2610-300",B33="10-2610-400",B33="10-2610-600",B33="10-2610-800",B33="50-2610-200",B33="10-2620-100",B33="10-2620-200",B33="10-2620-300",B33="10-2620-400",B33="10-2620-600",B33="10-2620-800",B33="50-2620-200",B33="10-2630-100",B33="10-2630-200",B33="10-2630-300",B33="10-2630-400",B33="10-2630-600",B33="10-2630-800",B33="50-2630-200",B33="10-2640-100",B33="10-2640-200",B33="10-2640-300",B33="10-2640-400",B33="10-2640-600",B33="10-2640-800",B33="50-2640-200",B33="10-2660-100",B33="10-2660-200",B33="10-2660-300",B33="10-2660-400",B33="10-2660-600",B33="10-2660-800",B33="50-2660-200",B33="10-2900-100",B33="10-2900-200",B33="10-2900-300",B33="10-2900-400",B33="10-2900-600",B33="10-2900-800",B33="20-2900-100",B33="20-2900-200",B33="20-2900-300",B33="20-2900-400",B33="20-2900-600",B33="20-2900-800",B33="40-2900-100",B33="40-2900-200",B33="40-2900-300",B33="40-2900-400",B33="40-2900-600",B33="40-2900-800",B33="50-2900-200",B33="10-3000-100",B33="10-3000-200",B33="10-3000-300",B33="10-3000-400",B33="10-3000-600",B33="10-3000-800",B33="20-3000-100",B33="20-3000-200",B33="20-3000-300",B33="20-3000-400",B33="20-3000-600",B33="20-3000-800",B33="40-3000-100",B33="40-3000-200",B33="40-3000-300",B33="40-3000-400",B33="40-3000-600",B33="40-3000-800",B33="50-3000-200"),E33,"Check func/obj # in Colm B"))))</f>
        <v>1410</v>
      </c>
      <c r="G33" s="1793">
        <f t="shared" ref="G33:G41" si="5">IF(F33=0,0,D33-F33)</f>
        <v>0</v>
      </c>
    </row>
    <row r="34" spans="1:7" x14ac:dyDescent="0.25">
      <c r="A34" s="1938" t="s">
        <v>2092</v>
      </c>
      <c r="B34" s="1939" t="s">
        <v>2127</v>
      </c>
      <c r="C34" s="1940" t="s">
        <v>2117</v>
      </c>
      <c r="D34" s="1844">
        <v>9403</v>
      </c>
      <c r="E34" s="1540">
        <f t="shared" si="2"/>
        <v>9403</v>
      </c>
      <c r="F34" s="1934">
        <f t="shared" si="4"/>
        <v>9403</v>
      </c>
      <c r="G34" s="1793">
        <f t="shared" si="5"/>
        <v>0</v>
      </c>
    </row>
    <row r="35" spans="1:7" x14ac:dyDescent="0.25">
      <c r="A35" s="1653" t="s">
        <v>2118</v>
      </c>
      <c r="B35" s="1942" t="s">
        <v>2135</v>
      </c>
      <c r="C35" s="1654" t="s">
        <v>2119</v>
      </c>
      <c r="D35" s="1844">
        <v>2565</v>
      </c>
      <c r="E35" s="1540">
        <f t="shared" si="2"/>
        <v>2565</v>
      </c>
      <c r="F35" s="1934">
        <f t="shared" si="4"/>
        <v>2565</v>
      </c>
      <c r="G35" s="1793">
        <f t="shared" si="5"/>
        <v>0</v>
      </c>
    </row>
    <row r="36" spans="1:7" x14ac:dyDescent="0.25">
      <c r="A36" s="1653" t="s">
        <v>2118</v>
      </c>
      <c r="B36" s="1942" t="s">
        <v>2135</v>
      </c>
      <c r="C36" s="1654" t="s">
        <v>2120</v>
      </c>
      <c r="D36" s="1844">
        <v>525</v>
      </c>
      <c r="E36" s="1540">
        <f t="shared" si="2"/>
        <v>525</v>
      </c>
      <c r="F36" s="1934">
        <f t="shared" si="4"/>
        <v>525</v>
      </c>
      <c r="G36" s="1793">
        <f t="shared" si="5"/>
        <v>0</v>
      </c>
    </row>
    <row r="37" spans="1:7" x14ac:dyDescent="0.25">
      <c r="A37" s="1938" t="s">
        <v>2092</v>
      </c>
      <c r="B37" s="1939" t="s">
        <v>2127</v>
      </c>
      <c r="C37" s="1940" t="s">
        <v>2121</v>
      </c>
      <c r="D37" s="1844">
        <v>77283</v>
      </c>
      <c r="E37" s="1540">
        <f t="shared" si="2"/>
        <v>25000</v>
      </c>
      <c r="F37" s="1934">
        <f t="shared" si="4"/>
        <v>25000</v>
      </c>
      <c r="G37" s="1793">
        <f t="shared" si="5"/>
        <v>52283</v>
      </c>
    </row>
    <row r="38" spans="1:7" x14ac:dyDescent="0.25">
      <c r="A38" s="1653" t="s">
        <v>2122</v>
      </c>
      <c r="B38" s="1944" t="s">
        <v>2134</v>
      </c>
      <c r="C38" s="1654" t="s">
        <v>2123</v>
      </c>
      <c r="D38" s="1844">
        <v>28903</v>
      </c>
      <c r="E38" s="1540">
        <f t="shared" si="2"/>
        <v>25000</v>
      </c>
      <c r="F38" s="1934">
        <f t="shared" si="4"/>
        <v>25000</v>
      </c>
      <c r="G38" s="1793">
        <f t="shared" si="5"/>
        <v>3903</v>
      </c>
    </row>
    <row r="39" spans="1:7" x14ac:dyDescent="0.25">
      <c r="A39" s="1653" t="s">
        <v>2122</v>
      </c>
      <c r="B39" s="1944" t="s">
        <v>2134</v>
      </c>
      <c r="C39" s="1654" t="s">
        <v>2124</v>
      </c>
      <c r="D39" s="1844">
        <v>41697</v>
      </c>
      <c r="E39" s="1540">
        <f t="shared" si="2"/>
        <v>25000</v>
      </c>
      <c r="F39" s="1934">
        <f t="shared" si="4"/>
        <v>25000</v>
      </c>
      <c r="G39" s="1793">
        <f t="shared" si="5"/>
        <v>16697</v>
      </c>
    </row>
    <row r="40" spans="1:7" x14ac:dyDescent="0.25">
      <c r="A40" s="1653" t="s">
        <v>2122</v>
      </c>
      <c r="B40" s="1944" t="s">
        <v>2134</v>
      </c>
      <c r="C40" s="1654" t="s">
        <v>2125</v>
      </c>
      <c r="D40" s="1844">
        <v>7127</v>
      </c>
      <c r="E40" s="1540">
        <f t="shared" si="2"/>
        <v>7127</v>
      </c>
      <c r="F40" s="1934">
        <f t="shared" si="4"/>
        <v>7127</v>
      </c>
      <c r="G40" s="1793">
        <f t="shared" si="5"/>
        <v>0</v>
      </c>
    </row>
    <row r="41" spans="1:7" x14ac:dyDescent="0.25">
      <c r="A41" s="1653" t="s">
        <v>2094</v>
      </c>
      <c r="B41" s="1944" t="s">
        <v>2129</v>
      </c>
      <c r="C41" s="1654" t="s">
        <v>2126</v>
      </c>
      <c r="D41" s="1844">
        <v>4886</v>
      </c>
      <c r="E41" s="1540">
        <f t="shared" si="2"/>
        <v>4886</v>
      </c>
      <c r="F41" s="1934">
        <f t="shared" si="4"/>
        <v>4886</v>
      </c>
      <c r="G41" s="1793">
        <f t="shared" si="5"/>
        <v>0</v>
      </c>
    </row>
    <row r="42" spans="1:7" x14ac:dyDescent="0.25">
      <c r="A42" s="1653"/>
      <c r="B42" s="1667"/>
      <c r="C42" s="1654"/>
      <c r="D42" s="1844"/>
      <c r="E42" s="1540">
        <f t="shared" si="2"/>
        <v>0</v>
      </c>
      <c r="F42" s="1934">
        <f t="shared" si="1"/>
        <v>0</v>
      </c>
      <c r="G42" s="1793">
        <f t="shared" si="3"/>
        <v>0</v>
      </c>
    </row>
    <row r="43" spans="1:7" x14ac:dyDescent="0.25">
      <c r="A43" s="1653"/>
      <c r="B43" s="1667"/>
      <c r="C43" s="1654"/>
      <c r="D43" s="1844"/>
      <c r="E43" s="1540">
        <f t="shared" si="2"/>
        <v>0</v>
      </c>
      <c r="F43" s="1934">
        <f t="shared" si="1"/>
        <v>0</v>
      </c>
      <c r="G43" s="1793">
        <f t="shared" si="3"/>
        <v>0</v>
      </c>
    </row>
    <row r="44" spans="1:7" x14ac:dyDescent="0.25">
      <c r="A44" s="1653"/>
      <c r="B44" s="1667"/>
      <c r="C44" s="1654"/>
      <c r="D44" s="1844"/>
      <c r="E44" s="1540">
        <f t="shared" si="2"/>
        <v>0</v>
      </c>
      <c r="F44" s="1934">
        <f t="shared" si="1"/>
        <v>0</v>
      </c>
      <c r="G44" s="1793">
        <f t="shared" si="3"/>
        <v>0</v>
      </c>
    </row>
    <row r="45" spans="1:7" x14ac:dyDescent="0.25">
      <c r="A45" s="1653"/>
      <c r="B45" s="1667"/>
      <c r="C45" s="1654"/>
      <c r="D45" s="1844"/>
      <c r="E45" s="1540">
        <f t="shared" si="2"/>
        <v>0</v>
      </c>
      <c r="F45" s="1934">
        <f t="shared" si="1"/>
        <v>0</v>
      </c>
      <c r="G45" s="1793">
        <f t="shared" si="3"/>
        <v>0</v>
      </c>
    </row>
    <row r="46" spans="1:7" x14ac:dyDescent="0.25">
      <c r="A46" s="1653"/>
      <c r="B46" s="1667"/>
      <c r="C46" s="1654"/>
      <c r="D46" s="1844"/>
      <c r="E46" s="1540">
        <f t="shared" si="2"/>
        <v>0</v>
      </c>
      <c r="F46" s="1934">
        <f t="shared" si="1"/>
        <v>0</v>
      </c>
      <c r="G46" s="1793">
        <f t="shared" si="3"/>
        <v>0</v>
      </c>
    </row>
    <row r="47" spans="1:7" x14ac:dyDescent="0.25">
      <c r="A47" s="1653"/>
      <c r="B47" s="1667"/>
      <c r="C47" s="1654"/>
      <c r="D47" s="1844"/>
      <c r="E47" s="1540">
        <f t="shared" si="2"/>
        <v>0</v>
      </c>
      <c r="F47" s="1934">
        <f t="shared" si="1"/>
        <v>0</v>
      </c>
      <c r="G47" s="1793">
        <f t="shared" si="3"/>
        <v>0</v>
      </c>
    </row>
    <row r="48" spans="1:7" x14ac:dyDescent="0.25">
      <c r="A48" s="1653"/>
      <c r="B48" s="1667"/>
      <c r="C48" s="1654"/>
      <c r="D48" s="1844"/>
      <c r="E48" s="1540">
        <f t="shared" si="2"/>
        <v>0</v>
      </c>
      <c r="F48" s="1934">
        <f t="shared" si="1"/>
        <v>0</v>
      </c>
      <c r="G48" s="1793">
        <f t="shared" si="3"/>
        <v>0</v>
      </c>
    </row>
    <row r="49" spans="1:7" x14ac:dyDescent="0.25">
      <c r="A49" s="1653"/>
      <c r="B49" s="1667"/>
      <c r="C49" s="1654"/>
      <c r="D49" s="1844"/>
      <c r="E49" s="1540">
        <f t="shared" si="2"/>
        <v>0</v>
      </c>
      <c r="F49" s="1934">
        <f t="shared" si="1"/>
        <v>0</v>
      </c>
      <c r="G49" s="1793">
        <f t="shared" si="3"/>
        <v>0</v>
      </c>
    </row>
    <row r="50" spans="1:7" x14ac:dyDescent="0.25">
      <c r="A50" s="1653"/>
      <c r="B50" s="1667"/>
      <c r="C50" s="1654"/>
      <c r="D50" s="1844"/>
      <c r="E50" s="1540">
        <f t="shared" si="2"/>
        <v>0</v>
      </c>
      <c r="F50" s="1934">
        <f t="shared" si="1"/>
        <v>0</v>
      </c>
      <c r="G50" s="1793">
        <f t="shared" si="3"/>
        <v>0</v>
      </c>
    </row>
    <row r="51" spans="1:7" x14ac:dyDescent="0.25">
      <c r="A51" s="1653"/>
      <c r="B51" s="1667"/>
      <c r="C51" s="1654"/>
      <c r="D51" s="1844"/>
      <c r="E51" s="1540">
        <f t="shared" si="2"/>
        <v>0</v>
      </c>
      <c r="F51" s="1934">
        <f t="shared" si="1"/>
        <v>0</v>
      </c>
      <c r="G51" s="1793">
        <f t="shared" si="3"/>
        <v>0</v>
      </c>
    </row>
    <row r="52" spans="1:7" x14ac:dyDescent="0.25">
      <c r="A52" s="1653"/>
      <c r="B52" s="1667"/>
      <c r="C52" s="1654"/>
      <c r="D52" s="1844"/>
      <c r="E52" s="1540">
        <f t="shared" si="2"/>
        <v>0</v>
      </c>
      <c r="F52" s="1934">
        <f t="shared" si="1"/>
        <v>0</v>
      </c>
      <c r="G52" s="1793">
        <f t="shared" si="3"/>
        <v>0</v>
      </c>
    </row>
    <row r="53" spans="1:7" x14ac:dyDescent="0.25">
      <c r="A53" s="1653"/>
      <c r="B53" s="1667"/>
      <c r="C53" s="1654"/>
      <c r="D53" s="1844"/>
      <c r="E53" s="1540">
        <f t="shared" si="2"/>
        <v>0</v>
      </c>
      <c r="F53" s="1934">
        <f t="shared" si="1"/>
        <v>0</v>
      </c>
      <c r="G53" s="1793">
        <f t="shared" si="3"/>
        <v>0</v>
      </c>
    </row>
    <row r="54" spans="1:7" x14ac:dyDescent="0.25">
      <c r="A54" s="1653"/>
      <c r="B54" s="1667"/>
      <c r="C54" s="1654"/>
      <c r="D54" s="1844"/>
      <c r="E54" s="1540">
        <f t="shared" si="2"/>
        <v>0</v>
      </c>
      <c r="F54" s="1934">
        <f t="shared" si="1"/>
        <v>0</v>
      </c>
      <c r="G54" s="1793">
        <f t="shared" si="3"/>
        <v>0</v>
      </c>
    </row>
    <row r="55" spans="1:7" x14ac:dyDescent="0.25">
      <c r="A55" s="1653"/>
      <c r="B55" s="1667"/>
      <c r="C55" s="1654"/>
      <c r="D55" s="1844"/>
      <c r="E55" s="1540">
        <f t="shared" si="2"/>
        <v>0</v>
      </c>
      <c r="F55" s="1934">
        <f t="shared" si="1"/>
        <v>0</v>
      </c>
      <c r="G55" s="1793">
        <f t="shared" si="3"/>
        <v>0</v>
      </c>
    </row>
    <row r="56" spans="1:7" x14ac:dyDescent="0.25">
      <c r="A56" s="1653"/>
      <c r="B56" s="1667"/>
      <c r="C56" s="1654"/>
      <c r="D56" s="1844"/>
      <c r="E56" s="1540">
        <f t="shared" si="2"/>
        <v>0</v>
      </c>
      <c r="F56" s="1934">
        <f t="shared" si="1"/>
        <v>0</v>
      </c>
      <c r="G56" s="1793">
        <f t="shared" si="3"/>
        <v>0</v>
      </c>
    </row>
    <row r="57" spans="1:7" x14ac:dyDescent="0.25">
      <c r="A57" s="1653"/>
      <c r="B57" s="1667"/>
      <c r="C57" s="1654"/>
      <c r="D57" s="1844"/>
      <c r="E57" s="1540">
        <f t="shared" si="2"/>
        <v>0</v>
      </c>
      <c r="F57" s="1934">
        <f t="shared" si="1"/>
        <v>0</v>
      </c>
      <c r="G57" s="1793">
        <f t="shared" si="3"/>
        <v>0</v>
      </c>
    </row>
    <row r="58" spans="1:7" x14ac:dyDescent="0.25">
      <c r="A58" s="1653"/>
      <c r="B58" s="1667"/>
      <c r="C58" s="1654"/>
      <c r="D58" s="1844"/>
      <c r="E58" s="1540">
        <f t="shared" si="2"/>
        <v>0</v>
      </c>
      <c r="F58" s="1934">
        <f t="shared" si="1"/>
        <v>0</v>
      </c>
      <c r="G58" s="1793">
        <f t="shared" si="3"/>
        <v>0</v>
      </c>
    </row>
    <row r="59" spans="1:7" x14ac:dyDescent="0.25">
      <c r="A59" s="1653"/>
      <c r="B59" s="1667"/>
      <c r="C59" s="1654"/>
      <c r="D59" s="1844"/>
      <c r="E59" s="1540">
        <f t="shared" si="2"/>
        <v>0</v>
      </c>
      <c r="F59" s="1934">
        <f t="shared" si="1"/>
        <v>0</v>
      </c>
      <c r="G59" s="1793">
        <f t="shared" si="3"/>
        <v>0</v>
      </c>
    </row>
    <row r="60" spans="1:7" x14ac:dyDescent="0.25">
      <c r="A60" s="1655"/>
      <c r="B60" s="1667"/>
      <c r="C60" s="1656"/>
      <c r="D60" s="1844"/>
      <c r="E60" s="1540">
        <f t="shared" si="2"/>
        <v>0</v>
      </c>
      <c r="F60" s="1934">
        <f t="shared" si="1"/>
        <v>0</v>
      </c>
      <c r="G60" s="1793">
        <f t="shared" si="3"/>
        <v>0</v>
      </c>
    </row>
    <row r="61" spans="1:7" x14ac:dyDescent="0.25">
      <c r="A61" s="1653"/>
      <c r="B61" s="1667"/>
      <c r="C61" s="1654"/>
      <c r="D61" s="1844"/>
      <c r="E61" s="1540">
        <f t="shared" si="2"/>
        <v>0</v>
      </c>
      <c r="F61" s="1934">
        <f t="shared" si="1"/>
        <v>0</v>
      </c>
      <c r="G61" s="1793">
        <f t="shared" si="3"/>
        <v>0</v>
      </c>
    </row>
    <row r="62" spans="1:7" x14ac:dyDescent="0.25">
      <c r="A62" s="1653"/>
      <c r="B62" s="1667"/>
      <c r="C62" s="1654"/>
      <c r="D62" s="1844"/>
      <c r="E62" s="1540">
        <f t="shared" si="2"/>
        <v>0</v>
      </c>
      <c r="F62" s="1934">
        <f t="shared" si="1"/>
        <v>0</v>
      </c>
      <c r="G62" s="1793">
        <f t="shared" si="3"/>
        <v>0</v>
      </c>
    </row>
    <row r="63" spans="1:7" x14ac:dyDescent="0.25">
      <c r="A63" s="1653"/>
      <c r="B63" s="1667"/>
      <c r="C63" s="1654"/>
      <c r="D63" s="1844"/>
      <c r="E63" s="1540">
        <f t="shared" si="2"/>
        <v>0</v>
      </c>
      <c r="F63" s="1934">
        <f t="shared" si="1"/>
        <v>0</v>
      </c>
      <c r="G63" s="1793">
        <f t="shared" si="3"/>
        <v>0</v>
      </c>
    </row>
    <row r="64" spans="1:7" x14ac:dyDescent="0.25">
      <c r="A64" s="1653"/>
      <c r="B64" s="1667"/>
      <c r="C64" s="1654"/>
      <c r="D64" s="1844"/>
      <c r="E64" s="1540">
        <f t="shared" si="2"/>
        <v>0</v>
      </c>
      <c r="F64" s="1934">
        <f t="shared" si="1"/>
        <v>0</v>
      </c>
      <c r="G64" s="1793">
        <f t="shared" si="3"/>
        <v>0</v>
      </c>
    </row>
    <row r="65" spans="1:7" x14ac:dyDescent="0.25">
      <c r="A65" s="1653"/>
      <c r="B65" s="1667"/>
      <c r="C65" s="1654"/>
      <c r="D65" s="1844"/>
      <c r="E65" s="1540">
        <f t="shared" si="2"/>
        <v>0</v>
      </c>
      <c r="F65" s="1934">
        <f t="shared" si="1"/>
        <v>0</v>
      </c>
      <c r="G65" s="1793">
        <f t="shared" si="3"/>
        <v>0</v>
      </c>
    </row>
    <row r="66" spans="1:7" x14ac:dyDescent="0.25">
      <c r="A66" s="1653"/>
      <c r="B66" s="1667"/>
      <c r="C66" s="1654"/>
      <c r="D66" s="1844"/>
      <c r="E66" s="1540">
        <f t="shared" si="2"/>
        <v>0</v>
      </c>
      <c r="F66" s="1934">
        <f t="shared" si="1"/>
        <v>0</v>
      </c>
      <c r="G66" s="1793">
        <f t="shared" si="3"/>
        <v>0</v>
      </c>
    </row>
    <row r="67" spans="1:7" x14ac:dyDescent="0.25">
      <c r="A67" s="1653"/>
      <c r="B67" s="1667"/>
      <c r="C67" s="1654"/>
      <c r="D67" s="1844"/>
      <c r="E67" s="1540">
        <f t="shared" si="2"/>
        <v>0</v>
      </c>
      <c r="F67" s="1934">
        <f t="shared" si="1"/>
        <v>0</v>
      </c>
      <c r="G67" s="1793">
        <f t="shared" si="3"/>
        <v>0</v>
      </c>
    </row>
    <row r="68" spans="1:7" x14ac:dyDescent="0.25">
      <c r="A68" s="1653"/>
      <c r="B68" s="1667"/>
      <c r="C68" s="1654"/>
      <c r="D68" s="1844"/>
      <c r="E68" s="1540">
        <f t="shared" si="2"/>
        <v>0</v>
      </c>
      <c r="F68" s="1934">
        <f t="shared" si="1"/>
        <v>0</v>
      </c>
      <c r="G68" s="1793">
        <f t="shared" si="3"/>
        <v>0</v>
      </c>
    </row>
    <row r="69" spans="1:7" x14ac:dyDescent="0.25">
      <c r="A69" s="1653"/>
      <c r="B69" s="1667"/>
      <c r="C69" s="1654"/>
      <c r="D69" s="1844"/>
      <c r="E69" s="1540">
        <f t="shared" ref="E69:E80" si="6">IF(D69&lt;=25000,D69,IF(D69&gt;25000,25000,0))</f>
        <v>0</v>
      </c>
      <c r="F69" s="1934">
        <f t="shared" si="1"/>
        <v>0</v>
      </c>
      <c r="G69" s="1793">
        <f t="shared" ref="G69:G80" si="7">IF(F69=0,0,D69-F69)</f>
        <v>0</v>
      </c>
    </row>
    <row r="70" spans="1:7" x14ac:dyDescent="0.25">
      <c r="A70" s="1653"/>
      <c r="B70" s="1667"/>
      <c r="C70" s="1654"/>
      <c r="D70" s="1844"/>
      <c r="E70" s="1540">
        <f t="shared" si="6"/>
        <v>0</v>
      </c>
      <c r="F70" s="1934">
        <f t="shared" si="1"/>
        <v>0</v>
      </c>
      <c r="G70" s="1793">
        <f t="shared" si="7"/>
        <v>0</v>
      </c>
    </row>
    <row r="71" spans="1:7" x14ac:dyDescent="0.25">
      <c r="A71" s="1653"/>
      <c r="B71" s="1667"/>
      <c r="C71" s="1654"/>
      <c r="D71" s="1844"/>
      <c r="E71" s="1540">
        <f t="shared" si="6"/>
        <v>0</v>
      </c>
      <c r="F71" s="1934">
        <f t="shared" si="1"/>
        <v>0</v>
      </c>
      <c r="G71" s="1793">
        <f t="shared" si="7"/>
        <v>0</v>
      </c>
    </row>
    <row r="72" spans="1:7" x14ac:dyDescent="0.25">
      <c r="A72" s="1653"/>
      <c r="B72" s="1667"/>
      <c r="C72" s="1654"/>
      <c r="D72" s="1844"/>
      <c r="E72" s="1540">
        <f t="shared" si="6"/>
        <v>0</v>
      </c>
      <c r="F72" s="1934">
        <f t="shared" si="1"/>
        <v>0</v>
      </c>
      <c r="G72" s="1793">
        <f t="shared" si="7"/>
        <v>0</v>
      </c>
    </row>
    <row r="73" spans="1:7" x14ac:dyDescent="0.25">
      <c r="A73" s="1653"/>
      <c r="B73" s="1667"/>
      <c r="C73" s="1654"/>
      <c r="D73" s="1844"/>
      <c r="E73" s="1540">
        <f t="shared" si="6"/>
        <v>0</v>
      </c>
      <c r="F73" s="1934">
        <f t="shared" si="1"/>
        <v>0</v>
      </c>
      <c r="G73" s="1793">
        <f t="shared" si="7"/>
        <v>0</v>
      </c>
    </row>
    <row r="74" spans="1:7" x14ac:dyDescent="0.25">
      <c r="A74" s="1653"/>
      <c r="B74" s="1667"/>
      <c r="C74" s="1654"/>
      <c r="D74" s="1844"/>
      <c r="E74" s="1540">
        <f t="shared" si="6"/>
        <v>0</v>
      </c>
      <c r="F74" s="1934">
        <f t="shared" si="1"/>
        <v>0</v>
      </c>
      <c r="G74" s="1793">
        <f t="shared" si="7"/>
        <v>0</v>
      </c>
    </row>
    <row r="75" spans="1:7" x14ac:dyDescent="0.25">
      <c r="A75" s="1653"/>
      <c r="B75" s="1667"/>
      <c r="C75" s="1654"/>
      <c r="D75" s="1844"/>
      <c r="E75" s="1540">
        <f t="shared" si="6"/>
        <v>0</v>
      </c>
      <c r="F75" s="1934">
        <f t="shared" si="1"/>
        <v>0</v>
      </c>
      <c r="G75" s="1793">
        <f t="shared" si="7"/>
        <v>0</v>
      </c>
    </row>
    <row r="76" spans="1:7" x14ac:dyDescent="0.25">
      <c r="A76" s="1653"/>
      <c r="B76" s="1667"/>
      <c r="C76" s="1654"/>
      <c r="D76" s="1844"/>
      <c r="E76" s="1540">
        <f t="shared" si="6"/>
        <v>0</v>
      </c>
      <c r="F76" s="1934">
        <f t="shared" si="1"/>
        <v>0</v>
      </c>
      <c r="G76" s="1793">
        <f t="shared" si="7"/>
        <v>0</v>
      </c>
    </row>
    <row r="77" spans="1:7" x14ac:dyDescent="0.25">
      <c r="A77" s="1653"/>
      <c r="B77" s="1667"/>
      <c r="C77" s="1654"/>
      <c r="D77" s="1844"/>
      <c r="E77" s="1540">
        <f t="shared" si="6"/>
        <v>0</v>
      </c>
      <c r="F77" s="1934">
        <f t="shared" ref="F77:F136" si="8">(IF(D77="",0,(IF(OR(B77="10-1000-100",B77="10-1000-200",B77="10-1000-300",B77="10-1000-400",B77="10-1000-600",B77="10-1000-800",B77="50-1000-200",B77="10-2100-100",B77="10-2100-200",B77="10-2100-300",B77="10-2100-400",B77="10-2100-600",B77="10-2100-800",B77="20-2100-100",B77="20-2100-200",B77="20-2100-300",B77="20-2100-400",B77="20-2100-600",B77="20-2100-800",B77="40-2100-100",B77="40-2100-200",B77="40-2100-300",B77="40-2100-400",B77="40-2100-600",B77="40-2100-800",B77="50-2100-200",B77="10-2200-100",B77="10-2200-200",B77="10-2200-300",B77="10-2200-400",B77="10-2200-600",B77="10-2200-800",B77="50-2200-200",B77="10-2300-100",B77="10-2300-200",B77="10-2300-300",B77="10-2300-400",B77="10-2300-600",B77="10-2300-800",B77="50-2300-200",B77="80-2300-100",B77="80-2300-200",B77="80-2300-300",B77="80-2300-400",B77="80-2300-600",B77="80-2300-800",B77="10-2400-100",B77="10-2400-200",B77="10-2400-300",B77="10-2400-400",B77="10-2400-600",B77="10-2400-800",B77="50-2400-200",B77="10-2510-100",B77="10-2510-200",B77="10-2510-300",B77="10-2510-400",B77="10-2510-600",B77="10-2510-800",B77="20-2510-100",B77="20-2510-200",B77="20-2510-300",B77="20-2510-400",B77="20-2510-600",B77="20-2510-800",B77="50-2510-200",B77="10-2520-100",B77="10-2520-200",B77="10-2520-300",B77="10-2520-400",B77="10-2520-600",B77="10-2520-800",B77="50-2520-200",B77="10-2540-100",B77="10-2540-200",B77="10-2540-300",B77="10-2540-400",B77="10-2540-600",B77="10-2540-800",B77="20-2540-100",B77="20-2540-200",B77="20-2540-300",B77="20-2540-400",B77="20-2540-600",B77="20-2540-800",B77="50-2540-200",B77="10-2550-100",B77="10-2550-200",B77="10-2550-300",B77="10-2550-400",B77="10-2550-600",B77="10-2550-800",B77="20-2550-100",B77="20-2550-200",B77="20-2550-300",B77="20-2550-400",B77="20-2550-600",B77="20-2550-800",B77="40-2550-100",B77="40-2550-200",B77="40-2550-300",B77="40-2550-400",B77="40-2550-600",B77="40-2550-800",B77="50-2550-200",B77="10-2560-100",B77="10-2560-200",B77="10-2560-300",B77="10-2560-400",B77="10-2560-600",B77="10-2560-800",B77="50-2560-200",B77="10-2570-100",B77="10-2570-200",B77="10-2570-300",B77="10-2570-400",B77="10-2570-600",B77="10-2570-800",B77="50-2570-200",B77="10-2610-100",B77="10-2610-200",B77="10-2610-300",B77="10-2610-400",B77="10-2610-600",B77="10-2610-800",B77="50-2610-200",B77="10-2620-100",B77="10-2620-200",B77="10-2620-300",B77="10-2620-400",B77="10-2620-600",B77="10-2620-800",B77="50-2620-200",B77="10-2630-100",B77="10-2630-200",B77="10-2630-300",B77="10-2630-400",B77="10-2630-600",B77="10-2630-800",B77="50-2630-200",B77="10-2640-100",B77="10-2640-200",B77="10-2640-300",B77="10-2640-400",B77="10-2640-600",B77="10-2640-800",B77="50-2640-200",B77="10-2660-100",B77="10-2660-200",B77="10-2660-300",B77="10-2660-400",B77="10-2660-600",B77="10-2660-800",B77="50-2660-200",B77="10-2900-100",B77="10-2900-200",B77="10-2900-300",B77="10-2900-400",B77="10-2900-600",B77="10-2900-800",B77="20-2900-100",B77="20-2900-200",B77="20-2900-300",B77="20-2900-400",B77="20-2900-600",B77="20-2900-800",B77="40-2900-100",B77="40-2900-200",B77="40-2900-300",B77="40-2900-400",B77="40-2900-600",B77="40-2900-800",B77="50-2900-200",B77="10-3000-100",B77="10-3000-200",B77="10-3000-300",B77="10-3000-400",B77="10-3000-600",B77="10-3000-800",B77="20-3000-100",B77="20-3000-200",B77="20-3000-300",B77="20-3000-400",B77="20-3000-600",B77="20-3000-800",B77="40-3000-100",B77="40-3000-200",B77="40-3000-300",B77="40-3000-400",B77="40-3000-600",B77="40-3000-800",B77="50-3000-200"),E77,"Check func/obj # in Colm B"))))</f>
        <v>0</v>
      </c>
      <c r="G77" s="1793">
        <f t="shared" si="7"/>
        <v>0</v>
      </c>
    </row>
    <row r="78" spans="1:7" x14ac:dyDescent="0.25">
      <c r="A78" s="1653"/>
      <c r="B78" s="1667"/>
      <c r="C78" s="1654"/>
      <c r="D78" s="1844"/>
      <c r="E78" s="1540">
        <f t="shared" si="6"/>
        <v>0</v>
      </c>
      <c r="F78" s="1934">
        <f t="shared" si="8"/>
        <v>0</v>
      </c>
      <c r="G78" s="1793">
        <f t="shared" si="7"/>
        <v>0</v>
      </c>
    </row>
    <row r="79" spans="1:7" x14ac:dyDescent="0.25">
      <c r="A79" s="1653"/>
      <c r="B79" s="1667"/>
      <c r="C79" s="1654"/>
      <c r="D79" s="1844"/>
      <c r="E79" s="1540">
        <f t="shared" si="6"/>
        <v>0</v>
      </c>
      <c r="F79" s="1934">
        <f t="shared" si="8"/>
        <v>0</v>
      </c>
      <c r="G79" s="1793">
        <f t="shared" si="7"/>
        <v>0</v>
      </c>
    </row>
    <row r="80" spans="1:7" x14ac:dyDescent="0.25">
      <c r="A80" s="1653"/>
      <c r="B80" s="1667"/>
      <c r="C80" s="1654"/>
      <c r="D80" s="1844"/>
      <c r="E80" s="1540">
        <f t="shared" si="6"/>
        <v>0</v>
      </c>
      <c r="F80" s="1934">
        <f t="shared" si="8"/>
        <v>0</v>
      </c>
      <c r="G80" s="1793">
        <f t="shared" si="7"/>
        <v>0</v>
      </c>
    </row>
    <row r="81" spans="1:7" x14ac:dyDescent="0.25">
      <c r="A81" s="1653"/>
      <c r="B81" s="1667"/>
      <c r="C81" s="1654"/>
      <c r="D81" s="1844"/>
      <c r="E81" s="1540">
        <f t="shared" si="2"/>
        <v>0</v>
      </c>
      <c r="F81" s="1934">
        <f t="shared" si="8"/>
        <v>0</v>
      </c>
      <c r="G81" s="1793">
        <f t="shared" si="3"/>
        <v>0</v>
      </c>
    </row>
    <row r="82" spans="1:7" x14ac:dyDescent="0.25">
      <c r="A82" s="1653"/>
      <c r="B82" s="1667"/>
      <c r="C82" s="1654"/>
      <c r="D82" s="1844"/>
      <c r="E82" s="1540">
        <f t="shared" si="2"/>
        <v>0</v>
      </c>
      <c r="F82" s="1934">
        <f t="shared" si="8"/>
        <v>0</v>
      </c>
      <c r="G82" s="1793">
        <f t="shared" si="3"/>
        <v>0</v>
      </c>
    </row>
    <row r="83" spans="1:7" x14ac:dyDescent="0.25">
      <c r="A83" s="1653"/>
      <c r="B83" s="1667"/>
      <c r="C83" s="1654"/>
      <c r="D83" s="1844"/>
      <c r="E83" s="1540">
        <f t="shared" si="2"/>
        <v>0</v>
      </c>
      <c r="F83" s="1934">
        <f t="shared" si="8"/>
        <v>0</v>
      </c>
      <c r="G83" s="1793">
        <f t="shared" si="3"/>
        <v>0</v>
      </c>
    </row>
    <row r="84" spans="1:7" x14ac:dyDescent="0.25">
      <c r="A84" s="1653"/>
      <c r="B84" s="1667"/>
      <c r="C84" s="1654"/>
      <c r="D84" s="1844"/>
      <c r="E84" s="1540">
        <f t="shared" si="2"/>
        <v>0</v>
      </c>
      <c r="F84" s="1934">
        <f t="shared" si="8"/>
        <v>0</v>
      </c>
      <c r="G84" s="1793">
        <f t="shared" si="3"/>
        <v>0</v>
      </c>
    </row>
    <row r="85" spans="1:7" x14ac:dyDescent="0.25">
      <c r="A85" s="1653"/>
      <c r="B85" s="1667"/>
      <c r="C85" s="1654"/>
      <c r="D85" s="1844"/>
      <c r="E85" s="1540">
        <f t="shared" si="2"/>
        <v>0</v>
      </c>
      <c r="F85" s="1934">
        <f t="shared" si="8"/>
        <v>0</v>
      </c>
      <c r="G85" s="1793">
        <f t="shared" si="3"/>
        <v>0</v>
      </c>
    </row>
    <row r="86" spans="1:7" x14ac:dyDescent="0.25">
      <c r="A86" s="1653"/>
      <c r="B86" s="1667"/>
      <c r="C86" s="1654"/>
      <c r="D86" s="1844"/>
      <c r="E86" s="1540">
        <f t="shared" si="2"/>
        <v>0</v>
      </c>
      <c r="F86" s="1934">
        <f t="shared" si="8"/>
        <v>0</v>
      </c>
      <c r="G86" s="1793">
        <f t="shared" si="3"/>
        <v>0</v>
      </c>
    </row>
    <row r="87" spans="1:7" x14ac:dyDescent="0.25">
      <c r="A87" s="1653"/>
      <c r="B87" s="1667"/>
      <c r="C87" s="1654"/>
      <c r="D87" s="1844"/>
      <c r="E87" s="1540">
        <f t="shared" si="2"/>
        <v>0</v>
      </c>
      <c r="F87" s="1934">
        <f t="shared" si="8"/>
        <v>0</v>
      </c>
      <c r="G87" s="1793">
        <f t="shared" si="3"/>
        <v>0</v>
      </c>
    </row>
    <row r="88" spans="1:7" x14ac:dyDescent="0.25">
      <c r="A88" s="1653"/>
      <c r="B88" s="1667"/>
      <c r="C88" s="1654"/>
      <c r="D88" s="1844"/>
      <c r="E88" s="1540">
        <f t="shared" si="2"/>
        <v>0</v>
      </c>
      <c r="F88" s="1934">
        <f t="shared" si="8"/>
        <v>0</v>
      </c>
      <c r="G88" s="1793">
        <f t="shared" si="3"/>
        <v>0</v>
      </c>
    </row>
    <row r="89" spans="1:7" x14ac:dyDescent="0.25">
      <c r="A89" s="1653"/>
      <c r="B89" s="1667"/>
      <c r="C89" s="1654"/>
      <c r="D89" s="1844"/>
      <c r="E89" s="1540">
        <f t="shared" ref="E89" si="9">IF(D89&lt;=25000,D89,IF(D89&gt;25000,25000,0))</f>
        <v>0</v>
      </c>
      <c r="F89" s="1934">
        <f t="shared" si="8"/>
        <v>0</v>
      </c>
      <c r="G89" s="1793">
        <f t="shared" ref="G89" si="10">IF(F89=0,0,D89-F89)</f>
        <v>0</v>
      </c>
    </row>
    <row r="90" spans="1:7" x14ac:dyDescent="0.25">
      <c r="A90" s="1653"/>
      <c r="B90" s="1667"/>
      <c r="C90" s="1654"/>
      <c r="D90" s="1844"/>
      <c r="E90" s="1540">
        <f t="shared" si="2"/>
        <v>0</v>
      </c>
      <c r="F90" s="1934">
        <f t="shared" si="8"/>
        <v>0</v>
      </c>
      <c r="G90" s="1793">
        <f t="shared" si="3"/>
        <v>0</v>
      </c>
    </row>
    <row r="91" spans="1:7" x14ac:dyDescent="0.25">
      <c r="A91" s="1653"/>
      <c r="B91" s="1667"/>
      <c r="C91" s="1654"/>
      <c r="D91" s="1844"/>
      <c r="E91" s="1540">
        <f t="shared" ref="E91:E94" si="11">IF(D91&lt;=25000,D91,IF(D91&gt;25000,25000,0))</f>
        <v>0</v>
      </c>
      <c r="F91" s="1934">
        <f t="shared" si="8"/>
        <v>0</v>
      </c>
      <c r="G91" s="1793">
        <f t="shared" ref="G91:G94" si="12">IF(F91=0,0,D91-F91)</f>
        <v>0</v>
      </c>
    </row>
    <row r="92" spans="1:7" x14ac:dyDescent="0.25">
      <c r="A92" s="1653"/>
      <c r="B92" s="1667"/>
      <c r="C92" s="1654"/>
      <c r="D92" s="1844"/>
      <c r="E92" s="1540">
        <f t="shared" si="11"/>
        <v>0</v>
      </c>
      <c r="F92" s="1934">
        <f t="shared" si="8"/>
        <v>0</v>
      </c>
      <c r="G92" s="1793">
        <f t="shared" si="12"/>
        <v>0</v>
      </c>
    </row>
    <row r="93" spans="1:7" x14ac:dyDescent="0.25">
      <c r="A93" s="1653"/>
      <c r="B93" s="1667"/>
      <c r="C93" s="1654"/>
      <c r="D93" s="1844"/>
      <c r="E93" s="1540">
        <f t="shared" si="11"/>
        <v>0</v>
      </c>
      <c r="F93" s="1934">
        <f t="shared" si="8"/>
        <v>0</v>
      </c>
      <c r="G93" s="1793">
        <f t="shared" si="12"/>
        <v>0</v>
      </c>
    </row>
    <row r="94" spans="1:7" x14ac:dyDescent="0.25">
      <c r="A94" s="1653"/>
      <c r="B94" s="1667"/>
      <c r="C94" s="1654"/>
      <c r="D94" s="1844"/>
      <c r="E94" s="1540">
        <f t="shared" si="11"/>
        <v>0</v>
      </c>
      <c r="F94" s="1934">
        <f t="shared" si="8"/>
        <v>0</v>
      </c>
      <c r="G94" s="1793">
        <f t="shared" si="12"/>
        <v>0</v>
      </c>
    </row>
    <row r="95" spans="1:7" x14ac:dyDescent="0.25">
      <c r="A95" s="1653"/>
      <c r="B95" s="1667"/>
      <c r="C95" s="1654"/>
      <c r="D95" s="1844"/>
      <c r="E95" s="1540">
        <f t="shared" ref="E95" si="13">IF(D95&lt;=25000,D95,IF(D95&gt;25000,25000,0))</f>
        <v>0</v>
      </c>
      <c r="F95" s="1934">
        <f t="shared" si="8"/>
        <v>0</v>
      </c>
      <c r="G95" s="1793">
        <f t="shared" ref="G95" si="14">IF(F95=0,0,D95-F95)</f>
        <v>0</v>
      </c>
    </row>
    <row r="96" spans="1:7" x14ac:dyDescent="0.25">
      <c r="A96" s="1653"/>
      <c r="B96" s="1667"/>
      <c r="C96" s="1654"/>
      <c r="D96" s="1844"/>
      <c r="E96" s="1540">
        <f t="shared" ref="E96:E108" si="15">IF(D96&lt;=25000,D96,IF(D96&gt;25000,25000,0))</f>
        <v>0</v>
      </c>
      <c r="F96" s="1934">
        <f t="shared" si="8"/>
        <v>0</v>
      </c>
      <c r="G96" s="1793">
        <f t="shared" ref="G96:G108" si="16">IF(F96=0,0,D96-F96)</f>
        <v>0</v>
      </c>
    </row>
    <row r="97" spans="1:7" x14ac:dyDescent="0.25">
      <c r="A97" s="1653"/>
      <c r="B97" s="1667"/>
      <c r="C97" s="1654"/>
      <c r="D97" s="1844"/>
      <c r="E97" s="1540">
        <f t="shared" si="15"/>
        <v>0</v>
      </c>
      <c r="F97" s="1934">
        <f t="shared" si="8"/>
        <v>0</v>
      </c>
      <c r="G97" s="1793">
        <f t="shared" si="16"/>
        <v>0</v>
      </c>
    </row>
    <row r="98" spans="1:7" x14ac:dyDescent="0.25">
      <c r="A98" s="1653"/>
      <c r="B98" s="1667"/>
      <c r="C98" s="1654"/>
      <c r="D98" s="1844"/>
      <c r="E98" s="1540">
        <f t="shared" si="15"/>
        <v>0</v>
      </c>
      <c r="F98" s="1934">
        <f t="shared" si="8"/>
        <v>0</v>
      </c>
      <c r="G98" s="1793">
        <f t="shared" si="16"/>
        <v>0</v>
      </c>
    </row>
    <row r="99" spans="1:7" x14ac:dyDescent="0.25">
      <c r="A99" s="1653"/>
      <c r="B99" s="1667"/>
      <c r="C99" s="1654"/>
      <c r="D99" s="1844"/>
      <c r="E99" s="1540">
        <f t="shared" si="15"/>
        <v>0</v>
      </c>
      <c r="F99" s="1934">
        <f t="shared" si="8"/>
        <v>0</v>
      </c>
      <c r="G99" s="1793">
        <f t="shared" si="16"/>
        <v>0</v>
      </c>
    </row>
    <row r="100" spans="1:7" x14ac:dyDescent="0.25">
      <c r="A100" s="1653"/>
      <c r="B100" s="1667"/>
      <c r="C100" s="1654"/>
      <c r="D100" s="1844"/>
      <c r="E100" s="1540">
        <f t="shared" si="15"/>
        <v>0</v>
      </c>
      <c r="F100" s="1934">
        <f t="shared" si="8"/>
        <v>0</v>
      </c>
      <c r="G100" s="1793">
        <f t="shared" si="16"/>
        <v>0</v>
      </c>
    </row>
    <row r="101" spans="1:7" x14ac:dyDescent="0.25">
      <c r="A101" s="1653"/>
      <c r="B101" s="1667"/>
      <c r="C101" s="1654"/>
      <c r="D101" s="1844"/>
      <c r="E101" s="1540">
        <f t="shared" si="15"/>
        <v>0</v>
      </c>
      <c r="F101" s="1934">
        <f t="shared" si="8"/>
        <v>0</v>
      </c>
      <c r="G101" s="1793">
        <f t="shared" si="16"/>
        <v>0</v>
      </c>
    </row>
    <row r="102" spans="1:7" x14ac:dyDescent="0.25">
      <c r="A102" s="1653"/>
      <c r="B102" s="1667"/>
      <c r="C102" s="1654"/>
      <c r="D102" s="1844"/>
      <c r="E102" s="1540">
        <f t="shared" si="15"/>
        <v>0</v>
      </c>
      <c r="F102" s="1934">
        <f t="shared" si="8"/>
        <v>0</v>
      </c>
      <c r="G102" s="1793">
        <f t="shared" si="16"/>
        <v>0</v>
      </c>
    </row>
    <row r="103" spans="1:7" x14ac:dyDescent="0.25">
      <c r="A103" s="1653"/>
      <c r="B103" s="1667"/>
      <c r="C103" s="1654"/>
      <c r="D103" s="1844"/>
      <c r="E103" s="1540">
        <f t="shared" si="15"/>
        <v>0</v>
      </c>
      <c r="F103" s="1934">
        <f t="shared" si="8"/>
        <v>0</v>
      </c>
      <c r="G103" s="1793">
        <f t="shared" si="16"/>
        <v>0</v>
      </c>
    </row>
    <row r="104" spans="1:7" x14ac:dyDescent="0.25">
      <c r="A104" s="1653"/>
      <c r="B104" s="1667"/>
      <c r="C104" s="1654"/>
      <c r="D104" s="1844"/>
      <c r="E104" s="1540">
        <f t="shared" si="15"/>
        <v>0</v>
      </c>
      <c r="F104" s="1934">
        <f t="shared" si="8"/>
        <v>0</v>
      </c>
      <c r="G104" s="1793">
        <f t="shared" si="16"/>
        <v>0</v>
      </c>
    </row>
    <row r="105" spans="1:7" x14ac:dyDescent="0.25">
      <c r="A105" s="1653"/>
      <c r="B105" s="1667"/>
      <c r="C105" s="1654"/>
      <c r="D105" s="1844"/>
      <c r="E105" s="1540">
        <f t="shared" si="15"/>
        <v>0</v>
      </c>
      <c r="F105" s="1934">
        <f t="shared" si="8"/>
        <v>0</v>
      </c>
      <c r="G105" s="1793">
        <f t="shared" si="16"/>
        <v>0</v>
      </c>
    </row>
    <row r="106" spans="1:7" x14ac:dyDescent="0.25">
      <c r="A106" s="1653"/>
      <c r="B106" s="1667"/>
      <c r="C106" s="1654"/>
      <c r="D106" s="1844"/>
      <c r="E106" s="1540">
        <f t="shared" si="15"/>
        <v>0</v>
      </c>
      <c r="F106" s="1934">
        <f t="shared" si="8"/>
        <v>0</v>
      </c>
      <c r="G106" s="1793">
        <f t="shared" si="16"/>
        <v>0</v>
      </c>
    </row>
    <row r="107" spans="1:7" x14ac:dyDescent="0.25">
      <c r="A107" s="1653"/>
      <c r="B107" s="1667"/>
      <c r="C107" s="1654"/>
      <c r="D107" s="1844"/>
      <c r="E107" s="1540">
        <f t="shared" si="15"/>
        <v>0</v>
      </c>
      <c r="F107" s="1934">
        <f t="shared" si="8"/>
        <v>0</v>
      </c>
      <c r="G107" s="1793">
        <f t="shared" si="16"/>
        <v>0</v>
      </c>
    </row>
    <row r="108" spans="1:7" x14ac:dyDescent="0.25">
      <c r="A108" s="1653"/>
      <c r="B108" s="1667"/>
      <c r="C108" s="1654"/>
      <c r="D108" s="1844"/>
      <c r="E108" s="1540">
        <f t="shared" si="15"/>
        <v>0</v>
      </c>
      <c r="F108" s="1934">
        <f t="shared" si="8"/>
        <v>0</v>
      </c>
      <c r="G108" s="1793">
        <f t="shared" si="16"/>
        <v>0</v>
      </c>
    </row>
    <row r="109" spans="1:7" x14ac:dyDescent="0.25">
      <c r="A109" s="1653"/>
      <c r="B109" s="1667"/>
      <c r="C109" s="1654"/>
      <c r="D109" s="1844"/>
      <c r="E109" s="1540">
        <f t="shared" ref="E109:E121" si="17">IF(D109&lt;=25000,D109,IF(D109&gt;25000,25000,0))</f>
        <v>0</v>
      </c>
      <c r="F109" s="1934">
        <f t="shared" si="8"/>
        <v>0</v>
      </c>
      <c r="G109" s="1793">
        <f t="shared" ref="G109:G121" si="18">IF(F109=0,0,D109-F109)</f>
        <v>0</v>
      </c>
    </row>
    <row r="110" spans="1:7" x14ac:dyDescent="0.25">
      <c r="A110" s="1653"/>
      <c r="B110" s="1667"/>
      <c r="C110" s="1654"/>
      <c r="D110" s="1844"/>
      <c r="E110" s="1540">
        <f t="shared" si="17"/>
        <v>0</v>
      </c>
      <c r="F110" s="1934">
        <f t="shared" si="8"/>
        <v>0</v>
      </c>
      <c r="G110" s="1793">
        <f t="shared" si="18"/>
        <v>0</v>
      </c>
    </row>
    <row r="111" spans="1:7" x14ac:dyDescent="0.25">
      <c r="A111" s="1653"/>
      <c r="B111" s="1667"/>
      <c r="C111" s="1654"/>
      <c r="D111" s="1844"/>
      <c r="E111" s="1540">
        <f t="shared" si="17"/>
        <v>0</v>
      </c>
      <c r="F111" s="1934">
        <f t="shared" si="8"/>
        <v>0</v>
      </c>
      <c r="G111" s="1793">
        <f t="shared" si="18"/>
        <v>0</v>
      </c>
    </row>
    <row r="112" spans="1:7" x14ac:dyDescent="0.25">
      <c r="A112" s="1653"/>
      <c r="B112" s="1667"/>
      <c r="C112" s="1654"/>
      <c r="D112" s="1844"/>
      <c r="E112" s="1540">
        <f t="shared" si="17"/>
        <v>0</v>
      </c>
      <c r="F112" s="1934">
        <f t="shared" si="8"/>
        <v>0</v>
      </c>
      <c r="G112" s="1793">
        <f t="shared" si="18"/>
        <v>0</v>
      </c>
    </row>
    <row r="113" spans="1:7" x14ac:dyDescent="0.25">
      <c r="A113" s="1653"/>
      <c r="B113" s="1667"/>
      <c r="C113" s="1654"/>
      <c r="D113" s="1844"/>
      <c r="E113" s="1540">
        <f t="shared" si="17"/>
        <v>0</v>
      </c>
      <c r="F113" s="1934">
        <f t="shared" si="8"/>
        <v>0</v>
      </c>
      <c r="G113" s="1793">
        <f t="shared" si="18"/>
        <v>0</v>
      </c>
    </row>
    <row r="114" spans="1:7" x14ac:dyDescent="0.25">
      <c r="A114" s="1653"/>
      <c r="B114" s="1667"/>
      <c r="C114" s="1654"/>
      <c r="D114" s="1844"/>
      <c r="E114" s="1540">
        <f t="shared" si="17"/>
        <v>0</v>
      </c>
      <c r="F114" s="1934">
        <f t="shared" si="8"/>
        <v>0</v>
      </c>
      <c r="G114" s="1793">
        <f t="shared" si="18"/>
        <v>0</v>
      </c>
    </row>
    <row r="115" spans="1:7" x14ac:dyDescent="0.25">
      <c r="A115" s="1653"/>
      <c r="B115" s="1667"/>
      <c r="C115" s="1654"/>
      <c r="D115" s="1844"/>
      <c r="E115" s="1540">
        <f t="shared" si="17"/>
        <v>0</v>
      </c>
      <c r="F115" s="1934">
        <f t="shared" si="8"/>
        <v>0</v>
      </c>
      <c r="G115" s="1793">
        <f t="shared" si="18"/>
        <v>0</v>
      </c>
    </row>
    <row r="116" spans="1:7" x14ac:dyDescent="0.25">
      <c r="A116" s="1653"/>
      <c r="B116" s="1667"/>
      <c r="C116" s="1654"/>
      <c r="D116" s="1844"/>
      <c r="E116" s="1540">
        <f t="shared" si="17"/>
        <v>0</v>
      </c>
      <c r="F116" s="1934">
        <f t="shared" si="8"/>
        <v>0</v>
      </c>
      <c r="G116" s="1793">
        <f t="shared" si="18"/>
        <v>0</v>
      </c>
    </row>
    <row r="117" spans="1:7" x14ac:dyDescent="0.25">
      <c r="A117" s="1653"/>
      <c r="B117" s="1667"/>
      <c r="C117" s="1654"/>
      <c r="D117" s="1844"/>
      <c r="E117" s="1540">
        <f t="shared" si="17"/>
        <v>0</v>
      </c>
      <c r="F117" s="1934">
        <f t="shared" si="8"/>
        <v>0</v>
      </c>
      <c r="G117" s="1793">
        <f t="shared" si="18"/>
        <v>0</v>
      </c>
    </row>
    <row r="118" spans="1:7" x14ac:dyDescent="0.25">
      <c r="A118" s="1653"/>
      <c r="B118" s="1667"/>
      <c r="C118" s="1654"/>
      <c r="D118" s="1844"/>
      <c r="E118" s="1540">
        <f t="shared" si="17"/>
        <v>0</v>
      </c>
      <c r="F118" s="1934">
        <f t="shared" si="8"/>
        <v>0</v>
      </c>
      <c r="G118" s="1793">
        <f t="shared" si="18"/>
        <v>0</v>
      </c>
    </row>
    <row r="119" spans="1:7" x14ac:dyDescent="0.25">
      <c r="A119" s="1653"/>
      <c r="B119" s="1667"/>
      <c r="C119" s="1654"/>
      <c r="D119" s="1844"/>
      <c r="E119" s="1540">
        <f t="shared" si="17"/>
        <v>0</v>
      </c>
      <c r="F119" s="1934">
        <f t="shared" si="8"/>
        <v>0</v>
      </c>
      <c r="G119" s="1793">
        <f t="shared" si="18"/>
        <v>0</v>
      </c>
    </row>
    <row r="120" spans="1:7" x14ac:dyDescent="0.25">
      <c r="A120" s="1653"/>
      <c r="B120" s="1667"/>
      <c r="C120" s="1654"/>
      <c r="D120" s="1844"/>
      <c r="E120" s="1540">
        <f t="shared" si="17"/>
        <v>0</v>
      </c>
      <c r="F120" s="1934">
        <f t="shared" si="8"/>
        <v>0</v>
      </c>
      <c r="G120" s="1793">
        <f t="shared" si="18"/>
        <v>0</v>
      </c>
    </row>
    <row r="121" spans="1:7" x14ac:dyDescent="0.25">
      <c r="A121" s="1653"/>
      <c r="B121" s="1667"/>
      <c r="C121" s="1654"/>
      <c r="D121" s="1844"/>
      <c r="E121" s="1540">
        <f t="shared" si="17"/>
        <v>0</v>
      </c>
      <c r="F121" s="1934">
        <f t="shared" si="8"/>
        <v>0</v>
      </c>
      <c r="G121" s="1793">
        <f t="shared" si="18"/>
        <v>0</v>
      </c>
    </row>
    <row r="122" spans="1:7" x14ac:dyDescent="0.25">
      <c r="A122" s="1653"/>
      <c r="B122" s="1667"/>
      <c r="C122" s="1654"/>
      <c r="D122" s="1844"/>
      <c r="E122" s="1540">
        <f t="shared" ref="E122:E130" si="19">IF(D122&lt;=25000,D122,IF(D122&gt;25000,25000,0))</f>
        <v>0</v>
      </c>
      <c r="F122" s="1934">
        <f t="shared" si="8"/>
        <v>0</v>
      </c>
      <c r="G122" s="1793">
        <f t="shared" ref="G122:G130" si="20">IF(F122=0,0,D122-F122)</f>
        <v>0</v>
      </c>
    </row>
    <row r="123" spans="1:7" x14ac:dyDescent="0.25">
      <c r="A123" s="1653"/>
      <c r="B123" s="1667"/>
      <c r="C123" s="1654"/>
      <c r="D123" s="1844"/>
      <c r="E123" s="1540">
        <f t="shared" si="19"/>
        <v>0</v>
      </c>
      <c r="F123" s="1934">
        <f t="shared" si="8"/>
        <v>0</v>
      </c>
      <c r="G123" s="1793">
        <f t="shared" si="20"/>
        <v>0</v>
      </c>
    </row>
    <row r="124" spans="1:7" x14ac:dyDescent="0.25">
      <c r="A124" s="1653"/>
      <c r="B124" s="1667"/>
      <c r="C124" s="1654"/>
      <c r="D124" s="1844"/>
      <c r="E124" s="1540">
        <f t="shared" si="19"/>
        <v>0</v>
      </c>
      <c r="F124" s="1934">
        <f t="shared" si="8"/>
        <v>0</v>
      </c>
      <c r="G124" s="1793">
        <f t="shared" si="20"/>
        <v>0</v>
      </c>
    </row>
    <row r="125" spans="1:7" x14ac:dyDescent="0.25">
      <c r="A125" s="1653"/>
      <c r="B125" s="1667"/>
      <c r="C125" s="1654"/>
      <c r="D125" s="1844"/>
      <c r="E125" s="1540">
        <f t="shared" si="19"/>
        <v>0</v>
      </c>
      <c r="F125" s="1934">
        <f t="shared" si="8"/>
        <v>0</v>
      </c>
      <c r="G125" s="1793">
        <f t="shared" si="20"/>
        <v>0</v>
      </c>
    </row>
    <row r="126" spans="1:7" x14ac:dyDescent="0.25">
      <c r="A126" s="1653"/>
      <c r="B126" s="1667"/>
      <c r="C126" s="1654"/>
      <c r="D126" s="1844"/>
      <c r="E126" s="1540">
        <f t="shared" si="19"/>
        <v>0</v>
      </c>
      <c r="F126" s="1934">
        <f t="shared" si="8"/>
        <v>0</v>
      </c>
      <c r="G126" s="1793">
        <f t="shared" si="20"/>
        <v>0</v>
      </c>
    </row>
    <row r="127" spans="1:7" x14ac:dyDescent="0.25">
      <c r="A127" s="1653"/>
      <c r="B127" s="1837"/>
      <c r="C127" s="1654"/>
      <c r="D127" s="1844"/>
      <c r="E127" s="1540">
        <f t="shared" si="19"/>
        <v>0</v>
      </c>
      <c r="F127" s="1934">
        <f t="shared" si="8"/>
        <v>0</v>
      </c>
      <c r="G127" s="1793">
        <f t="shared" si="20"/>
        <v>0</v>
      </c>
    </row>
    <row r="128" spans="1:7" x14ac:dyDescent="0.25">
      <c r="A128" s="1653"/>
      <c r="B128" s="1837"/>
      <c r="C128" s="1654"/>
      <c r="D128" s="1844"/>
      <c r="E128" s="1540">
        <f t="shared" si="19"/>
        <v>0</v>
      </c>
      <c r="F128" s="1934">
        <f t="shared" si="8"/>
        <v>0</v>
      </c>
      <c r="G128" s="1793">
        <f t="shared" si="20"/>
        <v>0</v>
      </c>
    </row>
    <row r="129" spans="1:7" x14ac:dyDescent="0.25">
      <c r="A129" s="1653"/>
      <c r="B129" s="1667"/>
      <c r="C129" s="1654"/>
      <c r="D129" s="1844"/>
      <c r="E129" s="1540">
        <f t="shared" si="19"/>
        <v>0</v>
      </c>
      <c r="F129" s="1934">
        <f t="shared" si="8"/>
        <v>0</v>
      </c>
      <c r="G129" s="1793">
        <f t="shared" si="20"/>
        <v>0</v>
      </c>
    </row>
    <row r="130" spans="1:7" x14ac:dyDescent="0.25">
      <c r="A130" s="1653"/>
      <c r="B130" s="1667"/>
      <c r="C130" s="1654"/>
      <c r="D130" s="1844"/>
      <c r="E130" s="1540">
        <f t="shared" si="19"/>
        <v>0</v>
      </c>
      <c r="F130" s="1934">
        <f t="shared" si="8"/>
        <v>0</v>
      </c>
      <c r="G130" s="1793">
        <f t="shared" si="20"/>
        <v>0</v>
      </c>
    </row>
    <row r="131" spans="1:7" x14ac:dyDescent="0.25">
      <c r="A131" s="1653"/>
      <c r="B131" s="1667"/>
      <c r="C131" s="1654"/>
      <c r="D131" s="1844"/>
      <c r="E131" s="1540">
        <f t="shared" ref="E131:E135" si="21">IF(D131&lt;=25000,D131,IF(D131&gt;25000,25000,0))</f>
        <v>0</v>
      </c>
      <c r="F131" s="1934">
        <f t="shared" si="8"/>
        <v>0</v>
      </c>
      <c r="G131" s="1793">
        <f t="shared" ref="G131:G135" si="22">IF(F131=0,0,D131-F131)</f>
        <v>0</v>
      </c>
    </row>
    <row r="132" spans="1:7" x14ac:dyDescent="0.25">
      <c r="A132" s="1653"/>
      <c r="B132" s="1667"/>
      <c r="C132" s="1654"/>
      <c r="D132" s="1844"/>
      <c r="E132" s="1540">
        <f t="shared" si="21"/>
        <v>0</v>
      </c>
      <c r="F132" s="1934">
        <f t="shared" si="8"/>
        <v>0</v>
      </c>
      <c r="G132" s="1793">
        <f t="shared" si="22"/>
        <v>0</v>
      </c>
    </row>
    <row r="133" spans="1:7" x14ac:dyDescent="0.25">
      <c r="A133" s="1653"/>
      <c r="B133" s="1667"/>
      <c r="C133" s="1654"/>
      <c r="D133" s="1844"/>
      <c r="E133" s="1540">
        <f t="shared" si="21"/>
        <v>0</v>
      </c>
      <c r="F133" s="1934">
        <f t="shared" si="8"/>
        <v>0</v>
      </c>
      <c r="G133" s="1793">
        <f t="shared" si="22"/>
        <v>0</v>
      </c>
    </row>
    <row r="134" spans="1:7" x14ac:dyDescent="0.25">
      <c r="A134" s="1653"/>
      <c r="B134" s="1667"/>
      <c r="C134" s="1654"/>
      <c r="D134" s="1844"/>
      <c r="E134" s="1540">
        <f t="shared" si="21"/>
        <v>0</v>
      </c>
      <c r="F134" s="1934">
        <f t="shared" si="8"/>
        <v>0</v>
      </c>
      <c r="G134" s="1793">
        <f t="shared" si="22"/>
        <v>0</v>
      </c>
    </row>
    <row r="135" spans="1:7" x14ac:dyDescent="0.25">
      <c r="A135" s="1653"/>
      <c r="B135" s="1667"/>
      <c r="C135" s="1654"/>
      <c r="D135" s="1844"/>
      <c r="E135" s="1540">
        <f t="shared" si="21"/>
        <v>0</v>
      </c>
      <c r="F135" s="1934">
        <f t="shared" si="8"/>
        <v>0</v>
      </c>
      <c r="G135" s="1793">
        <f t="shared" si="22"/>
        <v>0</v>
      </c>
    </row>
    <row r="136" spans="1:7" x14ac:dyDescent="0.25">
      <c r="A136" s="1653"/>
      <c r="B136" s="1666"/>
      <c r="C136" s="1654"/>
      <c r="D136" s="1844"/>
      <c r="E136" s="1540">
        <f t="shared" si="2"/>
        <v>0</v>
      </c>
      <c r="F136" s="1934">
        <f t="shared" si="8"/>
        <v>0</v>
      </c>
      <c r="G136" s="1793">
        <f t="shared" si="3"/>
        <v>0</v>
      </c>
    </row>
    <row r="137" spans="1:7" x14ac:dyDescent="0.25">
      <c r="A137" s="1796" t="s">
        <v>156</v>
      </c>
      <c r="B137" s="1797"/>
      <c r="C137" s="1798"/>
      <c r="D137" s="1794">
        <f>SUM(D18:D136)</f>
        <v>480774</v>
      </c>
      <c r="E137" s="1541">
        <f t="shared" si="0"/>
        <v>25000</v>
      </c>
      <c r="F137" s="1932">
        <f>SUM(F18:F136)</f>
        <v>273378</v>
      </c>
      <c r="G137" s="1795">
        <f>SUM(G18:G136)</f>
        <v>207396</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5" colorId="8" zoomScale="110" zoomScaleNormal="110" workbookViewId="0">
      <selection activeCell="F35" sqref="F3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1" t="s">
        <v>1975</v>
      </c>
      <c r="B11" s="2292"/>
      <c r="C11" s="2292"/>
      <c r="D11" s="2293"/>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4558525</v>
      </c>
      <c r="F19" s="1799"/>
      <c r="G19" s="1801">
        <f>'Expenditures 15-22'!K33-SUM('Expenditures 15-22'!G33,'Expenditures 15-22'!I33)+'Expenditures 15-22'!D229</f>
        <v>4558525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362868</v>
      </c>
      <c r="F21" s="1802"/>
      <c r="G21" s="1805">
        <f>'Expenditures 15-22'!K42-SUM('Expenditures 15-22'!G42,'Expenditures 15-22'!I42)+'Expenditures 15-22'!K120-SUM('Expenditures 15-22'!G120,'Expenditures 15-22'!I120)+'Expenditures 15-22'!K180-SUM('Expenditures 15-22'!G180,'Expenditures 15-22'!I180)+'Expenditures 15-22'!D238</f>
        <v>362868</v>
      </c>
      <c r="H21" s="987"/>
      <c r="I21" s="162"/>
    </row>
    <row r="22" spans="1:9" s="668" customFormat="1" ht="12" customHeight="1" x14ac:dyDescent="0.2">
      <c r="A22" s="994" t="s">
        <v>564</v>
      </c>
      <c r="B22" s="995"/>
      <c r="C22" s="993">
        <v>2200</v>
      </c>
      <c r="D22" s="1802"/>
      <c r="E22" s="1804">
        <f>'Expenditures 15-22'!K47-SUM('Expenditures 15-22'!G47,'Expenditures 15-22'!I47)+'Expenditures 15-22'!D243</f>
        <v>116718</v>
      </c>
      <c r="F22" s="1802"/>
      <c r="G22" s="1805">
        <f>'Expenditures 15-22'!K47-SUM('Expenditures 15-22'!G47,'Expenditures 15-22'!I47)+'Expenditures 15-22'!D243</f>
        <v>116718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432086</v>
      </c>
      <c r="F23" s="1802"/>
      <c r="G23" s="1804">
        <f>'Expenditures 15-22'!K53-SUM('Expenditures 15-22'!G53,'Expenditures 15-22'!I53)+'Expenditures 15-22'!D257+'Expenditures 15-22'!K330-SUM('Expenditures 15-22'!G330,'Expenditures 15-22'!I330)</f>
        <v>432086</v>
      </c>
      <c r="H23" s="987"/>
      <c r="I23" s="162"/>
    </row>
    <row r="24" spans="1:9" s="668" customFormat="1" ht="12" customHeight="1" x14ac:dyDescent="0.2">
      <c r="A24" s="994" t="s">
        <v>566</v>
      </c>
      <c r="B24" s="995"/>
      <c r="C24" s="993">
        <v>2400</v>
      </c>
      <c r="D24" s="1802"/>
      <c r="E24" s="1804">
        <f>'Expenditures 15-22'!K57-SUM('Expenditures 15-22'!G57,'Expenditures 15-22'!I57)+'Expenditures 15-22'!D261</f>
        <v>331346</v>
      </c>
      <c r="F24" s="1802"/>
      <c r="G24" s="1805">
        <f>'Expenditures 15-22'!K57-SUM('Expenditures 15-22'!G57,'Expenditures 15-22'!I57)+'Expenditures 15-22'!D261</f>
        <v>331346</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116708</v>
      </c>
      <c r="E27" s="1804">
        <f>E8</f>
        <v>0</v>
      </c>
      <c r="F27" s="1804">
        <f>'Expenditures 15-22'!K60-SUM('Expenditures 15-22'!G60,'Expenditures 15-22'!I60)+'Expenditures 15-22'!D264-E8</f>
        <v>116708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682533</v>
      </c>
      <c r="F28" s="1806">
        <f>'Expenditures 15-22'!K61-SUM('Expenditures 15-22'!G61,'Expenditures 15-22'!I61)+'Expenditures 15-22'!K124-SUM('Expenditures 15-22'!G124,'Expenditures 15-22'!I124)+'Expenditures 15-22'!D266-E9</f>
        <v>682533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182274</v>
      </c>
      <c r="F29" s="1802"/>
      <c r="G29" s="1805">
        <f>'Expenditures 15-22'!K62-SUM('Expenditures 15-22'!G62,'Expenditures 15-22'!I62)+'Expenditures 15-22'!K125-SUM('Expenditures 15-22'!G125,'Expenditures 15-22'!I125)+'Expenditures 15-22'!K182-SUM('Expenditures 15-22'!G182,'Expenditures 15-22'!I182)+'Expenditures 15-22'!D267</f>
        <v>182274</v>
      </c>
      <c r="H29" s="985"/>
    </row>
    <row r="30" spans="1:9" ht="12" customHeight="1" x14ac:dyDescent="0.2">
      <c r="A30" s="994" t="s">
        <v>100</v>
      </c>
      <c r="B30" s="997"/>
      <c r="C30" s="993">
        <v>2560</v>
      </c>
      <c r="D30" s="1802"/>
      <c r="E30" s="1804">
        <f>'Expenditures 15-22'!K63-SUM('Expenditures 15-22'!G63,'Expenditures 15-22'!I63)+'Expenditures 15-22'!D268-E10</f>
        <v>186506</v>
      </c>
      <c r="F30" s="1802"/>
      <c r="G30" s="1804">
        <f>'Expenditures 15-22'!K63-SUM('Expenditures 15-22'!G63,'Expenditures 15-22'!I63)+'Expenditures 15-22'!D268-E10</f>
        <v>186506</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18210</v>
      </c>
      <c r="F34" s="1802"/>
      <c r="G34" s="1804">
        <f>'Expenditures 15-22'!K68-SUM('Expenditures 15-22'!G68,'Expenditures 15-22'!I68)+'Expenditures 15-22'!D273</f>
        <v>18210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33238</v>
      </c>
      <c r="E37" s="1804">
        <f>E14</f>
        <v>0</v>
      </c>
      <c r="F37" s="1804">
        <f>'Expenditures 15-22'!K71-SUM('Expenditures 15-22'!G71,'Expenditures 15-22'!I71)+'Expenditures 15-22'!D276-E14</f>
        <v>33238</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294</v>
      </c>
      <c r="F38" s="1802"/>
      <c r="G38" s="1804">
        <f>'Expenditures 15-22'!K73-SUM('Expenditures 15-22'!G73,'Expenditures 15-22'!I73)+'Expenditures 15-22'!K128-SUM('Expenditures 15-22'!G128,'Expenditures 15-22'!I128)+'Expenditures 15-22'!K183-SUM('Expenditures 15-22'!G183,'Expenditures 15-22'!I183)+'Expenditures 15-22'!D278</f>
        <v>294</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29'!G137</f>
        <v>-207396</v>
      </c>
      <c r="F40" s="1802"/>
      <c r="G40" s="1806">
        <f>-'Contracts Paid in CY 29'!G137</f>
        <v>-207396</v>
      </c>
    </row>
    <row r="41" spans="1:7" ht="12" customHeight="1" x14ac:dyDescent="0.2">
      <c r="A41" s="998" t="s">
        <v>156</v>
      </c>
      <c r="B41" s="999"/>
      <c r="C41" s="1000"/>
      <c r="D41" s="1806">
        <f>SUM(D19:D39)</f>
        <v>149946</v>
      </c>
      <c r="E41" s="1806">
        <f>SUM(E19:E40)</f>
        <v>6663964</v>
      </c>
      <c r="F41" s="1806">
        <f>SUM(F19:F39)</f>
        <v>832479</v>
      </c>
      <c r="G41" s="1806">
        <f>SUM(G19:G40)</f>
        <v>5981431</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149946</v>
      </c>
      <c r="F43" s="1807" t="s">
        <v>473</v>
      </c>
      <c r="G43" s="1808">
        <f>F41</f>
        <v>832479</v>
      </c>
    </row>
    <row r="44" spans="1:7" ht="12" customHeight="1" x14ac:dyDescent="0.2">
      <c r="A44" s="987"/>
      <c r="B44" s="162"/>
      <c r="C44" s="1001"/>
      <c r="D44" s="1807" t="s">
        <v>474</v>
      </c>
      <c r="E44" s="1808">
        <f>E41</f>
        <v>6663964</v>
      </c>
      <c r="F44" s="1807" t="s">
        <v>474</v>
      </c>
      <c r="G44" s="1808">
        <f>G41</f>
        <v>5981431</v>
      </c>
    </row>
    <row r="45" spans="1:7" ht="12" customHeight="1" x14ac:dyDescent="0.2">
      <c r="A45" s="987"/>
      <c r="B45" s="162"/>
      <c r="C45" s="162"/>
      <c r="D45" s="1809" t="s">
        <v>1006</v>
      </c>
      <c r="E45" s="1810">
        <f>(E43/E44)</f>
        <v>2.2501021914284051E-2</v>
      </c>
      <c r="F45" s="1809" t="s">
        <v>1006</v>
      </c>
      <c r="G45" s="1810">
        <f>(G43/G44)</f>
        <v>0.13917723033167148</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10" zoomScaleSheetLayoutView="100" workbookViewId="0">
      <pane ySplit="4" topLeftCell="A5" activePane="bottomLeft" state="frozen"/>
      <selection activeCell="A47" sqref="A47"/>
      <selection pane="bottomLeft" activeCell="A42" sqref="A42:F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7109375" style="1878" bestFit="1" customWidth="1"/>
    <col min="9" max="9" width="3.42578125" style="1878" bestFit="1" customWidth="1"/>
    <col min="10" max="10" width="2.28515625"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Union Ridge SD 86</v>
      </c>
      <c r="D6" s="2312"/>
      <c r="E6" s="2312"/>
      <c r="F6" s="1852"/>
    </row>
    <row r="7" spans="1:10" ht="11.25" customHeight="1" thickBot="1" x14ac:dyDescent="0.3">
      <c r="A7" s="1850"/>
      <c r="B7" s="1851"/>
      <c r="C7" s="2313">
        <f>COVER!A13</f>
        <v>6016086002</v>
      </c>
      <c r="D7" s="2313"/>
      <c r="E7" s="231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t="s">
        <v>2065</v>
      </c>
      <c r="D19" s="1865" t="s">
        <v>2065</v>
      </c>
      <c r="E19" s="1868"/>
      <c r="F19" s="1867" t="s">
        <v>2088</v>
      </c>
      <c r="H19" s="1878">
        <f t="shared" si="0"/>
        <v>5</v>
      </c>
      <c r="I19" s="1878">
        <f t="shared" si="1"/>
        <v>5</v>
      </c>
      <c r="J19" s="1878">
        <f t="shared" si="2"/>
        <v>0</v>
      </c>
    </row>
    <row r="20" spans="1:12" ht="12" customHeight="1" x14ac:dyDescent="0.2">
      <c r="A20" s="1863" t="s">
        <v>1528</v>
      </c>
      <c r="B20" s="1864"/>
      <c r="C20" s="1865" t="s">
        <v>2065</v>
      </c>
      <c r="D20" s="1865" t="s">
        <v>2065</v>
      </c>
      <c r="E20" s="1868"/>
      <c r="F20" s="1867" t="s">
        <v>2089</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2065</v>
      </c>
      <c r="D24" s="1865" t="s">
        <v>2065</v>
      </c>
      <c r="E24" s="1868"/>
      <c r="F24" s="1867" t="s">
        <v>2090</v>
      </c>
      <c r="H24" s="1878">
        <f t="shared" si="0"/>
        <v>5</v>
      </c>
      <c r="I24" s="1878">
        <f t="shared" si="1"/>
        <v>5</v>
      </c>
      <c r="J24" s="1878">
        <f t="shared" si="2"/>
        <v>0</v>
      </c>
    </row>
    <row r="25" spans="1:12" ht="12" customHeight="1" x14ac:dyDescent="0.2">
      <c r="A25" s="1863" t="s">
        <v>1533</v>
      </c>
      <c r="B25" s="1864"/>
      <c r="C25" s="1865" t="s">
        <v>2065</v>
      </c>
      <c r="D25" s="1865" t="s">
        <v>2065</v>
      </c>
      <c r="E25" s="1868"/>
      <c r="F25" s="1867" t="s">
        <v>2090</v>
      </c>
      <c r="H25" s="1878">
        <f t="shared" si="0"/>
        <v>5</v>
      </c>
      <c r="I25" s="1878">
        <f t="shared" si="1"/>
        <v>5</v>
      </c>
      <c r="J25" s="1878">
        <f t="shared" si="2"/>
        <v>0</v>
      </c>
    </row>
    <row r="26" spans="1:12" ht="12" customHeight="1" x14ac:dyDescent="0.2">
      <c r="A26" s="1863" t="s">
        <v>1534</v>
      </c>
      <c r="B26" s="1864"/>
      <c r="C26" s="1865" t="s">
        <v>2065</v>
      </c>
      <c r="D26" s="1865" t="s">
        <v>2065</v>
      </c>
      <c r="E26" s="1868"/>
      <c r="F26" s="1867" t="s">
        <v>2090</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2065</v>
      </c>
      <c r="D28" s="1865" t="s">
        <v>2065</v>
      </c>
      <c r="E28" s="1868"/>
      <c r="F28" s="1867" t="s">
        <v>2091</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2065</v>
      </c>
      <c r="D30" s="1865" t="s">
        <v>2065</v>
      </c>
      <c r="E30" s="1868"/>
      <c r="F30" s="1867" t="s">
        <v>2090</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35</v>
      </c>
      <c r="I34" s="1878">
        <f>SUM(I11:I32)</f>
        <v>35</v>
      </c>
      <c r="J34" s="1878">
        <f>SUM(J11:J32)</f>
        <v>0</v>
      </c>
      <c r="K34" s="1878">
        <f>SUM(H34:J34)</f>
        <v>70</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B10" sqref="A10:J20"/>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Union Ridge SD 86</v>
      </c>
      <c r="J6" s="2322"/>
      <c r="Q6" s="1664"/>
    </row>
    <row r="7" spans="1:17" x14ac:dyDescent="0.2">
      <c r="A7" s="2323" t="s">
        <v>869</v>
      </c>
      <c r="B7" s="2324"/>
      <c r="C7" s="2324"/>
      <c r="D7" s="2324"/>
      <c r="E7" s="2325"/>
      <c r="F7" s="1017"/>
      <c r="G7" s="1009"/>
      <c r="H7" s="1016" t="s">
        <v>372</v>
      </c>
      <c r="I7" s="2326">
        <f>COVER!A13</f>
        <v>6016086002</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309701</v>
      </c>
      <c r="F12" s="1039"/>
      <c r="G12" s="1811">
        <f t="shared" ref="G12:G18" si="0">SUM(E12:F12)</f>
        <v>309701</v>
      </c>
      <c r="H12" s="1040">
        <v>312946</v>
      </c>
      <c r="I12" s="1039"/>
      <c r="J12" s="1811">
        <f t="shared" ref="J12:J18" si="1">SUM(H12:I12)</f>
        <v>312946</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309701</v>
      </c>
      <c r="F19" s="1813">
        <f t="shared" si="2"/>
        <v>0</v>
      </c>
      <c r="G19" s="1813">
        <f t="shared" si="2"/>
        <v>309701</v>
      </c>
      <c r="H19" s="1813">
        <f t="shared" si="2"/>
        <v>312946</v>
      </c>
      <c r="I19" s="1813">
        <f t="shared" si="2"/>
        <v>0</v>
      </c>
      <c r="J19" s="1813">
        <f t="shared" si="2"/>
        <v>312946</v>
      </c>
    </row>
    <row r="20" spans="1:10" ht="13.5" thickTop="1" x14ac:dyDescent="0.2">
      <c r="A20" s="1035">
        <v>9</v>
      </c>
      <c r="B20" s="2333" t="s">
        <v>1979</v>
      </c>
      <c r="C20" s="2333"/>
      <c r="D20" s="2334"/>
      <c r="E20" s="1046"/>
      <c r="F20" s="1046"/>
      <c r="G20" s="1046"/>
      <c r="H20" s="1046"/>
      <c r="I20" s="1046"/>
      <c r="J20" s="1814">
        <f>IF(AND(G19&gt;0,J19&gt;0),(((J19-G19)/G19)),"Enter Budget Data")</f>
        <v>1.0477847988866681E-2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Union Ridge SD 86</v>
      </c>
    </row>
    <row r="65" spans="2:2" x14ac:dyDescent="0.2">
      <c r="B65" s="1070">
        <f>COVER!A13</f>
        <v>6016086002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31" zoomScale="110" zoomScaleNormal="110" workbookViewId="0">
      <selection activeCell="G31" sqref="G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4" sqref="B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35843"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K24" sqref="K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6605663</v>
      </c>
      <c r="C8" s="1815">
        <f>'Acct Summary 7-8'!D8</f>
        <v>763330</v>
      </c>
      <c r="D8" s="1815">
        <f>'Acct Summary 7-8'!F8</f>
        <v>227362</v>
      </c>
      <c r="E8" s="1815">
        <f>'Acct Summary 7-8'!I8</f>
        <v>48251</v>
      </c>
      <c r="F8" s="1815">
        <f>SUM(B8:E8)</f>
        <v>7644606</v>
      </c>
    </row>
    <row r="9" spans="1:8" s="1079" customFormat="1" ht="14.25" customHeight="1" thickBot="1" x14ac:dyDescent="0.25">
      <c r="A9" s="1078" t="s">
        <v>1369</v>
      </c>
      <c r="B9" s="1816">
        <f>'Acct Summary 7-8'!C17</f>
        <v>6245550</v>
      </c>
      <c r="C9" s="1816">
        <f>'Acct Summary 7-8'!D17</f>
        <v>665086</v>
      </c>
      <c r="D9" s="1816">
        <f>'Acct Summary 7-8'!F17</f>
        <v>174184</v>
      </c>
      <c r="E9" s="1815"/>
      <c r="F9" s="1815">
        <f>SUM(B9:E9)</f>
        <v>7084820</v>
      </c>
    </row>
    <row r="10" spans="1:8" s="1079" customFormat="1" ht="14.25" thickTop="1" thickBot="1" x14ac:dyDescent="0.25">
      <c r="A10" s="1080" t="s">
        <v>1370</v>
      </c>
      <c r="B10" s="1817">
        <f>(B8-B9)</f>
        <v>360113</v>
      </c>
      <c r="C10" s="1817">
        <f>(C8-C9)</f>
        <v>98244</v>
      </c>
      <c r="D10" s="1817">
        <f>(D8-D9)</f>
        <v>53178</v>
      </c>
      <c r="E10" s="1816">
        <f>(E8-E9)</f>
        <v>48251</v>
      </c>
      <c r="F10" s="1818">
        <f>SUM(F8-F9)</f>
        <v>559786</v>
      </c>
    </row>
    <row r="11" spans="1:8" s="1079" customFormat="1" ht="14.25" thickTop="1" thickBot="1" x14ac:dyDescent="0.25">
      <c r="A11" s="1081" t="s">
        <v>1983</v>
      </c>
      <c r="B11" s="1819">
        <f>'Acct Summary 7-8'!C81</f>
        <v>1660742</v>
      </c>
      <c r="C11" s="1819">
        <f>'Acct Summary 7-8'!D81</f>
        <v>470352</v>
      </c>
      <c r="D11" s="1819">
        <f>'Acct Summary 7-8'!F81</f>
        <v>80826</v>
      </c>
      <c r="E11" s="1819">
        <f>'Acct Summary 7-8'!I81</f>
        <v>3988500</v>
      </c>
      <c r="F11" s="1820">
        <f>SUM(B11:E11)</f>
        <v>6200420</v>
      </c>
    </row>
    <row r="12" spans="1:8" ht="16.5" customHeight="1" thickTop="1" x14ac:dyDescent="0.2">
      <c r="A12" s="1082"/>
      <c r="B12" s="1083"/>
      <c r="C12" s="2345" t="str">
        <f>IF(AND(F10&lt;0,F11&gt;=0,ABS(F10*3)&gt;ABS(F11)),A16,IF(AND(F10&lt;0,F11&gt;0,ABS(F10*3)&lt;=ABS(F11)),A17,IF(AND(F10&lt;0,F11&lt;0),A16,IF(F11=0,A19,A18))))</f>
        <v>Balanced - no deficit reduction plan is required.</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2" colorId="8" zoomScale="110" zoomScaleNormal="110" workbookViewId="0">
      <selection activeCell="C100" sqref="C100"/>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6016086002</v>
      </c>
    </row>
    <row r="3" spans="1:2" x14ac:dyDescent="0.2">
      <c r="A3" t="s">
        <v>956</v>
      </c>
      <c r="B3" s="138" t="str">
        <f>COVER!A15</f>
        <v>Cook County</v>
      </c>
    </row>
    <row r="4" spans="1:2" x14ac:dyDescent="0.2">
      <c r="A4" t="s">
        <v>1007</v>
      </c>
      <c r="B4" s="138" t="str">
        <f>COVER!A17</f>
        <v>Union Ridge SD 86</v>
      </c>
    </row>
    <row r="5" spans="1:2" x14ac:dyDescent="0.2">
      <c r="A5" t="s">
        <v>704</v>
      </c>
      <c r="B5" s="138" t="str">
        <f>COVER!A38</f>
        <v>Michael Maguire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066-003284</v>
      </c>
    </row>
    <row r="16" spans="1:2" x14ac:dyDescent="0.2">
      <c r="A16" t="s">
        <v>422</v>
      </c>
      <c r="B16" s="138" t="str">
        <f>COVER!T13</f>
        <v>Sikich LLP</v>
      </c>
    </row>
    <row r="17" spans="1:2" x14ac:dyDescent="0.2">
      <c r="A17" t="s">
        <v>884</v>
      </c>
      <c r="B17" s="138" t="str">
        <f>COVER!T15</f>
        <v>Anthony Cervini</v>
      </c>
    </row>
    <row r="18" spans="1:2" x14ac:dyDescent="0.2">
      <c r="A18" t="s">
        <v>1150</v>
      </c>
      <c r="B18" s="138" t="str">
        <f>COVER!T17</f>
        <v>1415 W Dielh Road, Suite 400</v>
      </c>
    </row>
    <row r="19" spans="1:2" x14ac:dyDescent="0.2">
      <c r="A19" t="s">
        <v>886</v>
      </c>
      <c r="B19" s="138" t="str">
        <f>COVER!T25</f>
        <v>anthony.cervini@sikich.com</v>
      </c>
    </row>
    <row r="20" spans="1:2" x14ac:dyDescent="0.2">
      <c r="A20" t="s">
        <v>887</v>
      </c>
      <c r="B20" s="138" t="str">
        <f>COVER!T19</f>
        <v>Naperville</v>
      </c>
    </row>
    <row r="21" spans="1:2" x14ac:dyDescent="0.2">
      <c r="A21" t="s">
        <v>479</v>
      </c>
      <c r="B21" s="138" t="str">
        <f>COVER!X19</f>
        <v>IL</v>
      </c>
    </row>
    <row r="22" spans="1:2" x14ac:dyDescent="0.2">
      <c r="A22" t="s">
        <v>888</v>
      </c>
      <c r="B22" s="138">
        <f>COVER!Z19</f>
        <v>60563</v>
      </c>
    </row>
    <row r="23" spans="1:2" x14ac:dyDescent="0.2">
      <c r="A23" t="s">
        <v>1152</v>
      </c>
      <c r="B23" s="138" t="str">
        <f>COVER!T21</f>
        <v>630-566-8400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33239</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1660742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1660742</v>
      </c>
      <c r="D92" s="2" t="str">
        <f t="shared" si="0"/>
        <v>Error?</v>
      </c>
    </row>
    <row r="93" spans="1:4" x14ac:dyDescent="0.2">
      <c r="A93" s="5">
        <v>32</v>
      </c>
      <c r="B93" s="138">
        <f>'Assets-Liab 5-6'!C41</f>
        <v>1660742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470352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470352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73474</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73474</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80826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80826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113472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113472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49573</v>
      </c>
      <c r="D273" s="2" t="str">
        <f t="shared" si="3"/>
        <v>Error?</v>
      </c>
    </row>
    <row r="274" spans="1:4" x14ac:dyDescent="0.2">
      <c r="A274" s="5">
        <v>213</v>
      </c>
      <c r="B274" s="138">
        <f>'Assets-Liab 5-6'!M17</f>
        <v>7941805</v>
      </c>
      <c r="D274" s="2" t="str">
        <f t="shared" si="3"/>
        <v>Error?</v>
      </c>
    </row>
    <row r="275" spans="1:4" x14ac:dyDescent="0.2">
      <c r="A275" s="5">
        <v>214</v>
      </c>
      <c r="B275" s="138">
        <f>'Assets-Liab 5-6'!M18</f>
        <v>1192739</v>
      </c>
      <c r="D275" s="2" t="str">
        <f t="shared" si="3"/>
        <v>Error?</v>
      </c>
    </row>
    <row r="276" spans="1:4" x14ac:dyDescent="0.2">
      <c r="A276" s="5">
        <v>215</v>
      </c>
      <c r="B276" s="138">
        <f>'Assets-Liab 5-6'!M19</f>
        <v>479537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9663654</v>
      </c>
      <c r="C279" s="2" t="s">
        <v>573</v>
      </c>
      <c r="D279" s="2" t="str">
        <f t="shared" si="3"/>
        <v>Error?</v>
      </c>
    </row>
    <row r="280" spans="1:4" x14ac:dyDescent="0.2">
      <c r="A280" s="5">
        <v>219</v>
      </c>
      <c r="B280" s="138">
        <f>'Assets-Liab 5-6'!M40</f>
        <v>9663654</v>
      </c>
      <c r="D280" s="2" t="str">
        <f t="shared" si="3"/>
        <v>Error?</v>
      </c>
    </row>
    <row r="281" spans="1:4" x14ac:dyDescent="0.2">
      <c r="A281" s="5">
        <v>220</v>
      </c>
      <c r="B281" s="138">
        <f>'Assets-Liab 5-6'!M41</f>
        <v>9663654</v>
      </c>
      <c r="C281" s="2" t="s">
        <v>573</v>
      </c>
      <c r="D281" s="2" t="str">
        <f t="shared" si="3"/>
        <v>Error?</v>
      </c>
    </row>
    <row r="282" spans="1:4" x14ac:dyDescent="0.2">
      <c r="A282" s="5">
        <v>221</v>
      </c>
      <c r="B282" s="138">
        <f>'Assets-Liab 5-6'!N21</f>
        <v>73474</v>
      </c>
      <c r="D282" s="2" t="str">
        <f t="shared" si="3"/>
        <v>Error?</v>
      </c>
    </row>
    <row r="283" spans="1:4" x14ac:dyDescent="0.2">
      <c r="A283" s="5">
        <v>222</v>
      </c>
      <c r="B283" s="138">
        <f>'Assets-Liab 5-6'!N22</f>
        <v>1619925</v>
      </c>
      <c r="D283" s="2" t="str">
        <f t="shared" si="3"/>
        <v>Error?</v>
      </c>
    </row>
    <row r="284" spans="1:4" x14ac:dyDescent="0.2">
      <c r="A284" s="5">
        <v>223</v>
      </c>
      <c r="B284" s="138">
        <f>'Assets-Liab 5-6'!N23</f>
        <v>1693399</v>
      </c>
      <c r="C284" s="2" t="s">
        <v>573</v>
      </c>
      <c r="D284" s="2" t="str">
        <f t="shared" si="3"/>
        <v>Error?</v>
      </c>
    </row>
    <row r="285" spans="1:4" x14ac:dyDescent="0.2">
      <c r="A285" s="5">
        <v>224</v>
      </c>
      <c r="B285" s="138">
        <f>'Assets-Liab 5-6'!N36</f>
        <v>1693399</v>
      </c>
      <c r="D285" s="2" t="str">
        <f t="shared" si="3"/>
        <v>Error?</v>
      </c>
    </row>
    <row r="286" spans="1:4" x14ac:dyDescent="0.2">
      <c r="A286" s="10">
        <v>225</v>
      </c>
      <c r="D286" s="2" t="str">
        <f t="shared" si="3"/>
        <v>OK</v>
      </c>
    </row>
    <row r="287" spans="1:4" x14ac:dyDescent="0.2">
      <c r="A287" s="5">
        <v>226</v>
      </c>
      <c r="B287" s="138">
        <f>'Assets-Liab 5-6'!N37</f>
        <v>1693399</v>
      </c>
      <c r="C287" s="2" t="s">
        <v>573</v>
      </c>
      <c r="D287" s="2" t="str">
        <f t="shared" si="3"/>
        <v>Error?</v>
      </c>
    </row>
    <row r="288" spans="1:4" x14ac:dyDescent="0.2">
      <c r="A288" s="5">
        <v>227</v>
      </c>
      <c r="B288" s="138">
        <f>'Assets-Liab 5-6'!N41</f>
        <v>1693399</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2773554</v>
      </c>
      <c r="D705" s="2" t="str">
        <f t="shared" si="10"/>
        <v>Error?</v>
      </c>
    </row>
    <row r="706" spans="1:4" x14ac:dyDescent="0.2">
      <c r="A706" s="5">
        <v>645</v>
      </c>
      <c r="B706" s="138">
        <f>'Expenditures 15-22'!C16</f>
        <v>46733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223511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18812</v>
      </c>
      <c r="D718" s="2" t="str">
        <f t="shared" si="10"/>
        <v>Error?</v>
      </c>
    </row>
    <row r="719" spans="1:4" x14ac:dyDescent="0.2">
      <c r="A719" s="5">
        <v>658</v>
      </c>
      <c r="B719" s="138">
        <f>'Expenditures 15-22'!C15</f>
        <v>1611</v>
      </c>
      <c r="D719" s="2" t="str">
        <f t="shared" si="10"/>
        <v>Error?</v>
      </c>
    </row>
    <row r="720" spans="1:4" x14ac:dyDescent="0.2">
      <c r="A720" s="5">
        <v>659</v>
      </c>
      <c r="B720" s="138">
        <f>'Expenditures 15-22'!C33</f>
        <v>3773534</v>
      </c>
      <c r="C720" s="2" t="s">
        <v>573</v>
      </c>
      <c r="D720" s="2" t="str">
        <f t="shared" si="10"/>
        <v>Error?</v>
      </c>
    </row>
    <row r="721" spans="1:4" x14ac:dyDescent="0.2">
      <c r="A721" s="5">
        <v>660</v>
      </c>
      <c r="B721" s="138">
        <f>'Expenditures 15-22'!C36</f>
        <v>57799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50819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66537</v>
      </c>
      <c r="D725" s="2" t="str">
        <f t="shared" si="10"/>
        <v>Error?</v>
      </c>
    </row>
    <row r="726" spans="1:4" x14ac:dyDescent="0.2">
      <c r="A726" s="5">
        <v>665</v>
      </c>
      <c r="B726" s="138">
        <f>'Expenditures 15-22'!C41</f>
        <v>126433</v>
      </c>
      <c r="D726" s="2" t="str">
        <f t="shared" si="10"/>
        <v>Error?</v>
      </c>
    </row>
    <row r="727" spans="1:4" x14ac:dyDescent="0.2">
      <c r="A727" s="5">
        <v>666</v>
      </c>
      <c r="B727" s="138">
        <f>'Expenditures 15-22'!C42</f>
        <v>301588</v>
      </c>
      <c r="C727" s="2" t="s">
        <v>573</v>
      </c>
      <c r="D727" s="2" t="str">
        <f t="shared" si="10"/>
        <v>Error?</v>
      </c>
    </row>
    <row r="728" spans="1:4" x14ac:dyDescent="0.2">
      <c r="A728" s="5">
        <v>667</v>
      </c>
      <c r="B728" s="138">
        <f>'Expenditures 15-22'!C44</f>
        <v>21523</v>
      </c>
      <c r="D728" s="2" t="str">
        <f t="shared" si="10"/>
        <v>Error?</v>
      </c>
    </row>
    <row r="729" spans="1:4" x14ac:dyDescent="0.2">
      <c r="A729" s="5">
        <v>668</v>
      </c>
      <c r="B729" s="138">
        <f>'Expenditures 15-22'!C45</f>
        <v>30204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51727</v>
      </c>
      <c r="C731" s="2" t="s">
        <v>573</v>
      </c>
      <c r="D731" s="2" t="str">
        <f t="shared" si="10"/>
        <v>Error?</v>
      </c>
    </row>
    <row r="732" spans="1:4" x14ac:dyDescent="0.2">
      <c r="A732" s="5">
        <v>671</v>
      </c>
      <c r="B732" s="138">
        <f>'Expenditures 15-22'!C49</f>
        <v>1350</v>
      </c>
      <c r="D732" s="2" t="str">
        <f t="shared" si="10"/>
        <v>Error?</v>
      </c>
    </row>
    <row r="733" spans="1:4" x14ac:dyDescent="0.2">
      <c r="A733" s="5">
        <v>672</v>
      </c>
      <c r="B733" s="138">
        <f>'Expenditures 15-22'!C50</f>
        <v>222642</v>
      </c>
      <c r="D733" s="2" t="str">
        <f t="shared" si="10"/>
        <v>Error?</v>
      </c>
    </row>
    <row r="734" spans="1:4" x14ac:dyDescent="0.2">
      <c r="A734" s="5">
        <v>673</v>
      </c>
      <c r="B734" s="138">
        <f>'Expenditures 15-22'!C53</f>
        <v>223992</v>
      </c>
      <c r="C734" s="2" t="s">
        <v>573</v>
      </c>
      <c r="D734" s="2" t="str">
        <f t="shared" si="10"/>
        <v>Error?</v>
      </c>
    </row>
    <row r="735" spans="1:4" x14ac:dyDescent="0.2">
      <c r="A735" s="5">
        <v>674</v>
      </c>
      <c r="B735" s="138">
        <f>'Expenditures 15-22'!C55</f>
        <v>250476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250476</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99867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39853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139720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967503</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4741037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330071</v>
      </c>
      <c r="D763" s="2" t="str">
        <f t="shared" si="10"/>
        <v>Error?</v>
      </c>
    </row>
    <row r="764" spans="1:4" x14ac:dyDescent="0.2">
      <c r="A764" s="5">
        <v>703</v>
      </c>
      <c r="B764" s="138">
        <f>'Expenditures 15-22'!D16</f>
        <v>5335</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31480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298</v>
      </c>
      <c r="D776" s="2" t="str">
        <f t="shared" si="11"/>
        <v>Error?</v>
      </c>
    </row>
    <row r="777" spans="1:4" x14ac:dyDescent="0.2">
      <c r="A777" s="5">
        <v>716</v>
      </c>
      <c r="B777" s="138">
        <f>'Expenditures 15-22'!D15</f>
        <v>24</v>
      </c>
      <c r="D777" s="2" t="str">
        <f t="shared" si="11"/>
        <v>Error?</v>
      </c>
    </row>
    <row r="778" spans="1:4" x14ac:dyDescent="0.2">
      <c r="A778" s="5">
        <v>717</v>
      </c>
      <c r="B778" s="138">
        <f>'Expenditures 15-22'!D33</f>
        <v>478993</v>
      </c>
      <c r="C778" s="2" t="s">
        <v>573</v>
      </c>
      <c r="D778" s="2" t="str">
        <f t="shared" si="11"/>
        <v>Error?</v>
      </c>
    </row>
    <row r="779" spans="1:4" x14ac:dyDescent="0.2">
      <c r="A779" s="5">
        <v>718</v>
      </c>
      <c r="B779" s="138">
        <f>'Expenditures 15-22'!D36</f>
        <v>9721</v>
      </c>
      <c r="D779" s="2" t="str">
        <f t="shared" si="11"/>
        <v>Error?</v>
      </c>
    </row>
    <row r="780" spans="1:4" x14ac:dyDescent="0.2">
      <c r="A780" s="5">
        <v>719</v>
      </c>
      <c r="B780" s="138">
        <f>'Expenditures 15-22'!D37</f>
        <v>0</v>
      </c>
      <c r="D780" s="2" t="str">
        <f t="shared" si="11"/>
        <v>Error?</v>
      </c>
    </row>
    <row r="781" spans="1:4" x14ac:dyDescent="0.2">
      <c r="A781" s="5">
        <v>720</v>
      </c>
      <c r="B781" s="138">
        <f>'Expenditures 15-22'!D38</f>
        <v>6498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9853</v>
      </c>
      <c r="D783" s="2" t="str">
        <f t="shared" si="11"/>
        <v>Error?</v>
      </c>
    </row>
    <row r="784" spans="1:4" x14ac:dyDescent="0.2">
      <c r="A784" s="5">
        <v>723</v>
      </c>
      <c r="B784" s="138">
        <f>'Expenditures 15-22'!D41</f>
        <v>2659</v>
      </c>
      <c r="D784" s="2" t="str">
        <f t="shared" si="11"/>
        <v>Error?</v>
      </c>
    </row>
    <row r="785" spans="1:4" x14ac:dyDescent="0.2">
      <c r="A785" s="5">
        <v>724</v>
      </c>
      <c r="B785" s="138">
        <f>'Expenditures 15-22'!D42</f>
        <v>28731</v>
      </c>
      <c r="C785" s="2" t="s">
        <v>573</v>
      </c>
      <c r="D785" s="2" t="str">
        <f t="shared" si="11"/>
        <v>Error?</v>
      </c>
    </row>
    <row r="786" spans="1:4" x14ac:dyDescent="0.2">
      <c r="A786" s="5">
        <v>725</v>
      </c>
      <c r="B786" s="138">
        <f>'Expenditures 15-22'!D44</f>
        <v>374</v>
      </c>
      <c r="D786" s="2" t="str">
        <f t="shared" si="11"/>
        <v>Error?</v>
      </c>
    </row>
    <row r="787" spans="1:4" x14ac:dyDescent="0.2">
      <c r="A787" s="5">
        <v>726</v>
      </c>
      <c r="B787" s="138">
        <f>'Expenditures 15-22'!D45</f>
        <v>4681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5055</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48123</v>
      </c>
      <c r="D791" s="2" t="str">
        <f t="shared" si="11"/>
        <v>Error?</v>
      </c>
    </row>
    <row r="792" spans="1:4" x14ac:dyDescent="0.2">
      <c r="A792" s="5">
        <v>731</v>
      </c>
      <c r="B792" s="138">
        <f>'Expenditures 15-22'!D53</f>
        <v>48123</v>
      </c>
      <c r="C792" s="2" t="s">
        <v>573</v>
      </c>
      <c r="D792" s="2" t="str">
        <f t="shared" si="11"/>
        <v>Error?</v>
      </c>
    </row>
    <row r="793" spans="1:4" x14ac:dyDescent="0.2">
      <c r="A793" s="5">
        <v>732</v>
      </c>
      <c r="B793" s="138">
        <f>'Expenditures 15-22'!D55</f>
        <v>39730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39730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10350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394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10744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132383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611376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7472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8889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10348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10348</v>
      </c>
      <c r="C843" s="2" t="s">
        <v>573</v>
      </c>
      <c r="D843" s="2" t="str">
        <f t="shared" si="12"/>
        <v>Error?</v>
      </c>
    </row>
    <row r="844" spans="1:4" x14ac:dyDescent="0.2">
      <c r="A844" s="5">
        <v>783</v>
      </c>
      <c r="B844" s="138">
        <f>'Expenditures 15-22'!E44</f>
        <v>44755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44755</v>
      </c>
      <c r="C847" s="2" t="s">
        <v>573</v>
      </c>
      <c r="D847" s="2" t="str">
        <f t="shared" si="12"/>
        <v>Error?</v>
      </c>
    </row>
    <row r="848" spans="1:4" x14ac:dyDescent="0.2">
      <c r="A848" s="5">
        <v>787</v>
      </c>
      <c r="B848" s="138">
        <f>'Expenditures 15-22'!E49</f>
        <v>71</v>
      </c>
      <c r="D848" s="2" t="str">
        <f t="shared" si="12"/>
        <v>Error?</v>
      </c>
    </row>
    <row r="849" spans="1:4" x14ac:dyDescent="0.2">
      <c r="A849" s="5">
        <v>788</v>
      </c>
      <c r="B849" s="138">
        <f>'Expenditures 15-22'!E50</f>
        <v>8471</v>
      </c>
      <c r="D849" s="2" t="str">
        <f t="shared" si="12"/>
        <v>Error?</v>
      </c>
    </row>
    <row r="850" spans="1:4" x14ac:dyDescent="0.2">
      <c r="A850" s="5">
        <v>789</v>
      </c>
      <c r="B850" s="138">
        <f>'Expenditures 15-22'!E53</f>
        <v>8542</v>
      </c>
      <c r="C850" s="2" t="s">
        <v>573</v>
      </c>
      <c r="D850" s="2" t="str">
        <f t="shared" si="12"/>
        <v>Error?</v>
      </c>
    </row>
    <row r="851" spans="1:4" x14ac:dyDescent="0.2">
      <c r="A851" s="5">
        <v>790</v>
      </c>
      <c r="B851" s="138">
        <f>'Expenditures 15-22'!E55</f>
        <v>9776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9776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3326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129692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133018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18210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25271</v>
      </c>
      <c r="D867" s="2" t="str">
        <f t="shared" si="12"/>
        <v>Error?</v>
      </c>
    </row>
    <row r="868" spans="1:4" x14ac:dyDescent="0.2">
      <c r="A868" s="10">
        <v>807</v>
      </c>
      <c r="D868" s="2" t="str">
        <f t="shared" si="12"/>
        <v>OK</v>
      </c>
    </row>
    <row r="869" spans="1:4" x14ac:dyDescent="0.2">
      <c r="A869" s="5">
        <v>808</v>
      </c>
      <c r="B869" s="138">
        <f>'Expenditures 15-22'!E72</f>
        <v>43481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249920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412146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118476</v>
      </c>
      <c r="D879" s="2" t="str">
        <f t="shared" si="12"/>
        <v>Error?</v>
      </c>
    </row>
    <row r="880" spans="1:4" x14ac:dyDescent="0.2">
      <c r="A880" s="5">
        <v>819</v>
      </c>
      <c r="B880" s="138">
        <f>'Expenditures 15-22'!F16</f>
        <v>969</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560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13573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175154</v>
      </c>
      <c r="C894" s="2" t="s">
        <v>573</v>
      </c>
      <c r="D894" s="2" t="str">
        <f t="shared" si="12"/>
        <v>Error?</v>
      </c>
    </row>
    <row r="895" spans="1:4" x14ac:dyDescent="0.2">
      <c r="A895" s="5">
        <v>834</v>
      </c>
      <c r="B895" s="138">
        <f>'Expenditures 15-22'!F36</f>
        <v>537</v>
      </c>
      <c r="D895" s="2" t="str">
        <f t="shared" ref="D895:D958" si="13">IF(ISBLANK(B895),"OK",IF(A895-B895=0,"OK","Error?"))</f>
        <v>Error?</v>
      </c>
    </row>
    <row r="896" spans="1:4" x14ac:dyDescent="0.2">
      <c r="A896" s="5">
        <v>835</v>
      </c>
      <c r="B896" s="138">
        <f>'Expenditures 15-22'!F37</f>
        <v>4938</v>
      </c>
      <c r="D896" s="2" t="str">
        <f t="shared" si="13"/>
        <v>Error?</v>
      </c>
    </row>
    <row r="897" spans="1:4" x14ac:dyDescent="0.2">
      <c r="A897" s="5">
        <v>836</v>
      </c>
      <c r="B897" s="138">
        <f>'Expenditures 15-22'!F38</f>
        <v>1500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192</v>
      </c>
      <c r="D899" s="2" t="str">
        <f t="shared" si="13"/>
        <v>Error?</v>
      </c>
    </row>
    <row r="900" spans="1:4" x14ac:dyDescent="0.2">
      <c r="A900" s="5">
        <v>839</v>
      </c>
      <c r="B900" s="138">
        <f>'Expenditures 15-22'!F41</f>
        <v>620</v>
      </c>
      <c r="D900" s="2" t="str">
        <f t="shared" si="13"/>
        <v>Error?</v>
      </c>
    </row>
    <row r="901" spans="1:4" x14ac:dyDescent="0.2">
      <c r="A901" s="5">
        <v>840</v>
      </c>
      <c r="B901" s="138">
        <f>'Expenditures 15-22'!F42</f>
        <v>7787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8359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8359</v>
      </c>
      <c r="C905" s="2" t="s">
        <v>573</v>
      </c>
      <c r="D905" s="2" t="str">
        <f t="shared" si="13"/>
        <v>Error?</v>
      </c>
    </row>
    <row r="906" spans="1:4" x14ac:dyDescent="0.2">
      <c r="A906" s="5">
        <v>845</v>
      </c>
      <c r="B906" s="138">
        <f>'Expenditures 15-22'!F49</f>
        <v>24818</v>
      </c>
      <c r="D906" s="2" t="str">
        <f t="shared" si="13"/>
        <v>Error?</v>
      </c>
    </row>
    <row r="907" spans="1:4" x14ac:dyDescent="0.2">
      <c r="A907" s="5">
        <v>846</v>
      </c>
      <c r="B907" s="138">
        <f>'Expenditures 15-22'!F50</f>
        <v>30465</v>
      </c>
      <c r="D907" s="2" t="str">
        <f t="shared" si="13"/>
        <v>Error?</v>
      </c>
    </row>
    <row r="908" spans="1:4" x14ac:dyDescent="0.2">
      <c r="A908" s="5">
        <v>847</v>
      </c>
      <c r="B908" s="138">
        <f>'Expenditures 15-22'!F53</f>
        <v>55283</v>
      </c>
      <c r="C908" s="2" t="s">
        <v>573</v>
      </c>
      <c r="D908" s="2" t="str">
        <f t="shared" si="13"/>
        <v>Error?</v>
      </c>
    </row>
    <row r="909" spans="1:4" x14ac:dyDescent="0.2">
      <c r="A909" s="5">
        <v>848</v>
      </c>
      <c r="B909" s="138">
        <f>'Expenditures 15-22'!F55</f>
        <v>2283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1765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12716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14481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7967</v>
      </c>
      <c r="D925" s="2" t="str">
        <f t="shared" si="13"/>
        <v>Error?</v>
      </c>
    </row>
    <row r="926" spans="1:4" x14ac:dyDescent="0.2">
      <c r="A926" s="10">
        <v>865</v>
      </c>
      <c r="D926" s="2" t="str">
        <f t="shared" si="13"/>
        <v>OK</v>
      </c>
    </row>
    <row r="927" spans="1:4" x14ac:dyDescent="0.2">
      <c r="A927" s="5">
        <v>866</v>
      </c>
      <c r="B927" s="138">
        <f>'Expenditures 15-22'!F72</f>
        <v>7967</v>
      </c>
      <c r="C927" s="2" t="s">
        <v>573</v>
      </c>
      <c r="D927" s="2" t="str">
        <f t="shared" si="13"/>
        <v>Error?</v>
      </c>
    </row>
    <row r="928" spans="1:4" x14ac:dyDescent="0.2">
      <c r="A928" s="5">
        <v>867</v>
      </c>
      <c r="B928" s="138">
        <f>'Expenditures 15-22'!F73</f>
        <v>294</v>
      </c>
      <c r="D928" s="2" t="str">
        <f t="shared" si="13"/>
        <v>Error?</v>
      </c>
    </row>
    <row r="929" spans="1:4" x14ac:dyDescent="0.2">
      <c r="A929" s="5">
        <v>868</v>
      </c>
      <c r="B929" s="138">
        <f>'Expenditures 15-22'!F74</f>
        <v>96454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271608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3000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7635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10528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10528</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108485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119013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3304166</v>
      </c>
      <c r="C1093" s="2" t="s">
        <v>573</v>
      </c>
      <c r="D1093" s="2" t="str">
        <f t="shared" si="16"/>
        <v>Error?</v>
      </c>
    </row>
    <row r="1094" spans="1:4" x14ac:dyDescent="0.2">
      <c r="A1094" s="5">
        <v>1033</v>
      </c>
      <c r="B1094" s="138">
        <f>'Expenditures 15-22'!K16</f>
        <v>53037</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255551</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43211</v>
      </c>
      <c r="C1106" s="2" t="s">
        <v>573</v>
      </c>
      <c r="D1106" s="2" t="str">
        <f t="shared" si="16"/>
        <v>Error?</v>
      </c>
    </row>
    <row r="1107" spans="1:4" x14ac:dyDescent="0.2">
      <c r="A1107" s="5">
        <v>1046</v>
      </c>
      <c r="B1107" s="138">
        <f>'Expenditures 15-22'!K15</f>
        <v>1635</v>
      </c>
      <c r="C1107" s="2" t="s">
        <v>573</v>
      </c>
      <c r="D1107" s="2" t="str">
        <f t="shared" si="16"/>
        <v>Error?</v>
      </c>
    </row>
    <row r="1108" spans="1:4" x14ac:dyDescent="0.2">
      <c r="A1108" s="5">
        <v>1047</v>
      </c>
      <c r="B1108" s="138">
        <f>'Expenditures 15-22'!K33</f>
        <v>4537468</v>
      </c>
      <c r="C1108" s="2" t="s">
        <v>573</v>
      </c>
      <c r="D1108" s="2" t="str">
        <f t="shared" si="16"/>
        <v>Error?</v>
      </c>
    </row>
    <row r="1109" spans="1:4" x14ac:dyDescent="0.2">
      <c r="A1109" s="5">
        <v>1048</v>
      </c>
      <c r="B1109" s="138">
        <f>'Expenditures 15-22'!K36</f>
        <v>68057</v>
      </c>
      <c r="C1109" s="2" t="s">
        <v>573</v>
      </c>
      <c r="D1109" s="2" t="str">
        <f t="shared" si="16"/>
        <v>Error?</v>
      </c>
    </row>
    <row r="1110" spans="1:4" x14ac:dyDescent="0.2">
      <c r="A1110" s="5">
        <v>1049</v>
      </c>
      <c r="B1110" s="138">
        <f>'Expenditures 15-22'!K37</f>
        <v>4938</v>
      </c>
      <c r="C1110" s="2" t="s">
        <v>573</v>
      </c>
      <c r="D1110" s="2" t="str">
        <f t="shared" si="16"/>
        <v>Error?</v>
      </c>
    </row>
    <row r="1111" spans="1:4" x14ac:dyDescent="0.2">
      <c r="A1111" s="5">
        <v>1050</v>
      </c>
      <c r="B1111" s="138">
        <f>'Expenditures 15-22'!K38</f>
        <v>58817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86930</v>
      </c>
      <c r="C1113" s="2" t="s">
        <v>573</v>
      </c>
      <c r="D1113" s="2" t="str">
        <f t="shared" si="16"/>
        <v>Error?</v>
      </c>
    </row>
    <row r="1114" spans="1:4" x14ac:dyDescent="0.2">
      <c r="A1114" s="5">
        <v>1053</v>
      </c>
      <c r="B1114" s="138">
        <f>'Expenditures 15-22'!K41</f>
        <v>129712</v>
      </c>
      <c r="C1114" s="2" t="s">
        <v>573</v>
      </c>
      <c r="D1114" s="2" t="str">
        <f t="shared" si="16"/>
        <v>Error?</v>
      </c>
    </row>
    <row r="1115" spans="1:4" x14ac:dyDescent="0.2">
      <c r="A1115" s="5">
        <v>1054</v>
      </c>
      <c r="B1115" s="138">
        <f>'Expenditures 15-22'!K42</f>
        <v>348454</v>
      </c>
      <c r="C1115" s="2" t="s">
        <v>573</v>
      </c>
      <c r="D1115" s="2" t="str">
        <f t="shared" si="16"/>
        <v>Error?</v>
      </c>
    </row>
    <row r="1116" spans="1:4" x14ac:dyDescent="0.2">
      <c r="A1116" s="5">
        <v>1055</v>
      </c>
      <c r="B1116" s="138">
        <f>'Expenditures 15-22'!K44</f>
        <v>66652</v>
      </c>
      <c r="C1116" s="2" t="s">
        <v>573</v>
      </c>
      <c r="D1116" s="2" t="str">
        <f t="shared" si="16"/>
        <v>Error?</v>
      </c>
    </row>
    <row r="1117" spans="1:4" x14ac:dyDescent="0.2">
      <c r="A1117" s="5">
        <v>1056</v>
      </c>
      <c r="B1117" s="138">
        <f>'Expenditures 15-22'!K45</f>
        <v>43244</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109896</v>
      </c>
      <c r="C1119" s="2" t="s">
        <v>573</v>
      </c>
      <c r="D1119" s="2" t="str">
        <f t="shared" si="16"/>
        <v>Error?</v>
      </c>
    </row>
    <row r="1120" spans="1:4" x14ac:dyDescent="0.2">
      <c r="A1120" s="5">
        <v>1059</v>
      </c>
      <c r="B1120" s="138">
        <f>'Expenditures 15-22'!K49</f>
        <v>26239</v>
      </c>
      <c r="C1120" s="2" t="s">
        <v>573</v>
      </c>
      <c r="D1120" s="2" t="str">
        <f t="shared" si="16"/>
        <v>Error?</v>
      </c>
    </row>
    <row r="1121" spans="1:4" x14ac:dyDescent="0.2">
      <c r="A1121" s="5">
        <v>1060</v>
      </c>
      <c r="B1121" s="138">
        <f>'Expenditures 15-22'!K50</f>
        <v>309701</v>
      </c>
      <c r="C1121" s="2" t="s">
        <v>573</v>
      </c>
      <c r="D1121" s="2" t="str">
        <f t="shared" si="16"/>
        <v>Error?</v>
      </c>
    </row>
    <row r="1122" spans="1:4" x14ac:dyDescent="0.2">
      <c r="A1122" s="5">
        <v>1061</v>
      </c>
      <c r="B1122" s="138">
        <f>'Expenditures 15-22'!K53</f>
        <v>335940</v>
      </c>
      <c r="C1122" s="2" t="s">
        <v>573</v>
      </c>
      <c r="D1122" s="2" t="str">
        <f t="shared" si="16"/>
        <v>Error?</v>
      </c>
    </row>
    <row r="1123" spans="1:4" x14ac:dyDescent="0.2">
      <c r="A1123" s="5">
        <v>1062</v>
      </c>
      <c r="B1123" s="138">
        <f>'Expenditures 15-22'!K55</f>
        <v>302265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302265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115308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182655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297963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18210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33238</v>
      </c>
      <c r="C1139" s="2" t="s">
        <v>573</v>
      </c>
      <c r="D1139" s="2" t="str">
        <f t="shared" si="16"/>
        <v>Error?</v>
      </c>
    </row>
    <row r="1140" spans="1:4" x14ac:dyDescent="0.2">
      <c r="A1140" s="10">
        <v>1079</v>
      </c>
      <c r="D1140" s="2" t="str">
        <f t="shared" si="16"/>
        <v>OK</v>
      </c>
    </row>
    <row r="1141" spans="1:4" x14ac:dyDescent="0.2">
      <c r="A1141" s="5">
        <v>1080</v>
      </c>
      <c r="B1141" s="138">
        <f>'Expenditures 15-22'!K72</f>
        <v>51448</v>
      </c>
      <c r="C1141" s="2" t="s">
        <v>573</v>
      </c>
      <c r="D1141" s="2" t="str">
        <f t="shared" si="16"/>
        <v>Error?</v>
      </c>
    </row>
    <row r="1142" spans="1:4" x14ac:dyDescent="0.2">
      <c r="A1142" s="5">
        <v>1081</v>
      </c>
      <c r="B1142" s="138">
        <f>'Expenditures 15-22'!K73</f>
        <v>294</v>
      </c>
      <c r="C1142" s="2" t="s">
        <v>573</v>
      </c>
      <c r="D1142" s="2" t="str">
        <f t="shared" si="16"/>
        <v>Error?</v>
      </c>
    </row>
    <row r="1143" spans="1:4" x14ac:dyDescent="0.2">
      <c r="A1143" s="5">
        <v>1082</v>
      </c>
      <c r="B1143" s="138">
        <f>'Expenditures 15-22'!K74</f>
        <v>1446260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261822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6245550</v>
      </c>
      <c r="C1152" s="2" t="s">
        <v>573</v>
      </c>
      <c r="D1152" s="2" t="str">
        <f t="shared" si="17"/>
        <v>Error?</v>
      </c>
    </row>
    <row r="1153" spans="1:4" x14ac:dyDescent="0.2">
      <c r="A1153" s="5">
        <v>1092</v>
      </c>
      <c r="B1153" s="138">
        <f>'Expenditures 15-22'!K115</f>
        <v>360113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340846</v>
      </c>
      <c r="D1221" s="2" t="str">
        <f t="shared" si="18"/>
        <v>Error?</v>
      </c>
    </row>
    <row r="1222" spans="1:4" x14ac:dyDescent="0.2">
      <c r="A1222" s="10">
        <v>1161</v>
      </c>
      <c r="D1222" s="2" t="str">
        <f t="shared" si="18"/>
        <v>OK</v>
      </c>
    </row>
    <row r="1223" spans="1:4" x14ac:dyDescent="0.2">
      <c r="A1223" s="5">
        <v>1162</v>
      </c>
      <c r="B1223" s="138">
        <f>'Expenditures 15-22'!C127</f>
        <v>340846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340846</v>
      </c>
      <c r="C1225" s="2" t="s">
        <v>573</v>
      </c>
      <c r="D1225" s="2" t="str">
        <f t="shared" si="18"/>
        <v>Error?</v>
      </c>
    </row>
    <row r="1226" spans="1:4" x14ac:dyDescent="0.2">
      <c r="A1226" s="5">
        <v>1165</v>
      </c>
      <c r="B1226" s="138">
        <f>'Expenditures 15-22'!C151</f>
        <v>340846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52910</v>
      </c>
      <c r="D1229" s="2" t="str">
        <f t="shared" si="18"/>
        <v>Error?</v>
      </c>
    </row>
    <row r="1230" spans="1:4" x14ac:dyDescent="0.2">
      <c r="A1230" s="10">
        <v>1169</v>
      </c>
      <c r="D1230" s="2" t="str">
        <f t="shared" si="18"/>
        <v>OK</v>
      </c>
    </row>
    <row r="1231" spans="1:4" x14ac:dyDescent="0.2">
      <c r="A1231" s="5">
        <v>1170</v>
      </c>
      <c r="B1231" s="138">
        <f>'Expenditures 15-22'!D127</f>
        <v>52910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52910</v>
      </c>
      <c r="C1233" s="2" t="s">
        <v>573</v>
      </c>
      <c r="D1233" s="2" t="str">
        <f t="shared" si="18"/>
        <v>Error?</v>
      </c>
    </row>
    <row r="1234" spans="1:4" x14ac:dyDescent="0.2">
      <c r="A1234" s="5">
        <v>1173</v>
      </c>
      <c r="B1234" s="138">
        <f>'Expenditures 15-22'!D151</f>
        <v>52910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93383</v>
      </c>
      <c r="D1237" s="2" t="str">
        <f t="shared" si="18"/>
        <v>Error?</v>
      </c>
    </row>
    <row r="1238" spans="1:4" x14ac:dyDescent="0.2">
      <c r="A1238" s="10">
        <v>1177</v>
      </c>
      <c r="D1238" s="2" t="str">
        <f t="shared" si="18"/>
        <v>OK</v>
      </c>
    </row>
    <row r="1239" spans="1:4" x14ac:dyDescent="0.2">
      <c r="A1239" s="5">
        <v>1178</v>
      </c>
      <c r="B1239" s="138">
        <f>'Expenditures 15-22'!E127</f>
        <v>93383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93383</v>
      </c>
      <c r="C1241" s="2" t="s">
        <v>573</v>
      </c>
      <c r="D1241" s="2" t="str">
        <f t="shared" si="18"/>
        <v>Error?</v>
      </c>
    </row>
    <row r="1242" spans="1:4" x14ac:dyDescent="0.2">
      <c r="A1242" s="5">
        <v>1181</v>
      </c>
      <c r="B1242" s="138">
        <f>'Expenditures 15-22'!E151</f>
        <v>93383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119587</v>
      </c>
      <c r="D1245" s="2" t="str">
        <f t="shared" si="18"/>
        <v>Error?</v>
      </c>
    </row>
    <row r="1246" spans="1:4" x14ac:dyDescent="0.2">
      <c r="A1246" s="10">
        <v>1185</v>
      </c>
      <c r="D1246" s="2" t="str">
        <f t="shared" si="18"/>
        <v>OK</v>
      </c>
    </row>
    <row r="1247" spans="1:4" x14ac:dyDescent="0.2">
      <c r="A1247" s="5">
        <v>1186</v>
      </c>
      <c r="B1247" s="138">
        <f>'Expenditures 15-22'!F127</f>
        <v>119587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119587</v>
      </c>
      <c r="C1249" s="2" t="s">
        <v>573</v>
      </c>
      <c r="D1249" s="2" t="str">
        <f t="shared" si="18"/>
        <v>Error?</v>
      </c>
    </row>
    <row r="1250" spans="1:4" x14ac:dyDescent="0.2">
      <c r="A1250" s="5">
        <v>1189</v>
      </c>
      <c r="B1250" s="138">
        <f>'Expenditures 15-22'!F151</f>
        <v>119587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32755</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32755</v>
      </c>
      <c r="C1256" s="2" t="s">
        <v>573</v>
      </c>
      <c r="D1256" s="2" t="str">
        <f t="shared" si="18"/>
        <v>Error?</v>
      </c>
    </row>
    <row r="1257" spans="1:4" x14ac:dyDescent="0.2">
      <c r="A1257" s="5">
        <v>1196</v>
      </c>
      <c r="B1257" s="138">
        <f>'Expenditures 15-22'!G128</f>
        <v>9470</v>
      </c>
      <c r="D1257" s="2" t="str">
        <f t="shared" si="18"/>
        <v>Error?</v>
      </c>
    </row>
    <row r="1258" spans="1:4" x14ac:dyDescent="0.2">
      <c r="A1258" s="5">
        <v>1197</v>
      </c>
      <c r="B1258" s="138">
        <f>'Expenditures 15-22'!G129</f>
        <v>42225</v>
      </c>
      <c r="C1258" s="2" t="s">
        <v>573</v>
      </c>
      <c r="D1258" s="2" t="str">
        <f t="shared" si="18"/>
        <v>Error?</v>
      </c>
    </row>
    <row r="1259" spans="1:4" x14ac:dyDescent="0.2">
      <c r="A1259" s="5">
        <v>1198</v>
      </c>
      <c r="B1259" s="138">
        <f>'Expenditures 15-22'!G151</f>
        <v>42225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11147</v>
      </c>
      <c r="D1262" s="2" t="str">
        <f t="shared" si="18"/>
        <v>Error?</v>
      </c>
    </row>
    <row r="1263" spans="1:4" x14ac:dyDescent="0.2">
      <c r="A1263" s="10">
        <v>1202</v>
      </c>
      <c r="D1263" s="2" t="str">
        <f t="shared" si="18"/>
        <v>OK</v>
      </c>
    </row>
    <row r="1264" spans="1:4" x14ac:dyDescent="0.2">
      <c r="A1264" s="5">
        <v>1203</v>
      </c>
      <c r="B1264" s="138">
        <f>'Expenditures 15-22'!H127</f>
        <v>11147</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11147</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11147</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37743</v>
      </c>
      <c r="C1275" s="2" t="s">
        <v>573</v>
      </c>
      <c r="D1275" s="2" t="str">
        <f t="shared" si="18"/>
        <v>Error?</v>
      </c>
    </row>
    <row r="1276" spans="1:4" x14ac:dyDescent="0.2">
      <c r="A1276" s="5">
        <v>1215</v>
      </c>
      <c r="B1276" s="138">
        <f>'Expenditures 15-22'!K124</f>
        <v>617873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655616</v>
      </c>
      <c r="C1279" s="2" t="s">
        <v>573</v>
      </c>
      <c r="D1279" s="2" t="str">
        <f t="shared" ref="D1279:D1342" si="19">IF(ISBLANK(B1279),"OK",IF(A1279-B1279=0,"OK","Error?"))</f>
        <v>Error?</v>
      </c>
    </row>
    <row r="1280" spans="1:4" x14ac:dyDescent="0.2">
      <c r="A1280" s="5">
        <v>1219</v>
      </c>
      <c r="B1280" s="138">
        <f>'Expenditures 15-22'!K128</f>
        <v>9470</v>
      </c>
      <c r="C1280" s="2" t="s">
        <v>573</v>
      </c>
      <c r="D1280" s="2" t="str">
        <f t="shared" si="19"/>
        <v>Error?</v>
      </c>
    </row>
    <row r="1281" spans="1:4" x14ac:dyDescent="0.2">
      <c r="A1281" s="5">
        <v>1220</v>
      </c>
      <c r="B1281" s="138">
        <f>'Expenditures 15-22'!K129</f>
        <v>665086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665086</v>
      </c>
      <c r="C1288" s="2" t="s">
        <v>573</v>
      </c>
      <c r="D1288" s="2" t="str">
        <f t="shared" si="19"/>
        <v>Error?</v>
      </c>
    </row>
    <row r="1289" spans="1:4" x14ac:dyDescent="0.2">
      <c r="A1289" s="5">
        <v>1228</v>
      </c>
      <c r="B1289" s="138">
        <f>'Expenditures 15-22'!K152</f>
        <v>98244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66301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151301</v>
      </c>
      <c r="C1317" s="2" t="s">
        <v>573</v>
      </c>
      <c r="D1317" s="2" t="str">
        <f t="shared" si="19"/>
        <v>Error?</v>
      </c>
    </row>
    <row r="1318" spans="1:4" x14ac:dyDescent="0.2">
      <c r="A1318" s="5">
        <v>1257</v>
      </c>
      <c r="B1318" s="138">
        <f>'Expenditures 15-22'!H174</f>
        <v>151301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66301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151301</v>
      </c>
      <c r="C1331" s="2" t="s">
        <v>573</v>
      </c>
      <c r="D1331" s="2" t="str">
        <f t="shared" si="19"/>
        <v>Error?</v>
      </c>
    </row>
    <row r="1332" spans="1:4" x14ac:dyDescent="0.2">
      <c r="A1332" s="5">
        <v>1271</v>
      </c>
      <c r="B1332" s="138">
        <f>'Expenditures 15-22'!K174</f>
        <v>151301</v>
      </c>
      <c r="C1332" s="2" t="s">
        <v>573</v>
      </c>
      <c r="D1332" s="2" t="str">
        <f t="shared" si="19"/>
        <v>Error?</v>
      </c>
    </row>
    <row r="1333" spans="1:4" x14ac:dyDescent="0.2">
      <c r="A1333" s="5">
        <v>1272</v>
      </c>
      <c r="B1333" s="138">
        <f>'Expenditures 15-22'!K175</f>
        <v>3970</v>
      </c>
      <c r="C1333" s="2" t="s">
        <v>573</v>
      </c>
      <c r="D1333" s="2" t="str">
        <f t="shared" si="19"/>
        <v>Error?</v>
      </c>
    </row>
    <row r="1334" spans="1:4" x14ac:dyDescent="0.2">
      <c r="A1334" s="10">
        <v>1273</v>
      </c>
      <c r="D1334" s="2" t="str">
        <f t="shared" si="19"/>
        <v>OK</v>
      </c>
    </row>
    <row r="1335" spans="1:4" x14ac:dyDescent="0.2">
      <c r="A1335" s="5">
        <v>1274</v>
      </c>
      <c r="B1335" s="138">
        <f>'Expenditures 15-22'!C182</f>
        <v>40331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40331</v>
      </c>
      <c r="C1339" s="2" t="s">
        <v>573</v>
      </c>
      <c r="D1339" s="2" t="str">
        <f t="shared" si="19"/>
        <v>Error?</v>
      </c>
    </row>
    <row r="1340" spans="1:4" x14ac:dyDescent="0.2">
      <c r="A1340" s="5">
        <v>1279</v>
      </c>
      <c r="B1340" s="138">
        <f>'Expenditures 15-22'!C210</f>
        <v>40331</v>
      </c>
      <c r="C1340" s="2" t="s">
        <v>573</v>
      </c>
      <c r="D1340" s="2" t="str">
        <f t="shared" si="19"/>
        <v>Error?</v>
      </c>
    </row>
    <row r="1341" spans="1:4" x14ac:dyDescent="0.2">
      <c r="A1341" s="5">
        <v>1280</v>
      </c>
      <c r="B1341" s="138">
        <f>'Expenditures 15-22'!D182</f>
        <v>4427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4427</v>
      </c>
      <c r="C1345" s="2" t="s">
        <v>573</v>
      </c>
      <c r="D1345" s="2" t="str">
        <f t="shared" si="20"/>
        <v>Error?</v>
      </c>
    </row>
    <row r="1346" spans="1:4" x14ac:dyDescent="0.2">
      <c r="A1346" s="5">
        <v>1285</v>
      </c>
      <c r="B1346" s="138">
        <f>'Expenditures 15-22'!D210</f>
        <v>4427</v>
      </c>
      <c r="C1346" s="2" t="s">
        <v>573</v>
      </c>
      <c r="D1346" s="2" t="str">
        <f t="shared" si="20"/>
        <v>Error?</v>
      </c>
    </row>
    <row r="1347" spans="1:4" x14ac:dyDescent="0.2">
      <c r="A1347" s="5">
        <v>1286</v>
      </c>
      <c r="B1347" s="138">
        <f>'Expenditures 15-22'!E182</f>
        <v>129426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129426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129426</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174184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174184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174184</v>
      </c>
      <c r="C1388" s="2" t="s">
        <v>573</v>
      </c>
      <c r="D1388" s="2" t="str">
        <f t="shared" si="20"/>
        <v>Error?</v>
      </c>
    </row>
    <row r="1389" spans="1:4" x14ac:dyDescent="0.2">
      <c r="A1389" s="5">
        <v>1328</v>
      </c>
      <c r="B1389" s="138">
        <f>'Expenditures 15-22'!K211</f>
        <v>53178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661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6683</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298</v>
      </c>
      <c r="D1408" s="2" t="str">
        <f t="shared" si="21"/>
        <v>Error?</v>
      </c>
    </row>
    <row r="1409" spans="1:4" x14ac:dyDescent="0.2">
      <c r="A1409" s="5">
        <v>1348</v>
      </c>
      <c r="B1409" s="138">
        <f>'Expenditures 15-22'!D224</f>
        <v>23</v>
      </c>
      <c r="D1409" s="2" t="str">
        <f t="shared" si="21"/>
        <v>Error?</v>
      </c>
    </row>
    <row r="1410" spans="1:4" x14ac:dyDescent="0.2">
      <c r="A1410" s="5">
        <v>1349</v>
      </c>
      <c r="B1410" s="138">
        <f>'Expenditures 15-22'!D229</f>
        <v>111427</v>
      </c>
      <c r="C1410" s="2" t="s">
        <v>573</v>
      </c>
      <c r="D1410" s="2" t="str">
        <f t="shared" si="21"/>
        <v>Error?</v>
      </c>
    </row>
    <row r="1411" spans="1:4" x14ac:dyDescent="0.2">
      <c r="A1411" s="5">
        <v>1350</v>
      </c>
      <c r="B1411" s="138">
        <f>'Expenditures 15-22'!D232</f>
        <v>828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10155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953</v>
      </c>
      <c r="D1415" s="2" t="str">
        <f t="shared" si="21"/>
        <v>Error?</v>
      </c>
    </row>
    <row r="1416" spans="1:4" x14ac:dyDescent="0.2">
      <c r="A1416" s="5">
        <v>1355</v>
      </c>
      <c r="B1416" s="138">
        <f>'Expenditures 15-22'!D237</f>
        <v>2478</v>
      </c>
      <c r="D1416" s="2" t="str">
        <f t="shared" si="21"/>
        <v>Error?</v>
      </c>
    </row>
    <row r="1417" spans="1:4" x14ac:dyDescent="0.2">
      <c r="A1417" s="5">
        <v>1356</v>
      </c>
      <c r="B1417" s="138">
        <f>'Expenditures 15-22'!D238</f>
        <v>14414</v>
      </c>
      <c r="C1417" s="2" t="s">
        <v>573</v>
      </c>
      <c r="D1417" s="2" t="str">
        <f t="shared" si="21"/>
        <v>Error?</v>
      </c>
    </row>
    <row r="1418" spans="1:4" x14ac:dyDescent="0.2">
      <c r="A1418" s="5">
        <v>1357</v>
      </c>
      <c r="B1418" s="138">
        <f>'Expenditures 15-22'!D240</f>
        <v>796</v>
      </c>
      <c r="D1418" s="2" t="str">
        <f t="shared" si="21"/>
        <v>Error?</v>
      </c>
    </row>
    <row r="1419" spans="1:4" x14ac:dyDescent="0.2">
      <c r="A1419" s="5">
        <v>1358</v>
      </c>
      <c r="B1419" s="138">
        <f>'Expenditures 15-22'!D241</f>
        <v>6026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6822</v>
      </c>
      <c r="C1421" s="2" t="s">
        <v>573</v>
      </c>
      <c r="D1421" s="2" t="str">
        <f t="shared" si="21"/>
        <v>Error?</v>
      </c>
    </row>
    <row r="1422" spans="1:4" x14ac:dyDescent="0.2">
      <c r="A1422" s="5">
        <v>1361</v>
      </c>
      <c r="B1422" s="138">
        <f>'Expenditures 15-22'!D245</f>
        <v>271</v>
      </c>
      <c r="D1422" s="2" t="str">
        <f t="shared" si="21"/>
        <v>Error?</v>
      </c>
    </row>
    <row r="1423" spans="1:4" x14ac:dyDescent="0.2">
      <c r="A1423" s="5">
        <v>1362</v>
      </c>
      <c r="B1423" s="138">
        <f>'Expenditures 15-22'!D246</f>
        <v>18148</v>
      </c>
      <c r="D1423" s="2" t="str">
        <f t="shared" si="21"/>
        <v>Error?</v>
      </c>
    </row>
    <row r="1424" spans="1:4" x14ac:dyDescent="0.2">
      <c r="A1424" s="5">
        <v>1363</v>
      </c>
      <c r="B1424" s="138">
        <f>'Expenditures 15-22'!D257</f>
        <v>18419</v>
      </c>
      <c r="C1424" s="2" t="s">
        <v>573</v>
      </c>
      <c r="D1424" s="2" t="str">
        <f t="shared" si="21"/>
        <v>Error?</v>
      </c>
    </row>
    <row r="1425" spans="1:4" x14ac:dyDescent="0.2">
      <c r="A1425" s="5">
        <v>1364</v>
      </c>
      <c r="B1425" s="138">
        <f>'Expenditures 15-22'!D259</f>
        <v>29081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29081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1400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64660</v>
      </c>
      <c r="D1431" s="2" t="str">
        <f t="shared" si="21"/>
        <v>Error?</v>
      </c>
    </row>
    <row r="1432" spans="1:4" x14ac:dyDescent="0.2">
      <c r="A1432" s="5">
        <v>1371</v>
      </c>
      <c r="B1432" s="138">
        <f>'Expenditures 15-22'!D267</f>
        <v>8090</v>
      </c>
      <c r="D1432" s="2" t="str">
        <f t="shared" si="21"/>
        <v>Error?</v>
      </c>
    </row>
    <row r="1433" spans="1:4" x14ac:dyDescent="0.2">
      <c r="A1433" s="5">
        <v>1372</v>
      </c>
      <c r="B1433" s="138">
        <f>'Expenditures 15-22'!D268</f>
        <v>3851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78001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146737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258164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661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6683</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298</v>
      </c>
      <c r="C1472" s="2" t="s">
        <v>573</v>
      </c>
      <c r="D1472" s="2" t="str">
        <f t="shared" si="22"/>
        <v>Error?</v>
      </c>
    </row>
    <row r="1473" spans="1:4" x14ac:dyDescent="0.2">
      <c r="A1473" s="5">
        <v>1412</v>
      </c>
      <c r="B1473" s="138">
        <f>'Expenditures 15-22'!K224</f>
        <v>23</v>
      </c>
      <c r="C1473" s="2" t="s">
        <v>573</v>
      </c>
      <c r="D1473" s="2" t="str">
        <f t="shared" si="22"/>
        <v>Error?</v>
      </c>
    </row>
    <row r="1474" spans="1:4" x14ac:dyDescent="0.2">
      <c r="A1474" s="5">
        <v>1413</v>
      </c>
      <c r="B1474" s="138">
        <f>'Expenditures 15-22'!K229</f>
        <v>111427</v>
      </c>
      <c r="C1474" s="2" t="s">
        <v>573</v>
      </c>
      <c r="D1474" s="2" t="str">
        <f t="shared" si="22"/>
        <v>Error?</v>
      </c>
    </row>
    <row r="1475" spans="1:4" x14ac:dyDescent="0.2">
      <c r="A1475" s="5">
        <v>1414</v>
      </c>
      <c r="B1475" s="138">
        <f>'Expenditures 15-22'!K232</f>
        <v>828</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10155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953</v>
      </c>
      <c r="C1479" s="2" t="s">
        <v>573</v>
      </c>
      <c r="D1479" s="2" t="str">
        <f t="shared" si="22"/>
        <v>Error?</v>
      </c>
    </row>
    <row r="1480" spans="1:4" x14ac:dyDescent="0.2">
      <c r="A1480" s="5">
        <v>1419</v>
      </c>
      <c r="B1480" s="138">
        <f>'Expenditures 15-22'!K237</f>
        <v>2478</v>
      </c>
      <c r="C1480" s="2" t="s">
        <v>573</v>
      </c>
      <c r="D1480" s="2" t="str">
        <f t="shared" si="22"/>
        <v>Error?</v>
      </c>
    </row>
    <row r="1481" spans="1:4" x14ac:dyDescent="0.2">
      <c r="A1481" s="5">
        <v>1420</v>
      </c>
      <c r="B1481" s="138">
        <f>'Expenditures 15-22'!K238</f>
        <v>14414</v>
      </c>
      <c r="C1481" s="2" t="s">
        <v>573</v>
      </c>
      <c r="D1481" s="2" t="str">
        <f t="shared" si="22"/>
        <v>Error?</v>
      </c>
    </row>
    <row r="1482" spans="1:4" x14ac:dyDescent="0.2">
      <c r="A1482" s="5">
        <v>1421</v>
      </c>
      <c r="B1482" s="138">
        <f>'Expenditures 15-22'!K240</f>
        <v>796</v>
      </c>
      <c r="C1482" s="2" t="s">
        <v>573</v>
      </c>
      <c r="D1482" s="2" t="str">
        <f t="shared" si="22"/>
        <v>Error?</v>
      </c>
    </row>
    <row r="1483" spans="1:4" x14ac:dyDescent="0.2">
      <c r="A1483" s="5">
        <v>1422</v>
      </c>
      <c r="B1483" s="138">
        <f>'Expenditures 15-22'!K241</f>
        <v>6026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6822</v>
      </c>
      <c r="C1485" s="2" t="s">
        <v>573</v>
      </c>
      <c r="D1485" s="2" t="str">
        <f t="shared" si="22"/>
        <v>Error?</v>
      </c>
    </row>
    <row r="1486" spans="1:4" x14ac:dyDescent="0.2">
      <c r="A1486" s="5">
        <v>1425</v>
      </c>
      <c r="B1486" s="138">
        <f>'Expenditures 15-22'!K245</f>
        <v>271</v>
      </c>
      <c r="C1486" s="2" t="s">
        <v>573</v>
      </c>
      <c r="D1486" s="2" t="str">
        <f t="shared" si="22"/>
        <v>Error?</v>
      </c>
    </row>
    <row r="1487" spans="1:4" x14ac:dyDescent="0.2">
      <c r="A1487" s="5">
        <v>1426</v>
      </c>
      <c r="B1487" s="138">
        <f>'Expenditures 15-22'!K246</f>
        <v>18148</v>
      </c>
      <c r="C1487" s="2" t="s">
        <v>573</v>
      </c>
      <c r="D1487" s="2" t="str">
        <f t="shared" si="22"/>
        <v>Error?</v>
      </c>
    </row>
    <row r="1488" spans="1:4" x14ac:dyDescent="0.2">
      <c r="A1488" s="5">
        <v>1427</v>
      </c>
      <c r="B1488" s="138">
        <f>'Expenditures 15-22'!K257</f>
        <v>18419</v>
      </c>
      <c r="C1488" s="2" t="s">
        <v>573</v>
      </c>
      <c r="D1488" s="2" t="str">
        <f t="shared" si="22"/>
        <v>Error?</v>
      </c>
    </row>
    <row r="1489" spans="1:4" x14ac:dyDescent="0.2">
      <c r="A1489" s="5">
        <v>1428</v>
      </c>
      <c r="B1489" s="138">
        <f>'Expenditures 15-22'!K259</f>
        <v>29081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29081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1400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64660</v>
      </c>
      <c r="C1495" s="2" t="s">
        <v>573</v>
      </c>
      <c r="D1495" s="2" t="str">
        <f t="shared" si="22"/>
        <v>Error?</v>
      </c>
    </row>
    <row r="1496" spans="1:4" x14ac:dyDescent="0.2">
      <c r="A1496" s="5">
        <v>1435</v>
      </c>
      <c r="B1496" s="138">
        <f>'Expenditures 15-22'!K267</f>
        <v>8090</v>
      </c>
      <c r="C1496" s="2" t="s">
        <v>573</v>
      </c>
      <c r="D1496" s="2" t="str">
        <f t="shared" si="22"/>
        <v>Error?</v>
      </c>
    </row>
    <row r="1497" spans="1:4" x14ac:dyDescent="0.2">
      <c r="A1497" s="5">
        <v>1436</v>
      </c>
      <c r="B1497" s="138">
        <f>'Expenditures 15-22'!K268</f>
        <v>3851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78001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146737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258164</v>
      </c>
      <c r="C1517" s="2" t="s">
        <v>573</v>
      </c>
      <c r="D1517" s="2" t="str">
        <f t="shared" si="22"/>
        <v>Error?</v>
      </c>
    </row>
    <row r="1518" spans="1:4" x14ac:dyDescent="0.2">
      <c r="A1518" s="5">
        <v>1457</v>
      </c>
      <c r="B1518" s="138">
        <f>'Expenditures 15-22'!K296</f>
        <v>-63134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1300629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1660742</v>
      </c>
      <c r="C1630" s="2" t="s">
        <v>573</v>
      </c>
      <c r="D1630" s="2" t="str">
        <f t="shared" si="24"/>
        <v>Error?</v>
      </c>
    </row>
    <row r="1631" spans="1:4" x14ac:dyDescent="0.2">
      <c r="A1631" s="5">
        <v>1570</v>
      </c>
      <c r="B1631" s="138">
        <f>'Acct Summary 7-8'!D79</f>
        <v>372108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470352</v>
      </c>
      <c r="C1644" s="2" t="s">
        <v>573</v>
      </c>
      <c r="D1644" s="2" t="str">
        <f t="shared" si="24"/>
        <v>Error?</v>
      </c>
    </row>
    <row r="1645" spans="1:4" x14ac:dyDescent="0.2">
      <c r="A1645" s="5">
        <v>1584</v>
      </c>
      <c r="B1645" s="138">
        <f>'Acct Summary 7-8'!E79</f>
        <v>69504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73474</v>
      </c>
      <c r="C1658" s="2" t="s">
        <v>573</v>
      </c>
      <c r="D1658" s="2" t="str">
        <f t="shared" si="24"/>
        <v>Error?</v>
      </c>
    </row>
    <row r="1659" spans="1:4" x14ac:dyDescent="0.2">
      <c r="A1659" s="5">
        <v>1598</v>
      </c>
      <c r="B1659" s="138">
        <f>'Acct Summary 7-8'!F79</f>
        <v>27648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80826</v>
      </c>
      <c r="C1672" s="2" t="s">
        <v>573</v>
      </c>
      <c r="D1672" s="2" t="str">
        <f t="shared" si="25"/>
        <v>Error?</v>
      </c>
    </row>
    <row r="1673" spans="1:4" x14ac:dyDescent="0.2">
      <c r="A1673" s="5">
        <v>1612</v>
      </c>
      <c r="B1673" s="138">
        <f>'Acct Summary 7-8'!G79</f>
        <v>176606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113472</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4443927</v>
      </c>
      <c r="C1744" s="2" t="s">
        <v>573</v>
      </c>
      <c r="D1744" s="2" t="str">
        <f t="shared" si="26"/>
        <v>Error?</v>
      </c>
    </row>
    <row r="1745" spans="1:5" x14ac:dyDescent="0.2">
      <c r="A1745" s="5">
        <v>1684</v>
      </c>
      <c r="B1745" s="138">
        <f>'Tax Sched 23'!B5</f>
        <v>720848</v>
      </c>
      <c r="C1745" s="2" t="s">
        <v>573</v>
      </c>
      <c r="D1745" s="2" t="str">
        <f t="shared" si="26"/>
        <v>Error?</v>
      </c>
    </row>
    <row r="1746" spans="1:5" x14ac:dyDescent="0.2">
      <c r="A1746" s="5">
        <v>1685</v>
      </c>
      <c r="B1746" s="138">
        <f>'Tax Sched 23'!B6</f>
        <v>154759</v>
      </c>
      <c r="C1746" s="2" t="s">
        <v>573</v>
      </c>
      <c r="D1746" s="2" t="str">
        <f t="shared" si="26"/>
        <v>Error?</v>
      </c>
    </row>
    <row r="1747" spans="1:5" x14ac:dyDescent="0.2">
      <c r="A1747" s="5">
        <v>1686</v>
      </c>
      <c r="B1747" s="138">
        <f>'Tax Sched 23'!B7</f>
        <v>77729</v>
      </c>
      <c r="C1747" s="2" t="s">
        <v>573</v>
      </c>
      <c r="D1747" s="2" t="str">
        <f t="shared" si="26"/>
        <v>Error?</v>
      </c>
    </row>
    <row r="1748" spans="1:5" x14ac:dyDescent="0.2">
      <c r="A1748" s="5">
        <v>1687</v>
      </c>
      <c r="B1748" s="138">
        <f>'Tax Sched 23'!B8</f>
        <v>102570</v>
      </c>
      <c r="C1748" s="2" t="s">
        <v>573</v>
      </c>
      <c r="D1748" s="2" t="str">
        <f t="shared" si="26"/>
        <v>Error?</v>
      </c>
    </row>
    <row r="1749" spans="1:5" x14ac:dyDescent="0.2">
      <c r="A1749" s="5">
        <v>1688</v>
      </c>
      <c r="B1749" s="138">
        <f>'Tax Sched 23'!B10</f>
        <v>9442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65841</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60455</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5727292</v>
      </c>
      <c r="C1759" s="2" t="s">
        <v>573</v>
      </c>
      <c r="D1759" s="2" t="str">
        <f t="shared" si="26"/>
        <v>Error?</v>
      </c>
    </row>
    <row r="1760" spans="1:5" x14ac:dyDescent="0.2">
      <c r="A1760" s="5">
        <v>1699</v>
      </c>
      <c r="B1760" s="138">
        <f>'Tax Sched 23'!D4</f>
        <v>2116200</v>
      </c>
      <c r="C1760" s="2" t="s">
        <v>573</v>
      </c>
      <c r="D1760" s="2" t="str">
        <f t="shared" si="26"/>
        <v>Error?</v>
      </c>
    </row>
    <row r="1761" spans="1:5" x14ac:dyDescent="0.2">
      <c r="A1761" s="5">
        <v>1700</v>
      </c>
      <c r="B1761" s="138">
        <f>'Tax Sched 23'!D5</f>
        <v>316838</v>
      </c>
      <c r="C1761" s="2" t="s">
        <v>573</v>
      </c>
      <c r="D1761" s="2" t="str">
        <f t="shared" si="26"/>
        <v>Error?</v>
      </c>
    </row>
    <row r="1762" spans="1:5" s="8" customFormat="1" x14ac:dyDescent="0.2">
      <c r="A1762" s="5">
        <v>1701</v>
      </c>
      <c r="B1762" s="138">
        <f>'Tax Sched 23'!D6</f>
        <v>72642</v>
      </c>
      <c r="C1762" s="2" t="s">
        <v>573</v>
      </c>
      <c r="D1762" s="2" t="str">
        <f t="shared" si="26"/>
        <v>Error?</v>
      </c>
      <c r="E1762" s="9"/>
    </row>
    <row r="1763" spans="1:5" x14ac:dyDescent="0.2">
      <c r="A1763" s="5">
        <v>1702</v>
      </c>
      <c r="B1763" s="138">
        <f>'Tax Sched 23'!D7</f>
        <v>23861</v>
      </c>
      <c r="C1763" s="2" t="s">
        <v>573</v>
      </c>
      <c r="D1763" s="2" t="str">
        <f t="shared" si="26"/>
        <v>Error?</v>
      </c>
    </row>
    <row r="1764" spans="1:5" x14ac:dyDescent="0.2">
      <c r="A1764" s="5">
        <v>1703</v>
      </c>
      <c r="B1764" s="138">
        <f>'Tax Sched 23'!D8</f>
        <v>32542</v>
      </c>
      <c r="C1764" s="2" t="s">
        <v>573</v>
      </c>
      <c r="D1764" s="2" t="str">
        <f t="shared" si="26"/>
        <v>Error?</v>
      </c>
    </row>
    <row r="1765" spans="1:5" x14ac:dyDescent="0.2">
      <c r="A1765" s="5">
        <v>1704</v>
      </c>
      <c r="B1765" s="138">
        <f>'Tax Sched 23'!D10</f>
        <v>2708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17360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17361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2621205</v>
      </c>
      <c r="C1775" s="2" t="s">
        <v>573</v>
      </c>
      <c r="D1775" s="2" t="str">
        <f t="shared" si="26"/>
        <v>Error?</v>
      </c>
    </row>
    <row r="1776" spans="1:5" x14ac:dyDescent="0.2">
      <c r="A1776" s="5">
        <v>1715</v>
      </c>
      <c r="B1776" s="138">
        <f>'Tax Sched 23'!C4</f>
        <v>2327727</v>
      </c>
      <c r="D1776" s="2" t="str">
        <f t="shared" si="26"/>
        <v>Error?</v>
      </c>
    </row>
    <row r="1777" spans="1:4" x14ac:dyDescent="0.2">
      <c r="A1777" s="5">
        <v>1716</v>
      </c>
      <c r="B1777" s="138">
        <f>'Tax Sched 23'!C5</f>
        <v>404010</v>
      </c>
      <c r="D1777" s="2" t="str">
        <f t="shared" si="26"/>
        <v>Error?</v>
      </c>
    </row>
    <row r="1778" spans="1:4" x14ac:dyDescent="0.2">
      <c r="A1778" s="5">
        <v>1717</v>
      </c>
      <c r="B1778" s="138">
        <f>'Tax Sched 23'!C6</f>
        <v>82117</v>
      </c>
      <c r="D1778" s="2" t="str">
        <f t="shared" si="26"/>
        <v>Error?</v>
      </c>
    </row>
    <row r="1779" spans="1:4" x14ac:dyDescent="0.2">
      <c r="A1779" s="5">
        <v>1718</v>
      </c>
      <c r="B1779" s="138">
        <f>'Tax Sched 23'!C7</f>
        <v>53868</v>
      </c>
      <c r="D1779" s="2" t="str">
        <f t="shared" si="26"/>
        <v>Error?</v>
      </c>
    </row>
    <row r="1780" spans="1:4" x14ac:dyDescent="0.2">
      <c r="A1780" s="5">
        <v>1719</v>
      </c>
      <c r="B1780" s="138">
        <f>'Tax Sched 23'!C8</f>
        <v>70028</v>
      </c>
      <c r="D1780" s="2" t="str">
        <f t="shared" si="26"/>
        <v>Error?</v>
      </c>
    </row>
    <row r="1781" spans="1:4" x14ac:dyDescent="0.2">
      <c r="A1781" s="5">
        <v>1720</v>
      </c>
      <c r="B1781" s="138">
        <f>'Tax Sched 23'!C10</f>
        <v>6734</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48481</v>
      </c>
      <c r="D1784" s="2" t="str">
        <f t="shared" si="26"/>
        <v>Error?</v>
      </c>
    </row>
    <row r="1785" spans="1:4" x14ac:dyDescent="0.2">
      <c r="A1785" s="5">
        <v>1724</v>
      </c>
      <c r="B1785" s="138">
        <f>'Tax Sched 23'!C12</f>
        <v>0</v>
      </c>
      <c r="D1785" s="2" t="str">
        <f t="shared" si="26"/>
        <v>Error?</v>
      </c>
    </row>
    <row r="1786" spans="1:4" x14ac:dyDescent="0.2">
      <c r="A1786" s="5">
        <v>1725</v>
      </c>
      <c r="B1786" s="138">
        <f>'Tax Sched 23'!C14</f>
        <v>43094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3106087</v>
      </c>
      <c r="C1791" s="2" t="s">
        <v>573</v>
      </c>
      <c r="D1791" s="2" t="str">
        <f t="shared" ref="D1791:D1854" si="27">IF(ISBLANK(B1791),"OK",IF(A1791-B1791=0,"OK","Error?"))</f>
        <v>Error?</v>
      </c>
    </row>
    <row r="1792" spans="1:4" x14ac:dyDescent="0.2">
      <c r="A1792" s="5">
        <v>1731</v>
      </c>
      <c r="B1792" s="138">
        <f>'Tax Sched 23'!F4</f>
        <v>2123073</v>
      </c>
      <c r="C1792" s="2" t="s">
        <v>573</v>
      </c>
      <c r="D1792" s="2" t="str">
        <f t="shared" si="27"/>
        <v>Error?</v>
      </c>
    </row>
    <row r="1793" spans="1:4" x14ac:dyDescent="0.2">
      <c r="A1793" s="5">
        <v>1732</v>
      </c>
      <c r="B1793" s="138">
        <f>'Tax Sched 23'!F5</f>
        <v>368490</v>
      </c>
      <c r="C1793" s="2" t="s">
        <v>573</v>
      </c>
      <c r="D1793" s="2" t="str">
        <f t="shared" si="27"/>
        <v>Error?</v>
      </c>
    </row>
    <row r="1794" spans="1:4" x14ac:dyDescent="0.2">
      <c r="A1794" s="5">
        <v>1733</v>
      </c>
      <c r="B1794" s="138">
        <f>'Tax Sched 23'!F6</f>
        <v>74898</v>
      </c>
      <c r="C1794" s="2" t="s">
        <v>573</v>
      </c>
      <c r="D1794" s="2" t="str">
        <f t="shared" si="27"/>
        <v>Error?</v>
      </c>
    </row>
    <row r="1795" spans="1:4" x14ac:dyDescent="0.2">
      <c r="A1795" s="5">
        <v>1734</v>
      </c>
      <c r="B1795" s="138">
        <f>'Tax Sched 23'!F7</f>
        <v>49132</v>
      </c>
      <c r="C1795" s="2" t="s">
        <v>573</v>
      </c>
      <c r="D1795" s="2" t="str">
        <f t="shared" si="27"/>
        <v>Error?</v>
      </c>
    </row>
    <row r="1796" spans="1:4" x14ac:dyDescent="0.2">
      <c r="A1796" s="5">
        <v>1735</v>
      </c>
      <c r="B1796" s="138">
        <f>'Tax Sched 23'!F8</f>
        <v>63872</v>
      </c>
      <c r="C1796" s="2" t="s">
        <v>573</v>
      </c>
      <c r="D1796" s="2" t="str">
        <f t="shared" si="27"/>
        <v>Error?</v>
      </c>
    </row>
    <row r="1797" spans="1:4" x14ac:dyDescent="0.2">
      <c r="A1797" s="5">
        <v>1736</v>
      </c>
      <c r="B1797" s="138">
        <f>'Tax Sched 23'!F10</f>
        <v>6141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44219</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39306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2833003</v>
      </c>
      <c r="C1807" s="2" t="s">
        <v>573</v>
      </c>
      <c r="D1807" s="2" t="str">
        <f t="shared" si="27"/>
        <v>Error?</v>
      </c>
    </row>
    <row r="1808" spans="1:4" x14ac:dyDescent="0.2">
      <c r="A1808" s="5">
        <v>1747</v>
      </c>
      <c r="B1808" s="138">
        <f>'Tax Sched 23'!E4</f>
        <v>4450800</v>
      </c>
      <c r="D1808" s="2" t="str">
        <f t="shared" si="27"/>
        <v>Error?</v>
      </c>
    </row>
    <row r="1809" spans="1:4" x14ac:dyDescent="0.2">
      <c r="A1809" s="5">
        <v>1748</v>
      </c>
      <c r="B1809" s="138">
        <f>'Tax Sched 23'!E5</f>
        <v>772500</v>
      </c>
      <c r="D1809" s="2" t="str">
        <f t="shared" si="27"/>
        <v>Error?</v>
      </c>
    </row>
    <row r="1810" spans="1:4" x14ac:dyDescent="0.2">
      <c r="A1810" s="5">
        <v>1749</v>
      </c>
      <c r="B1810" s="138">
        <f>'Tax Sched 23'!E6</f>
        <v>157015</v>
      </c>
      <c r="D1810" s="2" t="str">
        <f t="shared" si="27"/>
        <v>Error?</v>
      </c>
    </row>
    <row r="1811" spans="1:4" x14ac:dyDescent="0.2">
      <c r="A1811" s="5">
        <v>1750</v>
      </c>
      <c r="B1811" s="138">
        <f>'Tax Sched 23'!E7</f>
        <v>103000</v>
      </c>
      <c r="D1811" s="2" t="str">
        <f t="shared" si="27"/>
        <v>Error?</v>
      </c>
    </row>
    <row r="1812" spans="1:4" x14ac:dyDescent="0.2">
      <c r="A1812" s="5">
        <v>1751</v>
      </c>
      <c r="B1812" s="138">
        <f>'Tax Sched 23'!E8</f>
        <v>133900</v>
      </c>
      <c r="D1812" s="2" t="str">
        <f t="shared" si="27"/>
        <v>Error?</v>
      </c>
    </row>
    <row r="1813" spans="1:4" x14ac:dyDescent="0.2">
      <c r="A1813" s="5">
        <v>1752</v>
      </c>
      <c r="B1813" s="138">
        <f>'Tax Sched 23'!E10</f>
        <v>12875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92700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82400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5939090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1786125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60455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60455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60455</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49573</v>
      </c>
      <c r="D2008" s="2" t="str">
        <f t="shared" si="30"/>
        <v>Error?</v>
      </c>
    </row>
    <row r="2009" spans="1:4" x14ac:dyDescent="0.2">
      <c r="A2009" s="5">
        <v>1948</v>
      </c>
      <c r="B2009" s="138">
        <f>'Cap Outlay Deprec 26'!C8</f>
        <v>7941805</v>
      </c>
      <c r="D2009" s="2" t="str">
        <f t="shared" si="30"/>
        <v>Error?</v>
      </c>
    </row>
    <row r="2010" spans="1:4" x14ac:dyDescent="0.2">
      <c r="A2010" s="5">
        <v>1949</v>
      </c>
      <c r="B2010" s="138">
        <f>'Cap Outlay Deprec 26'!C10</f>
        <v>1183269</v>
      </c>
      <c r="D2010" s="2" t="str">
        <f t="shared" si="30"/>
        <v>Error?</v>
      </c>
    </row>
    <row r="2011" spans="1:4" x14ac:dyDescent="0.2">
      <c r="A2011" s="5">
        <v>1950</v>
      </c>
      <c r="B2011" s="138">
        <f>'Cap Outlay Deprec 26'!C12</f>
        <v>479537</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9654184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9470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9470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49573</v>
      </c>
      <c r="C2026" s="2" t="s">
        <v>573</v>
      </c>
      <c r="D2026" s="2" t="str">
        <f t="shared" si="30"/>
        <v>Error?</v>
      </c>
    </row>
    <row r="2027" spans="1:4" x14ac:dyDescent="0.2">
      <c r="A2027" s="5">
        <v>1966</v>
      </c>
      <c r="B2027" s="138">
        <f>'Cap Outlay Deprec 26'!F8</f>
        <v>7941805</v>
      </c>
      <c r="C2027" s="2" t="s">
        <v>573</v>
      </c>
      <c r="D2027" s="2" t="str">
        <f t="shared" si="30"/>
        <v>Error?</v>
      </c>
    </row>
    <row r="2028" spans="1:4" x14ac:dyDescent="0.2">
      <c r="A2028" s="5">
        <v>1967</v>
      </c>
      <c r="B2028" s="138">
        <f>'Cap Outlay Deprec 26'!F10</f>
        <v>1192739</v>
      </c>
      <c r="C2028" s="2" t="s">
        <v>573</v>
      </c>
      <c r="D2028" s="2" t="str">
        <f t="shared" si="30"/>
        <v>Error?</v>
      </c>
    </row>
    <row r="2029" spans="1:4" x14ac:dyDescent="0.2">
      <c r="A2029" s="5">
        <v>1968</v>
      </c>
      <c r="B2029" s="138">
        <f>'Cap Outlay Deprec 26'!F12</f>
        <v>479537</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9663654</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49573</v>
      </c>
      <c r="C2056" s="2" t="s">
        <v>573</v>
      </c>
      <c r="D2056" s="2" t="str">
        <f t="shared" si="31"/>
        <v>Error?</v>
      </c>
    </row>
    <row r="2057" spans="1:4" x14ac:dyDescent="0.2">
      <c r="A2057" s="5">
        <v>1996</v>
      </c>
      <c r="B2057" s="138">
        <f>'Cap Outlay Deprec 26'!L8</f>
        <v>7941805</v>
      </c>
      <c r="C2057" s="2" t="s">
        <v>573</v>
      </c>
      <c r="D2057" s="2" t="str">
        <f t="shared" si="31"/>
        <v>Error?</v>
      </c>
    </row>
    <row r="2058" spans="1:4" x14ac:dyDescent="0.2">
      <c r="A2058" s="5">
        <v>1997</v>
      </c>
      <c r="B2058" s="138">
        <f>'Cap Outlay Deprec 26'!L10</f>
        <v>1192739</v>
      </c>
      <c r="C2058" s="2" t="s">
        <v>573</v>
      </c>
      <c r="D2058" s="2" t="str">
        <f t="shared" si="31"/>
        <v>Error?</v>
      </c>
    </row>
    <row r="2059" spans="1:4" x14ac:dyDescent="0.2">
      <c r="A2059" s="5">
        <v>1998</v>
      </c>
      <c r="B2059" s="138">
        <f>'Cap Outlay Deprec 26'!L12</f>
        <v>479537</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9663654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24905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178242</v>
      </c>
      <c r="C2088" s="2" t="s">
        <v>573</v>
      </c>
      <c r="D2088" s="2" t="str">
        <f t="shared" si="31"/>
        <v>Error?</v>
      </c>
    </row>
    <row r="2089" spans="1:4" x14ac:dyDescent="0.2">
      <c r="A2089" s="5">
        <v>2028</v>
      </c>
      <c r="B2089" s="138">
        <f>'Expenditures 15-22'!K92</f>
        <v>83580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470352</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80826</v>
      </c>
      <c r="D2475" s="2" t="str">
        <f t="shared" si="37"/>
        <v>Error?</v>
      </c>
    </row>
    <row r="2476" spans="1:4" x14ac:dyDescent="0.2">
      <c r="A2476" s="10">
        <v>2415</v>
      </c>
      <c r="D2476" s="2" t="str">
        <f t="shared" si="37"/>
        <v>OK</v>
      </c>
    </row>
    <row r="2477" spans="1:4" x14ac:dyDescent="0.2">
      <c r="A2477" s="5">
        <v>2416</v>
      </c>
      <c r="B2477" s="138">
        <f>'Assets-Liab 5-6'!G38</f>
        <v>113472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73474</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5005582</v>
      </c>
      <c r="C2551" s="2" t="s">
        <v>573</v>
      </c>
      <c r="D2551" s="2" t="str">
        <f t="shared" si="38"/>
        <v>Error?</v>
      </c>
    </row>
    <row r="2552" spans="1:4" x14ac:dyDescent="0.2">
      <c r="A2552" s="10">
        <v>2491</v>
      </c>
      <c r="D2552" s="2" t="str">
        <f t="shared" si="38"/>
        <v>OK</v>
      </c>
    </row>
    <row r="2553" spans="1:4" x14ac:dyDescent="0.2">
      <c r="A2553" s="5">
        <v>2492</v>
      </c>
      <c r="B2553" s="138">
        <f>'Acct Summary 7-8'!C6</f>
        <v>1097206</v>
      </c>
      <c r="C2553" s="2" t="s">
        <v>573</v>
      </c>
      <c r="D2553" s="2" t="str">
        <f t="shared" si="38"/>
        <v>Error?</v>
      </c>
    </row>
    <row r="2554" spans="1:4" x14ac:dyDescent="0.2">
      <c r="A2554" s="5">
        <v>2493</v>
      </c>
      <c r="B2554" s="138">
        <f>'Acct Summary 7-8'!C7</f>
        <v>502875</v>
      </c>
      <c r="C2554" s="2" t="s">
        <v>573</v>
      </c>
      <c r="D2554" s="2" t="str">
        <f t="shared" si="38"/>
        <v>Error?</v>
      </c>
    </row>
    <row r="2555" spans="1:4" x14ac:dyDescent="0.2">
      <c r="A2555" s="5">
        <v>2494</v>
      </c>
      <c r="B2555" s="138">
        <f>'Acct Summary 7-8'!C8</f>
        <v>6605663</v>
      </c>
      <c r="C2555" s="2" t="s">
        <v>573</v>
      </c>
      <c r="D2555" s="2" t="str">
        <f t="shared" si="38"/>
        <v>Error?</v>
      </c>
    </row>
    <row r="2556" spans="1:4" x14ac:dyDescent="0.2">
      <c r="A2556" s="5">
        <v>2495</v>
      </c>
      <c r="B2556" s="138">
        <f>'Acct Summary 7-8'!C12</f>
        <v>4537468</v>
      </c>
      <c r="C2556" s="2" t="s">
        <v>573</v>
      </c>
      <c r="D2556" s="2" t="str">
        <f t="shared" si="38"/>
        <v>Error?</v>
      </c>
    </row>
    <row r="2557" spans="1:4" x14ac:dyDescent="0.2">
      <c r="A2557" s="5">
        <v>2496</v>
      </c>
      <c r="B2557" s="138">
        <f>'Acct Summary 7-8'!C13</f>
        <v>1446260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261822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6245550</v>
      </c>
      <c r="C2561" s="2" t="s">
        <v>573</v>
      </c>
      <c r="D2561" s="2" t="str">
        <f t="shared" si="39"/>
        <v>Error?</v>
      </c>
    </row>
    <row r="2562" spans="1:4" x14ac:dyDescent="0.2">
      <c r="A2562" s="5">
        <v>2501</v>
      </c>
      <c r="B2562" s="138">
        <f>'Acct Summary 7-8'!C20</f>
        <v>360113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763330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763330</v>
      </c>
      <c r="C2568" s="2" t="s">
        <v>573</v>
      </c>
      <c r="D2568" s="2" t="str">
        <f t="shared" si="39"/>
        <v>Error?</v>
      </c>
    </row>
    <row r="2569" spans="1:4" x14ac:dyDescent="0.2">
      <c r="A2569" s="5">
        <v>2508</v>
      </c>
      <c r="B2569" s="138">
        <f>'Acct Summary 7-8'!D13</f>
        <v>665086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665086</v>
      </c>
      <c r="C2573" s="2" t="s">
        <v>573</v>
      </c>
      <c r="D2573" s="2" t="str">
        <f t="shared" si="39"/>
        <v>Error?</v>
      </c>
    </row>
    <row r="2574" spans="1:4" x14ac:dyDescent="0.2">
      <c r="A2574" s="5">
        <v>2513</v>
      </c>
      <c r="B2574" s="138">
        <f>'Acct Summary 7-8'!D20</f>
        <v>98244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120828</v>
      </c>
      <c r="C2591" s="2" t="s">
        <v>573</v>
      </c>
      <c r="D2591" s="2" t="str">
        <f t="shared" si="39"/>
        <v>Error?</v>
      </c>
    </row>
    <row r="2592" spans="1:4" x14ac:dyDescent="0.2">
      <c r="A2592" s="10">
        <v>2531</v>
      </c>
      <c r="D2592" s="2" t="str">
        <f t="shared" si="39"/>
        <v>OK</v>
      </c>
    </row>
    <row r="2593" spans="1:4" x14ac:dyDescent="0.2">
      <c r="A2593" s="5">
        <v>2532</v>
      </c>
      <c r="B2593" s="138">
        <f>'Acct Summary 7-8'!F6</f>
        <v>106534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227362</v>
      </c>
      <c r="C2595" s="2" t="s">
        <v>573</v>
      </c>
      <c r="D2595" s="2" t="str">
        <f t="shared" si="39"/>
        <v>Error?</v>
      </c>
    </row>
    <row r="2596" spans="1:4" x14ac:dyDescent="0.2">
      <c r="A2596" s="5">
        <v>2535</v>
      </c>
      <c r="B2596" s="138">
        <f>'Acct Summary 7-8'!F13</f>
        <v>174184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174184</v>
      </c>
      <c r="C2600" s="2" t="s">
        <v>573</v>
      </c>
      <c r="D2600" s="2" t="str">
        <f t="shared" si="39"/>
        <v>Error?</v>
      </c>
    </row>
    <row r="2601" spans="1:4" x14ac:dyDescent="0.2">
      <c r="A2601" s="5">
        <v>2540</v>
      </c>
      <c r="B2601" s="138">
        <f>'Acct Summary 7-8'!F20</f>
        <v>53178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195030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195030</v>
      </c>
      <c r="C2606" s="2" t="s">
        <v>573</v>
      </c>
      <c r="D2606" s="2" t="str">
        <f t="shared" si="39"/>
        <v>Error?</v>
      </c>
    </row>
    <row r="2607" spans="1:4" x14ac:dyDescent="0.2">
      <c r="A2607" s="5">
        <v>2546</v>
      </c>
      <c r="B2607" s="138">
        <f>'Acct Summary 7-8'!G12</f>
        <v>111427</v>
      </c>
      <c r="C2607" s="2" t="s">
        <v>573</v>
      </c>
      <c r="D2607" s="2" t="str">
        <f t="shared" si="39"/>
        <v>Error?</v>
      </c>
    </row>
    <row r="2608" spans="1:4" x14ac:dyDescent="0.2">
      <c r="A2608" s="5">
        <v>2547</v>
      </c>
      <c r="B2608" s="138">
        <f>'Acct Summary 7-8'!G13</f>
        <v>146737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258164</v>
      </c>
      <c r="C2612" s="2" t="s">
        <v>573</v>
      </c>
      <c r="D2612" s="2" t="str">
        <f t="shared" si="39"/>
        <v>Error?</v>
      </c>
    </row>
    <row r="2613" spans="1:4" x14ac:dyDescent="0.2">
      <c r="A2613" s="5">
        <v>2552</v>
      </c>
      <c r="B2613" s="138">
        <f>'Acct Summary 7-8'!G20</f>
        <v>-63134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155271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155271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151301</v>
      </c>
      <c r="C2634" s="2" t="s">
        <v>573</v>
      </c>
      <c r="D2634" s="2" t="str">
        <f t="shared" si="40"/>
        <v>Error?</v>
      </c>
    </row>
    <row r="2635" spans="1:4" x14ac:dyDescent="0.2">
      <c r="A2635" s="5">
        <v>2574</v>
      </c>
      <c r="B2635" s="138">
        <f>'Acct Summary 7-8'!E17</f>
        <v>151301</v>
      </c>
      <c r="C2635" s="2" t="s">
        <v>573</v>
      </c>
      <c r="D2635" s="2" t="str">
        <f t="shared" si="40"/>
        <v>Error?</v>
      </c>
    </row>
    <row r="2636" spans="1:4" x14ac:dyDescent="0.2">
      <c r="A2636" s="5">
        <v>2575</v>
      </c>
      <c r="B2636" s="138">
        <f>'Acct Summary 7-8'!E20</f>
        <v>3970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153337</v>
      </c>
      <c r="C2789" s="2" t="s">
        <v>573</v>
      </c>
      <c r="D2789" s="2" t="str">
        <f t="shared" si="42"/>
        <v>Error?</v>
      </c>
    </row>
    <row r="2790" spans="1:4" x14ac:dyDescent="0.2">
      <c r="A2790" s="5">
        <v>2729</v>
      </c>
      <c r="B2790" s="138">
        <f>'Expenditures 15-22'!E102</f>
        <v>153337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3988500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30998</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3988500</v>
      </c>
      <c r="D2912" s="2" t="str">
        <f t="shared" si="44"/>
        <v>Error?</v>
      </c>
    </row>
    <row r="2913" spans="1:4" x14ac:dyDescent="0.2">
      <c r="A2913" s="5">
        <v>2852</v>
      </c>
      <c r="B2913" s="138">
        <f>'Assets-Liab 5-6'!I41</f>
        <v>3988500</v>
      </c>
      <c r="C2913" s="2" t="s">
        <v>573</v>
      </c>
      <c r="D2913" s="2" t="str">
        <f t="shared" si="44"/>
        <v>Error?</v>
      </c>
    </row>
    <row r="2914" spans="1:4" x14ac:dyDescent="0.2">
      <c r="A2914" s="5">
        <v>2853</v>
      </c>
      <c r="B2914" s="138">
        <f>'Assets-Liab 5-6'!L33</f>
        <v>30998</v>
      </c>
      <c r="D2914" s="2" t="str">
        <f t="shared" si="44"/>
        <v>Error?</v>
      </c>
    </row>
    <row r="2915" spans="1:4" x14ac:dyDescent="0.2">
      <c r="A2915" s="10">
        <v>2854</v>
      </c>
      <c r="D2915" s="2" t="str">
        <f t="shared" si="44"/>
        <v>OK</v>
      </c>
    </row>
    <row r="2916" spans="1:4" x14ac:dyDescent="0.2">
      <c r="A2916" s="5">
        <v>2855</v>
      </c>
      <c r="B2916" s="138">
        <f>'Assets-Liab 5-6'!L34</f>
        <v>30998</v>
      </c>
      <c r="C2916" s="2" t="s">
        <v>573</v>
      </c>
      <c r="D2916" s="2" t="str">
        <f t="shared" si="44"/>
        <v>Error?</v>
      </c>
    </row>
    <row r="2917" spans="1:4" x14ac:dyDescent="0.2">
      <c r="A2917" s="5">
        <v>2856</v>
      </c>
      <c r="B2917" s="138">
        <f>'Assets-Liab 5-6'!L41</f>
        <v>30998</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153337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11040</v>
      </c>
      <c r="D2955" s="2" t="str">
        <f t="shared" si="45"/>
        <v>Error?</v>
      </c>
    </row>
    <row r="2956" spans="1:4" x14ac:dyDescent="0.2">
      <c r="A2956" s="5">
        <v>2895</v>
      </c>
      <c r="B2956" s="138">
        <f>'Expenditures 15-22'!H79</f>
        <v>13865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11040</v>
      </c>
      <c r="C2973" s="2" t="s">
        <v>573</v>
      </c>
      <c r="D2973" s="2" t="str">
        <f t="shared" si="45"/>
        <v>Error?</v>
      </c>
    </row>
    <row r="2974" spans="1:4" x14ac:dyDescent="0.2">
      <c r="A2974" s="5">
        <v>2913</v>
      </c>
      <c r="B2974" s="138">
        <f>'Expenditures 15-22'!K79</f>
        <v>167202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117329</v>
      </c>
      <c r="D3055" s="2" t="str">
        <f t="shared" si="46"/>
        <v>Error?</v>
      </c>
    </row>
    <row r="3056" spans="1:4" x14ac:dyDescent="0.2">
      <c r="A3056" s="5">
        <v>2995</v>
      </c>
      <c r="B3056" s="138">
        <f>'Expenditures 15-22'!D10</f>
        <v>9831</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475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127635</v>
      </c>
      <c r="C3062" s="2" t="s">
        <v>573</v>
      </c>
      <c r="D3062" s="2" t="str">
        <f t="shared" si="46"/>
        <v>Error?</v>
      </c>
    </row>
    <row r="3063" spans="1:4" x14ac:dyDescent="0.2">
      <c r="A3063" s="10">
        <v>3002</v>
      </c>
      <c r="D3063" s="2" t="str">
        <f t="shared" si="46"/>
        <v>OK</v>
      </c>
    </row>
    <row r="3064" spans="1:4" x14ac:dyDescent="0.2">
      <c r="A3064" s="5">
        <v>3003</v>
      </c>
      <c r="B3064" s="138">
        <f>'Expenditures 15-22'!D219</f>
        <v>1684</v>
      </c>
      <c r="D3064" s="2" t="str">
        <f t="shared" si="46"/>
        <v>Error?</v>
      </c>
    </row>
    <row r="3065" spans="1:4" x14ac:dyDescent="0.2">
      <c r="A3065" s="5">
        <v>3004</v>
      </c>
      <c r="B3065" s="138">
        <f>'Expenditures 15-22'!K219</f>
        <v>1684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48251</v>
      </c>
      <c r="C3225" s="2" t="s">
        <v>573</v>
      </c>
      <c r="D3225" s="2" t="str">
        <f t="shared" si="49"/>
        <v>Error?</v>
      </c>
    </row>
    <row r="3226" spans="1:4" x14ac:dyDescent="0.2">
      <c r="A3226" s="5">
        <v>3165</v>
      </c>
      <c r="B3226" s="138">
        <f>'Acct Summary 7-8'!I8</f>
        <v>48251</v>
      </c>
      <c r="C3226" s="2" t="s">
        <v>573</v>
      </c>
      <c r="D3226" s="2" t="str">
        <f t="shared" si="49"/>
        <v>Error?</v>
      </c>
    </row>
    <row r="3227" spans="1:4" x14ac:dyDescent="0.2">
      <c r="A3227" s="5">
        <v>3166</v>
      </c>
      <c r="B3227" s="138">
        <f>'Acct Summary 7-8'!I20</f>
        <v>48251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360113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98244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53178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-63134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3970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48251</v>
      </c>
      <c r="C3320" s="2" t="s">
        <v>573</v>
      </c>
      <c r="D3320" s="2" t="str">
        <f t="shared" si="50"/>
        <v>Error?</v>
      </c>
    </row>
    <row r="3321" spans="1:4" x14ac:dyDescent="0.2">
      <c r="A3321" s="5">
        <v>3260</v>
      </c>
      <c r="B3321" s="138">
        <f>'Acct Summary 7-8'!I79</f>
        <v>3940249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3988500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346990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61062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2130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410332</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71484</v>
      </c>
      <c r="D3387" s="2" t="str">
        <f t="shared" si="51"/>
        <v>Error?</v>
      </c>
    </row>
    <row r="3388" spans="1:4" x14ac:dyDescent="0.2">
      <c r="A3388" s="5">
        <v>3327</v>
      </c>
      <c r="B3388" s="138">
        <f>'Expenditures 15-22'!D217</f>
        <v>20813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71484</v>
      </c>
      <c r="C3390" s="2" t="s">
        <v>573</v>
      </c>
      <c r="D3390" s="2" t="str">
        <f t="shared" si="51"/>
        <v>Error?</v>
      </c>
    </row>
    <row r="3391" spans="1:4" x14ac:dyDescent="0.2">
      <c r="A3391" s="5">
        <v>3330</v>
      </c>
      <c r="B3391" s="138">
        <f>'Expenditures 15-22'!K217</f>
        <v>20813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1660742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470352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73474</v>
      </c>
      <c r="D3417" s="2" t="str">
        <f t="shared" si="52"/>
        <v>Error?</v>
      </c>
    </row>
    <row r="3418" spans="1:4" x14ac:dyDescent="0.2">
      <c r="A3418" s="10">
        <v>3357</v>
      </c>
      <c r="D3418" s="2" t="str">
        <f t="shared" si="52"/>
        <v>OK</v>
      </c>
    </row>
    <row r="3419" spans="1:4" x14ac:dyDescent="0.2">
      <c r="A3419" s="5">
        <v>3358</v>
      </c>
      <c r="B3419" s="138">
        <f>'Assets-Liab 5-6'!F4</f>
        <v>80826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113472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3988500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30998</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91721</v>
      </c>
      <c r="C3446" s="2" t="s">
        <v>573</v>
      </c>
      <c r="D3446" s="2" t="str">
        <f t="shared" si="52"/>
        <v>Error?</v>
      </c>
    </row>
    <row r="3447" spans="1:4" x14ac:dyDescent="0.2">
      <c r="A3447" s="5">
        <v>3386</v>
      </c>
      <c r="B3447" s="138">
        <f>'Tax Sched 23'!D16</f>
        <v>21693</v>
      </c>
      <c r="C3447" s="2" t="s">
        <v>573</v>
      </c>
      <c r="D3447" s="2" t="str">
        <f t="shared" si="52"/>
        <v>Error?</v>
      </c>
    </row>
    <row r="3448" spans="1:4" x14ac:dyDescent="0.2">
      <c r="A3448" s="5">
        <v>3387</v>
      </c>
      <c r="B3448" s="138">
        <f>'Tax Sched 23'!C16</f>
        <v>70028</v>
      </c>
      <c r="D3448" s="2" t="str">
        <f t="shared" si="52"/>
        <v>Error?</v>
      </c>
    </row>
    <row r="3449" spans="1:4" x14ac:dyDescent="0.2">
      <c r="A3449" s="5">
        <v>3388</v>
      </c>
      <c r="B3449" s="138">
        <f>'Tax Sched 23'!F16</f>
        <v>63872</v>
      </c>
      <c r="C3449" s="2" t="s">
        <v>573</v>
      </c>
      <c r="D3449" s="2" t="str">
        <f t="shared" si="52"/>
        <v>Error?</v>
      </c>
    </row>
    <row r="3450" spans="1:4" x14ac:dyDescent="0.2">
      <c r="A3450" s="5">
        <v>3389</v>
      </c>
      <c r="B3450" s="138">
        <f>'Tax Sched 23'!E16</f>
        <v>133900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53149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53149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53149</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53149</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53149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53149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2910000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9515663</v>
      </c>
      <c r="C4122" s="2" t="s">
        <v>573</v>
      </c>
      <c r="D4122" s="2" t="str">
        <f t="shared" si="63"/>
        <v>Error?</v>
      </c>
    </row>
    <row r="4123" spans="1:4" x14ac:dyDescent="0.2">
      <c r="A4123" s="5">
        <v>4062</v>
      </c>
      <c r="B4123" s="138">
        <f>'Acct Summary 7-8'!D10</f>
        <v>763330</v>
      </c>
      <c r="C4123" s="2" t="s">
        <v>573</v>
      </c>
      <c r="D4123" s="2" t="str">
        <f t="shared" si="63"/>
        <v>Error?</v>
      </c>
    </row>
    <row r="4124" spans="1:4" x14ac:dyDescent="0.2">
      <c r="A4124" s="5">
        <v>4063</v>
      </c>
      <c r="B4124" s="138">
        <f>'Acct Summary 7-8'!E10</f>
        <v>155271</v>
      </c>
      <c r="C4124" s="2" t="s">
        <v>573</v>
      </c>
      <c r="D4124" s="2" t="str">
        <f t="shared" si="63"/>
        <v>Error?</v>
      </c>
    </row>
    <row r="4125" spans="1:4" x14ac:dyDescent="0.2">
      <c r="A4125" s="5">
        <v>4064</v>
      </c>
      <c r="B4125" s="138">
        <f>'Acct Summary 7-8'!F10</f>
        <v>227362</v>
      </c>
      <c r="C4125" s="2" t="s">
        <v>573</v>
      </c>
      <c r="D4125" s="2" t="str">
        <f t="shared" si="63"/>
        <v>Error?</v>
      </c>
    </row>
    <row r="4126" spans="1:4" x14ac:dyDescent="0.2">
      <c r="A4126" s="5">
        <v>4065</v>
      </c>
      <c r="B4126" s="138">
        <f>'Acct Summary 7-8'!G10</f>
        <v>195030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48251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2910000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9155550</v>
      </c>
      <c r="C4136" s="2" t="s">
        <v>573</v>
      </c>
      <c r="D4136" s="2" t="str">
        <f t="shared" si="63"/>
        <v>Error?</v>
      </c>
    </row>
    <row r="4137" spans="1:4" x14ac:dyDescent="0.2">
      <c r="A4137" s="5">
        <v>4076</v>
      </c>
      <c r="B4137" s="138">
        <f>'Acct Summary 7-8'!D19</f>
        <v>665086</v>
      </c>
      <c r="C4137" s="2" t="s">
        <v>573</v>
      </c>
      <c r="D4137" s="2" t="str">
        <f t="shared" si="63"/>
        <v>Error?</v>
      </c>
    </row>
    <row r="4138" spans="1:4" x14ac:dyDescent="0.2">
      <c r="A4138" s="5">
        <v>4077</v>
      </c>
      <c r="B4138" s="138">
        <f>'Acct Summary 7-8'!E19</f>
        <v>151301</v>
      </c>
      <c r="C4138" s="2" t="s">
        <v>573</v>
      </c>
      <c r="D4138" s="2" t="str">
        <f t="shared" si="63"/>
        <v>Error?</v>
      </c>
    </row>
    <row r="4139" spans="1:4" x14ac:dyDescent="0.2">
      <c r="A4139" s="5">
        <v>4078</v>
      </c>
      <c r="B4139" s="138">
        <f>'Acct Summary 7-8'!F19</f>
        <v>174184</v>
      </c>
      <c r="C4139" s="2" t="s">
        <v>573</v>
      </c>
      <c r="D4139" s="2" t="str">
        <f t="shared" si="63"/>
        <v>Error?</v>
      </c>
    </row>
    <row r="4140" spans="1:4" x14ac:dyDescent="0.2">
      <c r="A4140" s="5">
        <v>4079</v>
      </c>
      <c r="B4140" s="138">
        <f>'Acct Summary 7-8'!G19</f>
        <v>258164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1693399</v>
      </c>
      <c r="C4171" s="2" t="s">
        <v>573</v>
      </c>
      <c r="D4171" s="2" t="str">
        <f t="shared" si="64"/>
        <v>Error?</v>
      </c>
    </row>
    <row r="4172" spans="1:4" x14ac:dyDescent="0.2">
      <c r="A4172" s="5">
        <v>4111</v>
      </c>
      <c r="B4172" s="138">
        <f>'Short-Term Long-Term Debt 24'!J49</f>
        <v>1619925</v>
      </c>
      <c r="C4172" s="2" t="s">
        <v>573</v>
      </c>
      <c r="D4172" s="2" t="str">
        <f t="shared" si="64"/>
        <v>Error?</v>
      </c>
    </row>
    <row r="4173" spans="1:4" x14ac:dyDescent="0.2">
      <c r="A4173" s="5">
        <v>4112</v>
      </c>
      <c r="B4173" s="138">
        <f>'Short-Term Long-Term Debt 24'!H49</f>
        <v>85000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-7726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2284.9</v>
      </c>
      <c r="C4265" s="2" t="s">
        <v>573</v>
      </c>
      <c r="D4265" s="2" t="str">
        <f t="shared" si="65"/>
        <v>Error?</v>
      </c>
      <c r="E4265" s="128"/>
    </row>
    <row r="4266" spans="1:5" x14ac:dyDescent="0.2">
      <c r="A4266" s="12">
        <v>4205</v>
      </c>
      <c r="B4266" s="138">
        <f>('FP Info 3'!F10)*100000</f>
        <v>396.59999999999997</v>
      </c>
      <c r="C4266" s="2" t="s">
        <v>573</v>
      </c>
      <c r="D4266" s="2" t="str">
        <f t="shared" si="65"/>
        <v>Error?</v>
      </c>
      <c r="E4266" s="128"/>
    </row>
    <row r="4267" spans="1:5" x14ac:dyDescent="0.2">
      <c r="A4267" s="12">
        <v>4206</v>
      </c>
      <c r="B4267" s="138">
        <f>('FP Info 3'!H10)*100000</f>
        <v>52.9</v>
      </c>
      <c r="C4267" s="2" t="s">
        <v>573</v>
      </c>
      <c r="D4267" s="2" t="str">
        <f t="shared" si="65"/>
        <v>Error?</v>
      </c>
      <c r="E4267" s="128"/>
    </row>
    <row r="4268" spans="1:5" x14ac:dyDescent="0.2">
      <c r="A4268" s="12">
        <v>4207</v>
      </c>
      <c r="B4268" s="138">
        <f>('FP Info 3'!J10)*100000</f>
        <v>2734</v>
      </c>
      <c r="C4268" s="2" t="s">
        <v>573</v>
      </c>
      <c r="D4268" s="2" t="str">
        <f t="shared" si="65"/>
        <v>Error?</v>
      </c>
    </row>
    <row r="4269" spans="1:5" x14ac:dyDescent="0.2">
      <c r="A4269" s="12">
        <v>4208</v>
      </c>
      <c r="B4269" s="138">
        <f>'FP Info 3'!J16</f>
        <v>6200420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12716</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37390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17407</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30328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6.6000000000000005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7707</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194787813</v>
      </c>
      <c r="D4995" s="2" t="str">
        <f t="shared" si="77"/>
        <v>Error?</v>
      </c>
    </row>
    <row r="4996" spans="1:4" x14ac:dyDescent="0.2">
      <c r="A4996" s="12">
        <v>4935</v>
      </c>
      <c r="B4996" s="138">
        <f>'FP Info 3'!H31</f>
        <v>13440359.097000001</v>
      </c>
      <c r="D4996" s="2" t="str">
        <f t="shared" si="77"/>
        <v>Error?</v>
      </c>
    </row>
    <row r="4997" spans="1:4" x14ac:dyDescent="0.2">
      <c r="A4997" s="12">
        <v>4936</v>
      </c>
      <c r="B4997" s="138">
        <f>'FP Info 3'!H37</f>
        <v>1693399</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4443927</v>
      </c>
      <c r="D5061" s="2" t="str">
        <f t="shared" si="78"/>
        <v>Error?</v>
      </c>
    </row>
    <row r="5062" spans="1:4" x14ac:dyDescent="0.2">
      <c r="A5062" s="10">
        <v>5001</v>
      </c>
      <c r="D5062" s="2" t="str">
        <f t="shared" si="78"/>
        <v>OK</v>
      </c>
    </row>
    <row r="5063" spans="1:4" x14ac:dyDescent="0.2">
      <c r="A5063" s="5">
        <v>5002</v>
      </c>
      <c r="B5063" s="138">
        <f>'Revenues 9-14'!C7</f>
        <v>60455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4504382</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71698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71698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82360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82360</v>
      </c>
      <c r="C5087" s="2" t="s">
        <v>573</v>
      </c>
      <c r="D5087" s="2" t="str">
        <f t="shared" si="78"/>
        <v>Error?</v>
      </c>
    </row>
    <row r="5088" spans="1:4" x14ac:dyDescent="0.2">
      <c r="A5088" s="5">
        <v>5027</v>
      </c>
      <c r="B5088" s="138">
        <f>'Revenues 9-14'!C65</f>
        <v>69029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69029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34207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57934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57934</v>
      </c>
      <c r="C5102" s="2" t="s">
        <v>573</v>
      </c>
      <c r="D5102" s="2" t="str">
        <f t="shared" si="78"/>
        <v>Error?</v>
      </c>
    </row>
    <row r="5103" spans="1:4" x14ac:dyDescent="0.2">
      <c r="A5103" s="5">
        <v>5042</v>
      </c>
      <c r="B5103" s="138">
        <f>'Revenues 9-14'!C84</f>
        <v>103950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103950</v>
      </c>
      <c r="C5112" s="2" t="s">
        <v>573</v>
      </c>
      <c r="D5112" s="2" t="str">
        <f t="shared" si="78"/>
        <v>Error?</v>
      </c>
    </row>
    <row r="5113" spans="1:4" x14ac:dyDescent="0.2">
      <c r="A5113" s="5">
        <v>5052</v>
      </c>
      <c r="B5113" s="138">
        <f>'Revenues 9-14'!C95</f>
        <v>6410</v>
      </c>
      <c r="D5113" s="2" t="str">
        <f t="shared" si="78"/>
        <v>Error?</v>
      </c>
    </row>
    <row r="5114" spans="1:4" x14ac:dyDescent="0.2">
      <c r="A5114" s="5">
        <v>5053</v>
      </c>
      <c r="B5114" s="138">
        <f>'Revenues 9-14'!C96</f>
        <v>22750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38808</v>
      </c>
      <c r="D5118" s="2" t="str">
        <f t="shared" si="78"/>
        <v>Error?</v>
      </c>
    </row>
    <row r="5119" spans="1:4" x14ac:dyDescent="0.2">
      <c r="A5119" s="5">
        <v>5058</v>
      </c>
      <c r="B5119" s="138">
        <f>'Revenues 9-14'!C107</f>
        <v>6347</v>
      </c>
      <c r="D5119" s="2" t="str">
        <f t="shared" ref="D5119:D5182" si="79">IF(ISBLANK(B5119),"OK",IF(A5119-B5119=0,"OK","Error?"))</f>
        <v>Error?</v>
      </c>
    </row>
    <row r="5120" spans="1:4" x14ac:dyDescent="0.2">
      <c r="A5120" s="5">
        <v>5059</v>
      </c>
      <c r="B5120" s="138">
        <f>'Revenues 9-14'!C108</f>
        <v>82022</v>
      </c>
      <c r="C5120" s="2" t="s">
        <v>573</v>
      </c>
      <c r="D5120" s="2" t="str">
        <f t="shared" si="79"/>
        <v>Error?</v>
      </c>
    </row>
    <row r="5121" spans="1:4" x14ac:dyDescent="0.2">
      <c r="A5121" s="5">
        <v>5060</v>
      </c>
      <c r="B5121" s="138">
        <f>'Revenues 9-14'!C109</f>
        <v>5005582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817074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817074</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1635</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278497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280132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1097206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95283</v>
      </c>
      <c r="D5239" s="2" t="str">
        <f t="shared" si="80"/>
        <v>Error?</v>
      </c>
    </row>
    <row r="5240" spans="1:4" x14ac:dyDescent="0.2">
      <c r="A5240" s="5">
        <v>5179</v>
      </c>
      <c r="B5240" s="138">
        <f>'Revenues 9-14'!C192</f>
        <v>1146</v>
      </c>
      <c r="D5240" s="2" t="str">
        <f t="shared" si="80"/>
        <v>Error?</v>
      </c>
    </row>
    <row r="5241" spans="1:4" x14ac:dyDescent="0.2">
      <c r="A5241" s="5">
        <v>5180</v>
      </c>
      <c r="B5241" s="138">
        <f>'Revenues 9-14'!C193</f>
        <v>12457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121602</v>
      </c>
      <c r="C5246" s="2" t="s">
        <v>573</v>
      </c>
      <c r="D5246" s="2" t="str">
        <f t="shared" si="80"/>
        <v>Error?</v>
      </c>
    </row>
    <row r="5247" spans="1:4" x14ac:dyDescent="0.2">
      <c r="A5247" s="5">
        <v>5186</v>
      </c>
      <c r="B5247" s="138">
        <f>'Revenues 9-14'!C200</f>
        <v>157434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157434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1812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130597</v>
      </c>
      <c r="D5278" s="2" t="str">
        <f t="shared" si="81"/>
        <v>Error?</v>
      </c>
    </row>
    <row r="5279" spans="1:4" x14ac:dyDescent="0.2">
      <c r="A5279" s="5">
        <v>5218</v>
      </c>
      <c r="B5279" s="138">
        <f>'Revenues 9-14'!C214</f>
        <v>5506</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137915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502875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502875</v>
      </c>
      <c r="C5326" s="2" t="s">
        <v>573</v>
      </c>
      <c r="D5326" s="2" t="str">
        <f t="shared" si="82"/>
        <v>Error?</v>
      </c>
    </row>
    <row r="5327" spans="1:5" x14ac:dyDescent="0.2">
      <c r="A5327" s="5">
        <v>5266</v>
      </c>
      <c r="B5327" s="138">
        <f>'Revenues 9-14'!C268</f>
        <v>6605663</v>
      </c>
      <c r="C5327" s="2" t="s">
        <v>573</v>
      </c>
      <c r="D5327" s="2" t="str">
        <f t="shared" si="82"/>
        <v>Error?</v>
      </c>
    </row>
    <row r="5328" spans="1:5" x14ac:dyDescent="0.2">
      <c r="A5328" s="5">
        <v>5267</v>
      </c>
      <c r="B5328" s="138">
        <f>'Revenues 9-14'!D5</f>
        <v>720848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720848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6920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6920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15792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19770</v>
      </c>
      <c r="D5354" s="2" t="str">
        <f t="shared" si="82"/>
        <v>Error?</v>
      </c>
    </row>
    <row r="5355" spans="1:4" x14ac:dyDescent="0.2">
      <c r="A5355" s="5">
        <v>5294</v>
      </c>
      <c r="B5355" s="138">
        <f>'Revenues 9-14'!D108</f>
        <v>35562</v>
      </c>
      <c r="C5355" s="2" t="s">
        <v>573</v>
      </c>
      <c r="D5355" s="2" t="str">
        <f t="shared" si="82"/>
        <v>Error?</v>
      </c>
    </row>
    <row r="5356" spans="1:4" x14ac:dyDescent="0.2">
      <c r="A5356" s="5">
        <v>5295</v>
      </c>
      <c r="B5356" s="138">
        <f>'Revenues 9-14'!D109</f>
        <v>763330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763330</v>
      </c>
      <c r="C5508" s="2" t="s">
        <v>573</v>
      </c>
      <c r="D5508" s="2" t="str">
        <f t="shared" si="85"/>
        <v>Error?</v>
      </c>
    </row>
    <row r="5509" spans="1:4" x14ac:dyDescent="0.2">
      <c r="A5509" s="5">
        <v>5448</v>
      </c>
      <c r="B5509" s="138">
        <f>'Revenues 9-14'!E5</f>
        <v>154759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154759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512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155271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155271</v>
      </c>
      <c r="C5552" s="2" t="s">
        <v>573</v>
      </c>
      <c r="D5552" s="2" t="str">
        <f t="shared" si="85"/>
        <v>Error?</v>
      </c>
    </row>
    <row r="5553" spans="1:4" x14ac:dyDescent="0.2">
      <c r="A5553" s="5">
        <v>5492</v>
      </c>
      <c r="B5553" s="138">
        <f>'Revenues 9-14'!F5</f>
        <v>77729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77729</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36632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36632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6467</v>
      </c>
      <c r="D5586" s="2" t="str">
        <f t="shared" si="86"/>
        <v>Error?</v>
      </c>
    </row>
    <row r="5587" spans="1:4" x14ac:dyDescent="0.2">
      <c r="A5587" s="5">
        <v>5526</v>
      </c>
      <c r="B5587" s="138">
        <f>'Revenues 9-14'!F108</f>
        <v>6467</v>
      </c>
      <c r="C5587" s="2" t="s">
        <v>573</v>
      </c>
      <c r="D5587" s="2" t="str">
        <f t="shared" si="86"/>
        <v>Error?</v>
      </c>
    </row>
    <row r="5588" spans="1:4" x14ac:dyDescent="0.2">
      <c r="A5588" s="5">
        <v>5527</v>
      </c>
      <c r="B5588" s="138">
        <f>'Revenues 9-14'!F109</f>
        <v>120828</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81612</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81612</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65</v>
      </c>
      <c r="D5615" s="2" t="str">
        <f t="shared" si="86"/>
        <v>Error?</v>
      </c>
    </row>
    <row r="5616" spans="1:4" x14ac:dyDescent="0.2">
      <c r="A5616" s="10">
        <v>5555</v>
      </c>
      <c r="D5616" s="2" t="str">
        <f t="shared" si="86"/>
        <v>OK</v>
      </c>
    </row>
    <row r="5617" spans="1:5" x14ac:dyDescent="0.2">
      <c r="A5617" s="5">
        <v>5556</v>
      </c>
      <c r="B5617" s="138">
        <f>'Revenues 9-14'!F153</f>
        <v>24857</v>
      </c>
      <c r="D5617" s="2" t="str">
        <f t="shared" si="86"/>
        <v>Error?</v>
      </c>
    </row>
    <row r="5618" spans="1:5" x14ac:dyDescent="0.2">
      <c r="A5618" s="5">
        <v>5557</v>
      </c>
      <c r="B5618" s="138">
        <f>'Revenues 9-14'!F155</f>
        <v>24922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24922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106534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227362</v>
      </c>
      <c r="C5720" s="2" t="s">
        <v>573</v>
      </c>
      <c r="D5720" s="2" t="str">
        <f t="shared" si="88"/>
        <v>Error?</v>
      </c>
    </row>
    <row r="5721" spans="1:4" x14ac:dyDescent="0.2">
      <c r="A5721" s="5">
        <v>5660</v>
      </c>
      <c r="B5721" s="138">
        <f>'Revenues 9-14'!G5</f>
        <v>102570</v>
      </c>
      <c r="D5721" s="2" t="str">
        <f t="shared" si="88"/>
        <v>Error?</v>
      </c>
    </row>
    <row r="5722" spans="1:4" x14ac:dyDescent="0.2">
      <c r="A5722" s="5">
        <v>5661</v>
      </c>
      <c r="B5722" s="138">
        <f>'Revenues 9-14'!G7</f>
        <v>0</v>
      </c>
      <c r="D5722" s="2" t="str">
        <f t="shared" si="88"/>
        <v>Error?</v>
      </c>
    </row>
    <row r="5723" spans="1:4" x14ac:dyDescent="0.2">
      <c r="A5723" s="5">
        <v>5662</v>
      </c>
      <c r="B5723" s="138">
        <f>'Revenues 9-14'!G8</f>
        <v>91721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194291</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739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195030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9442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9442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38809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38809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48251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195030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48251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34207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557.1</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103487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103487</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103487</v>
      </c>
      <c r="D6216" s="2" t="str">
        <f t="shared" si="96"/>
        <v>Error?</v>
      </c>
      <c r="E6216" s="2" t="s">
        <v>190</v>
      </c>
    </row>
    <row r="6217" spans="1:5" x14ac:dyDescent="0.2">
      <c r="A6217">
        <v>6156</v>
      </c>
      <c r="B6217" s="138">
        <f>'Assets-Liab 5-6'!J4</f>
        <v>103487</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66346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66346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66346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77727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77727</v>
      </c>
      <c r="D6229" s="2" t="str">
        <f t="shared" si="96"/>
        <v>Error?</v>
      </c>
      <c r="E6229" s="2" t="s">
        <v>190</v>
      </c>
    </row>
    <row r="6230" spans="1:5" x14ac:dyDescent="0.2">
      <c r="A6230">
        <v>6169</v>
      </c>
      <c r="B6230" s="138">
        <f>'Acct Summary 7-8'!J20</f>
        <v>-11381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-11381</v>
      </c>
      <c r="D6263" s="2" t="str">
        <f t="shared" si="96"/>
        <v>Error?</v>
      </c>
      <c r="E6263" s="2" t="s">
        <v>190</v>
      </c>
    </row>
    <row r="6264" spans="1:5" x14ac:dyDescent="0.2">
      <c r="A6264">
        <v>6203</v>
      </c>
      <c r="B6264" s="138">
        <f>'Acct Summary 7-8'!J79</f>
        <v>114868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103487</v>
      </c>
      <c r="D6266" s="2" t="str">
        <f t="shared" si="96"/>
        <v>Error?</v>
      </c>
      <c r="E6266" s="2" t="s">
        <v>190</v>
      </c>
    </row>
    <row r="6267" spans="1:5" x14ac:dyDescent="0.2">
      <c r="A6267">
        <v>6206</v>
      </c>
      <c r="B6267" s="138">
        <f>'Acct Summary 7-8'!C82</f>
        <v>360113</v>
      </c>
      <c r="D6267" s="2" t="str">
        <f t="shared" si="96"/>
        <v>Error?</v>
      </c>
      <c r="E6267" s="2" t="s">
        <v>190</v>
      </c>
    </row>
    <row r="6268" spans="1:5" x14ac:dyDescent="0.2">
      <c r="A6268">
        <v>6207</v>
      </c>
      <c r="B6268" s="138">
        <f>'Acct Summary 7-8'!D82</f>
        <v>98244</v>
      </c>
      <c r="D6268" s="2" t="str">
        <f t="shared" si="96"/>
        <v>Error?</v>
      </c>
      <c r="E6268" s="2" t="s">
        <v>190</v>
      </c>
    </row>
    <row r="6269" spans="1:5" x14ac:dyDescent="0.2">
      <c r="A6269">
        <v>6208</v>
      </c>
      <c r="B6269" s="138">
        <f>'Acct Summary 7-8'!E82</f>
        <v>3970</v>
      </c>
      <c r="D6269" s="2" t="str">
        <f t="shared" si="96"/>
        <v>Error?</v>
      </c>
      <c r="E6269" s="2" t="s">
        <v>190</v>
      </c>
    </row>
    <row r="6270" spans="1:5" x14ac:dyDescent="0.2">
      <c r="A6270">
        <v>6209</v>
      </c>
      <c r="B6270" s="138">
        <f>'Acct Summary 7-8'!F82</f>
        <v>53178</v>
      </c>
      <c r="D6270" s="2" t="str">
        <f t="shared" si="96"/>
        <v>Error?</v>
      </c>
      <c r="E6270" s="2" t="s">
        <v>190</v>
      </c>
    </row>
    <row r="6271" spans="1:5" x14ac:dyDescent="0.2">
      <c r="A6271">
        <v>6210</v>
      </c>
      <c r="B6271" s="138">
        <f>'Acct Summary 7-8'!G82</f>
        <v>-63134</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48251</v>
      </c>
      <c r="D6273" s="2" t="str">
        <f t="shared" si="97"/>
        <v>Error?</v>
      </c>
      <c r="E6273" s="2" t="s">
        <v>190</v>
      </c>
    </row>
    <row r="6274" spans="1:5" x14ac:dyDescent="0.2">
      <c r="A6274">
        <v>6213</v>
      </c>
      <c r="B6274" s="138">
        <f>'Acct Summary 7-8'!J82</f>
        <v>-11381</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0.21683861791897838</v>
      </c>
      <c r="D6276" s="2" t="str">
        <f t="shared" si="97"/>
        <v>Error?</v>
      </c>
      <c r="E6276" s="2" t="s">
        <v>190</v>
      </c>
    </row>
    <row r="6277" spans="1:5" x14ac:dyDescent="0.2">
      <c r="A6277">
        <v>6216</v>
      </c>
      <c r="B6277" s="138">
        <f>'Acct Summary 7-8'!D83</f>
        <v>0.2088733544239208</v>
      </c>
      <c r="D6277" s="2" t="str">
        <f t="shared" si="97"/>
        <v>Error?</v>
      </c>
      <c r="E6277" s="2" t="s">
        <v>190</v>
      </c>
    </row>
    <row r="6278" spans="1:5" x14ac:dyDescent="0.2">
      <c r="A6278">
        <v>6217</v>
      </c>
      <c r="B6278" s="138">
        <f>'Acct Summary 7-8'!E83</f>
        <v>5.4032719057081416E-2</v>
      </c>
      <c r="D6278" s="2" t="str">
        <f t="shared" si="97"/>
        <v>Error?</v>
      </c>
      <c r="E6278" s="2" t="s">
        <v>190</v>
      </c>
    </row>
    <row r="6279" spans="1:5" x14ac:dyDescent="0.2">
      <c r="A6279">
        <v>6218</v>
      </c>
      <c r="B6279" s="138">
        <f>'Acct Summary 7-8'!F83</f>
        <v>0.65793185361146167</v>
      </c>
      <c r="D6279" s="2" t="str">
        <f t="shared" si="97"/>
        <v>Error?</v>
      </c>
      <c r="E6279" s="2" t="s">
        <v>190</v>
      </c>
    </row>
    <row r="6280" spans="1:5" x14ac:dyDescent="0.2">
      <c r="A6280">
        <v>6219</v>
      </c>
      <c r="B6280" s="138">
        <f>'Acct Summary 7-8'!G83</f>
        <v>-0.55638395375070504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1.2097530399899711E-2</v>
      </c>
      <c r="D6282" s="2" t="str">
        <f t="shared" si="97"/>
        <v>Error?</v>
      </c>
      <c r="E6282" s="2" t="s">
        <v>190</v>
      </c>
    </row>
    <row r="6283" spans="1:5" x14ac:dyDescent="0.2">
      <c r="A6283">
        <v>6222</v>
      </c>
      <c r="B6283" s="138">
        <f>'Acct Summary 7-8'!J83</f>
        <v>-0.10997516596287456</v>
      </c>
      <c r="D6283" s="2" t="str">
        <f t="shared" si="97"/>
        <v>Error?</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65841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65841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505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505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66346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799</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164142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799</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71593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11142</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224037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117864</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82735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83580</v>
      </c>
      <c r="D6983" s="2" t="str">
        <f t="shared" si="108"/>
        <v>Error?</v>
      </c>
    </row>
    <row r="6984" spans="1:4" x14ac:dyDescent="0.2">
      <c r="A6984">
        <v>6923</v>
      </c>
      <c r="B6984" s="138">
        <f>'Expenditures 15-22'!K86</f>
        <v>83580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83580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82735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4988</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4988</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4988</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77727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4988</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66346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8622</v>
      </c>
      <c r="D7073" s="2" t="str">
        <f t="shared" si="109"/>
        <v>Error?</v>
      </c>
    </row>
    <row r="7074" spans="1:4" x14ac:dyDescent="0.2">
      <c r="A7074">
        <v>7013</v>
      </c>
      <c r="B7074" s="138">
        <f>'Expenditures 15-22'!K216</f>
        <v>8622</v>
      </c>
      <c r="D7074" s="2" t="str">
        <f t="shared" si="109"/>
        <v>Error?</v>
      </c>
    </row>
    <row r="7075" spans="1:4" x14ac:dyDescent="0.2">
      <c r="A7075">
        <v>7014</v>
      </c>
      <c r="B7075" s="138">
        <f>'Expenditures 15-22'!D218</f>
        <v>1159</v>
      </c>
      <c r="D7075" s="2" t="str">
        <f t="shared" si="109"/>
        <v>Error?</v>
      </c>
    </row>
    <row r="7076" spans="1:4" x14ac:dyDescent="0.2">
      <c r="A7076">
        <v>7015</v>
      </c>
      <c r="B7076" s="138">
        <f>'Expenditures 15-22'!K218</f>
        <v>1159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77727</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77727</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77727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77727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77727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77727</v>
      </c>
      <c r="D7224" s="2" t="str">
        <f t="shared" si="111"/>
        <v>Error?</v>
      </c>
    </row>
    <row r="7225" spans="1:4" x14ac:dyDescent="0.2">
      <c r="A7225">
        <v>7164</v>
      </c>
      <c r="B7225" s="138">
        <f>'Expenditures 15-22'!K343</f>
        <v>-11381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30784</v>
      </c>
      <c r="D7246" s="2" t="str">
        <f t="shared" si="112"/>
        <v>Error?</v>
      </c>
    </row>
    <row r="7247" spans="1:4" x14ac:dyDescent="0.2">
      <c r="A7247">
        <f t="shared" si="113"/>
        <v>7186</v>
      </c>
      <c r="B7247" s="138">
        <f>'Expenditures 15-22'!E7</f>
        <v>1267</v>
      </c>
      <c r="D7247" s="2" t="str">
        <f t="shared" si="112"/>
        <v>Error?</v>
      </c>
    </row>
    <row r="7248" spans="1:4" x14ac:dyDescent="0.2">
      <c r="A7248">
        <f t="shared" si="113"/>
        <v>7187</v>
      </c>
      <c r="B7248" s="138">
        <f>'Expenditures 15-22'!F7</f>
        <v>12067</v>
      </c>
      <c r="D7248" s="2" t="str">
        <f t="shared" si="112"/>
        <v>Error?</v>
      </c>
    </row>
    <row r="7249" spans="1:4" x14ac:dyDescent="0.2">
      <c r="A7249">
        <f t="shared" si="113"/>
        <v>7188</v>
      </c>
      <c r="B7249" s="138">
        <f>'Expenditures 15-22'!G7</f>
        <v>4635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80852</v>
      </c>
      <c r="D7251" s="2" t="str">
        <f t="shared" si="112"/>
        <v>Error?</v>
      </c>
    </row>
    <row r="7252" spans="1:4" x14ac:dyDescent="0.2">
      <c r="A7252">
        <f t="shared" si="113"/>
        <v>7191</v>
      </c>
      <c r="B7252" s="138">
        <f>'Expenditures 15-22'!D9</f>
        <v>10108</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26904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87723</v>
      </c>
      <c r="D7624" s="2" t="str">
        <f t="shared" si="124"/>
        <v>Error?</v>
      </c>
      <c r="E7624" s="2" t="s">
        <v>19</v>
      </c>
    </row>
    <row r="7625" spans="1:5" x14ac:dyDescent="0.2">
      <c r="A7625">
        <f t="shared" si="123"/>
        <v>7564</v>
      </c>
      <c r="B7625" s="138">
        <f>'Cap Outlay Deprec 26'!I17</f>
        <v>8772.2999999999993</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8772.2999999999993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60455</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29'!D137</f>
        <v>480774</v>
      </c>
      <c r="D7797" s="2" t="str">
        <f t="shared" si="127"/>
        <v>Error?</v>
      </c>
      <c r="E7797" s="4" t="s">
        <v>1903</v>
      </c>
    </row>
    <row r="7798" spans="1:5" x14ac:dyDescent="0.2">
      <c r="A7798">
        <v>7737</v>
      </c>
      <c r="B7798" s="138">
        <f>'Contracts Paid in CY 29'!F137</f>
        <v>273378</v>
      </c>
      <c r="D7798" s="2" t="str">
        <f t="shared" si="127"/>
        <v>Error?</v>
      </c>
      <c r="E7798" s="4" t="s">
        <v>1903</v>
      </c>
    </row>
    <row r="7799" spans="1:5" x14ac:dyDescent="0.2">
      <c r="A7799">
        <v>7738</v>
      </c>
      <c r="B7799" s="138">
        <f>'Contracts Paid in CY 29'!G137</f>
        <v>207396</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Union Ridge SD 86</v>
      </c>
      <c r="B7" s="2389"/>
      <c r="C7" s="2389"/>
      <c r="D7" s="2426"/>
      <c r="E7" s="2427">
        <f>COVER!A13</f>
        <v>6016086002</v>
      </c>
      <c r="F7" s="2428"/>
      <c r="G7" s="2395" t="str">
        <f>COVER!T23</f>
        <v>066-003284</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Sikich LLP</v>
      </c>
      <c r="H9" s="2402"/>
      <c r="I9" s="2402"/>
      <c r="J9" s="2402"/>
      <c r="K9" s="2402"/>
      <c r="L9" s="2403"/>
    </row>
    <row r="10" spans="1:29" ht="13.5" customHeight="1" x14ac:dyDescent="0.2">
      <c r="A10" s="2385" t="str">
        <f>COVER!A38</f>
        <v>Michael Maguire</v>
      </c>
      <c r="B10" s="2386"/>
      <c r="C10" s="2386"/>
      <c r="D10" s="2386"/>
      <c r="E10" s="2386"/>
      <c r="F10" s="2387"/>
      <c r="G10" s="2401" t="str">
        <f>COVER!T17</f>
        <v>1415 W Dielh Road, Suite 400</v>
      </c>
      <c r="H10" s="2414"/>
      <c r="I10" s="2414"/>
      <c r="J10" s="2414"/>
      <c r="K10" s="2414"/>
      <c r="L10" s="2415"/>
    </row>
    <row r="11" spans="1:29" ht="13.5" customHeight="1" x14ac:dyDescent="0.2">
      <c r="A11" s="1184" t="s">
        <v>1519</v>
      </c>
      <c r="B11" s="1185"/>
      <c r="C11" s="1186"/>
      <c r="D11" s="1191"/>
      <c r="E11" s="1186"/>
      <c r="F11" s="1190"/>
      <c r="G11" s="2401" t="str">
        <f>COVER!T19</f>
        <v>Naperville</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anthony.cervini@sikich.com</v>
      </c>
      <c r="J13" s="2423"/>
      <c r="K13" s="2423"/>
      <c r="L13" s="2424"/>
    </row>
    <row r="14" spans="1:29" ht="13.5" customHeight="1" x14ac:dyDescent="0.2">
      <c r="A14" s="2401" t="str">
        <f>COVER!A19</f>
        <v>4600 N. Oak Park Avenue</v>
      </c>
      <c r="B14" s="2414"/>
      <c r="C14" s="2414"/>
      <c r="D14" s="2414"/>
      <c r="E14" s="2414"/>
      <c r="F14" s="2415"/>
      <c r="G14" s="1195" t="s">
        <v>1185</v>
      </c>
      <c r="H14" s="1193"/>
      <c r="I14" s="1193"/>
      <c r="J14" s="1193"/>
      <c r="K14" s="1193"/>
      <c r="L14" s="1194"/>
    </row>
    <row r="15" spans="1:29" ht="13.5" customHeight="1" x14ac:dyDescent="0.2">
      <c r="A15" s="2401" t="str">
        <f>COVER!A21</f>
        <v>Harwood Heights, IL</v>
      </c>
      <c r="B15" s="2414"/>
      <c r="C15" s="2414"/>
      <c r="D15" s="2414"/>
      <c r="E15" s="2414"/>
      <c r="F15" s="2415"/>
      <c r="G15" s="2411" t="str">
        <f>COVER!T15</f>
        <v>Anthony Cervini</v>
      </c>
      <c r="H15" s="2412"/>
      <c r="I15" s="2412"/>
      <c r="J15" s="2412"/>
      <c r="K15" s="2412"/>
      <c r="L15" s="2413"/>
    </row>
    <row r="16" spans="1:29" ht="12.2" customHeight="1" x14ac:dyDescent="0.2">
      <c r="A16" s="2391">
        <f>COVER!A25</f>
        <v>60706</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630-566-8400</v>
      </c>
      <c r="H18" s="2389"/>
      <c r="I18" s="2389"/>
      <c r="J18" s="2389"/>
      <c r="K18" s="2388" t="str">
        <f>COVER!X21</f>
        <v>630-566-8401</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3"/>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Union Ridge SD 86</v>
      </c>
      <c r="B1" s="2425"/>
      <c r="C1" s="2425"/>
      <c r="D1" s="2425"/>
    </row>
    <row r="2" spans="1:11" s="1212" customFormat="1" ht="12.75" x14ac:dyDescent="0.2">
      <c r="A2" s="2430">
        <f>'Single Audit Cover'!E7</f>
        <v>6016086002</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Union Ridge SD 86</v>
      </c>
      <c r="B1" s="2433"/>
      <c r="C1" s="2433"/>
      <c r="D1" s="2433"/>
      <c r="E1" s="2433"/>
    </row>
    <row r="2" spans="1:5" x14ac:dyDescent="0.2">
      <c r="A2" s="2434">
        <f>'Single Audit Cover'!E7</f>
        <v>6016086002</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502875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502875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502875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502875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Union Ridge SD 86</v>
      </c>
      <c r="C1" s="2437"/>
      <c r="D1" s="2437"/>
      <c r="E1" s="2437"/>
      <c r="F1" s="2437"/>
      <c r="G1" s="2437"/>
      <c r="H1" s="2437"/>
      <c r="I1" s="2437"/>
      <c r="J1" s="2437"/>
      <c r="K1" s="2437"/>
      <c r="L1" s="2437"/>
      <c r="M1" s="2437"/>
    </row>
    <row r="2" spans="2:14" ht="15" x14ac:dyDescent="0.2">
      <c r="B2" s="2438">
        <f>'Single Audit Cover'!E7</f>
        <v>6016086002</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Union Ridge SD 86</v>
      </c>
      <c r="B1" s="2442"/>
      <c r="C1" s="2442"/>
      <c r="D1" s="2442"/>
      <c r="E1" s="2442"/>
      <c r="F1" s="2442"/>
    </row>
    <row r="2" spans="1:7" ht="13.5" customHeight="1" x14ac:dyDescent="0.2">
      <c r="A2" s="2438">
        <f>'Single Audit Cover'!E7</f>
        <v>6016086002</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0" colorId="8" zoomScale="110" zoomScaleNormal="110" workbookViewId="0">
      <selection activeCell="H53" sqref="H5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2136</v>
      </c>
      <c r="C53" s="179">
        <v>22</v>
      </c>
      <c r="D53" s="247" t="s">
        <v>1462</v>
      </c>
      <c r="E53" s="248"/>
      <c r="F53" s="249"/>
      <c r="G53" s="249" t="s">
        <v>1461</v>
      </c>
      <c r="H53" s="250">
        <v>33239</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Union Ridge SD 86</v>
      </c>
      <c r="C1" s="2458"/>
      <c r="D1" s="2458"/>
      <c r="E1" s="2458"/>
      <c r="F1" s="2458"/>
      <c r="G1" s="2458"/>
      <c r="H1" s="2458"/>
      <c r="I1" s="2458"/>
      <c r="J1" s="1406"/>
    </row>
    <row r="2" spans="2:10" s="317" customFormat="1" ht="12.75" customHeight="1" x14ac:dyDescent="0.2">
      <c r="B2" s="2459">
        <f>'Single Audit Cover'!E7</f>
        <v>6016086002</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2062</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Union Ridge SD 86</v>
      </c>
      <c r="C1" s="2457"/>
      <c r="D1" s="2457"/>
      <c r="E1" s="2457"/>
      <c r="F1" s="2457"/>
      <c r="G1" s="2457"/>
      <c r="H1" s="2457"/>
      <c r="I1" s="2457"/>
      <c r="J1" s="2457"/>
      <c r="K1" s="2457"/>
      <c r="L1" s="1371"/>
      <c r="M1" s="1371"/>
    </row>
    <row r="2" spans="1:13" ht="12" customHeight="1" x14ac:dyDescent="0.2">
      <c r="B2" s="2459">
        <f>'Single Audit Cover'!E7</f>
        <v>6016086002</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Union Ridge SD 86</v>
      </c>
      <c r="C1" s="2484"/>
      <c r="D1" s="2484"/>
      <c r="E1" s="2484"/>
      <c r="F1" s="2484"/>
      <c r="G1" s="2484"/>
      <c r="H1" s="2484"/>
      <c r="I1" s="2484"/>
      <c r="J1" s="2484"/>
      <c r="K1" s="2484"/>
      <c r="L1" s="1449"/>
    </row>
    <row r="2" spans="1:12" ht="12.75" customHeight="1" x14ac:dyDescent="0.2">
      <c r="B2" s="2485">
        <f>'Single Audit Cover'!E7</f>
        <v>6016086002</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Union Ridge SD 86</v>
      </c>
      <c r="C1" s="2457"/>
      <c r="D1" s="2457"/>
      <c r="E1" s="1469"/>
    </row>
    <row r="2" spans="2:5" s="1279" customFormat="1" ht="12.75" customHeight="1" x14ac:dyDescent="0.2">
      <c r="B2" s="2459">
        <f>'Single Audit Cover'!E7</f>
        <v>6016086002</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G42" sqref="G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194787813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2.2849000000000001E-2</v>
      </c>
      <c r="E10" s="356" t="s">
        <v>1005</v>
      </c>
      <c r="F10" s="355">
        <v>3.9659999999999999E-3</v>
      </c>
      <c r="G10" s="356" t="s">
        <v>1005</v>
      </c>
      <c r="H10" s="355">
        <v>5.2899999999999996E-4</v>
      </c>
      <c r="I10" s="356" t="s">
        <v>1006</v>
      </c>
      <c r="J10" s="1732">
        <f>ROUND(D10+F10+H10,5)</f>
        <v>2.734E-2</v>
      </c>
      <c r="K10" s="222"/>
      <c r="L10" s="355">
        <v>6.6000000000000005E-5</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7644606</v>
      </c>
      <c r="E16" s="356"/>
      <c r="F16" s="1733">
        <f>SUM('Acct Summary 7-8'!C17,'Acct Summary 7-8'!D17,'Acct Summary 7-8'!F17)</f>
        <v>7084820</v>
      </c>
      <c r="G16" s="356"/>
      <c r="H16" s="1733">
        <f>SUM(D16-F16)</f>
        <v>559786</v>
      </c>
      <c r="I16" s="222"/>
      <c r="J16" s="1733">
        <f>SUM('Acct Summary 7-8'!C81,'Acct Summary 7-8'!D81,'Acct Summary 7-8'!F81,'Acct Summary 7-8'!I81)</f>
        <v>6200420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13440359.097000001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1693399</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Union Ridge SD 86</v>
      </c>
      <c r="E7" s="391"/>
      <c r="G7" s="252"/>
      <c r="H7" s="387"/>
      <c r="I7" s="387"/>
      <c r="J7" s="387"/>
      <c r="K7" s="387"/>
      <c r="L7" s="329"/>
      <c r="M7" s="329"/>
      <c r="N7" s="329"/>
      <c r="O7" s="329"/>
      <c r="P7" s="329"/>
    </row>
    <row r="8" spans="1:18" ht="12.75" x14ac:dyDescent="0.2">
      <c r="A8" s="329"/>
      <c r="B8" s="329"/>
      <c r="C8" s="389" t="s">
        <v>1125</v>
      </c>
      <c r="D8" s="392">
        <f>COVER!A13</f>
        <v>6016086002</v>
      </c>
      <c r="E8" s="393"/>
      <c r="G8" s="329"/>
      <c r="H8" s="329"/>
      <c r="I8" s="329"/>
      <c r="J8" s="329"/>
      <c r="K8" s="329"/>
      <c r="L8" s="329"/>
      <c r="M8" s="329"/>
      <c r="N8" s="329"/>
      <c r="O8" s="329"/>
      <c r="P8" s="329"/>
    </row>
    <row r="9" spans="1:18" ht="12.75" x14ac:dyDescent="0.2">
      <c r="A9" s="329"/>
      <c r="B9" s="329"/>
      <c r="C9" s="389" t="s">
        <v>713</v>
      </c>
      <c r="D9" s="394" t="str">
        <f>COVER!A15</f>
        <v>Cook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6200420</v>
      </c>
      <c r="I12" s="404"/>
      <c r="J12" s="404"/>
      <c r="K12" s="405">
        <f>TRUNC((H12/H13*100000),5)/100000</f>
        <v>0.81108431219999999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7644606</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7084820</v>
      </c>
      <c r="I17" s="404"/>
      <c r="J17" s="416"/>
      <c r="K17" s="405">
        <f>TRUNC((H17/H18*100000),5)/100000</f>
        <v>0.92677372769999999</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7644606</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6200420</v>
      </c>
      <c r="I24" s="422"/>
      <c r="J24" s="422"/>
      <c r="K24" s="423">
        <f>TRUNC(((H24/H25*100000)/100000),2)</f>
        <v>315.06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19680.055560000001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4526673.9863099996</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1693399</v>
      </c>
      <c r="I32" s="420"/>
      <c r="J32" s="420"/>
      <c r="K32" s="423">
        <f>TRUNC(100-((((H32/H33*100))*100)/100),2)</f>
        <v>87.4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13440359.097000001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6" activePane="bottomLeft" state="frozen"/>
      <selection pane="bottomLeft" activeCell="A36" sqref="A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1660742</v>
      </c>
      <c r="D4" s="466">
        <v>470352</v>
      </c>
      <c r="E4" s="466">
        <v>73474</v>
      </c>
      <c r="F4" s="466">
        <v>80826</v>
      </c>
      <c r="G4" s="466">
        <v>113472</v>
      </c>
      <c r="H4" s="466"/>
      <c r="I4" s="466">
        <v>3988500</v>
      </c>
      <c r="J4" s="467">
        <v>103487</v>
      </c>
      <c r="K4" s="466">
        <v>53149</v>
      </c>
      <c r="L4" s="466">
        <v>30998</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1660742</v>
      </c>
      <c r="D13" s="1737">
        <f t="shared" ref="D13:L13" si="0">SUM(D4:D12)</f>
        <v>470352</v>
      </c>
      <c r="E13" s="1737">
        <f t="shared" si="0"/>
        <v>73474</v>
      </c>
      <c r="F13" s="1737">
        <f t="shared" si="0"/>
        <v>80826</v>
      </c>
      <c r="G13" s="1737">
        <f t="shared" si="0"/>
        <v>113472</v>
      </c>
      <c r="H13" s="1737">
        <f t="shared" si="0"/>
        <v>0</v>
      </c>
      <c r="I13" s="1737">
        <f t="shared" si="0"/>
        <v>3988500</v>
      </c>
      <c r="J13" s="1737">
        <f t="shared" si="0"/>
        <v>103487</v>
      </c>
      <c r="K13" s="1737">
        <f t="shared" si="0"/>
        <v>53149</v>
      </c>
      <c r="L13" s="1737">
        <f t="shared" si="0"/>
        <v>30998</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49573</v>
      </c>
      <c r="N16" s="484"/>
    </row>
    <row r="17" spans="1:14" s="485" customFormat="1" ht="12.75" customHeight="1" x14ac:dyDescent="0.2">
      <c r="A17" s="482" t="s">
        <v>1403</v>
      </c>
      <c r="B17" s="483">
        <v>230</v>
      </c>
      <c r="C17" s="477"/>
      <c r="D17" s="477"/>
      <c r="E17" s="477"/>
      <c r="F17" s="477"/>
      <c r="G17" s="477"/>
      <c r="H17" s="477"/>
      <c r="I17" s="477"/>
      <c r="J17" s="477"/>
      <c r="K17" s="477"/>
      <c r="L17" s="477"/>
      <c r="M17" s="467">
        <v>7941805</v>
      </c>
      <c r="N17" s="484"/>
    </row>
    <row r="18" spans="1:14" s="485" customFormat="1" ht="12.75" customHeight="1" x14ac:dyDescent="0.2">
      <c r="A18" s="482" t="s">
        <v>1404</v>
      </c>
      <c r="B18" s="483">
        <v>240</v>
      </c>
      <c r="C18" s="477"/>
      <c r="D18" s="477"/>
      <c r="E18" s="477"/>
      <c r="F18" s="477"/>
      <c r="G18" s="477"/>
      <c r="H18" s="477"/>
      <c r="I18" s="477"/>
      <c r="J18" s="477"/>
      <c r="K18" s="477"/>
      <c r="L18" s="477"/>
      <c r="M18" s="467">
        <v>1192739</v>
      </c>
      <c r="N18" s="484"/>
    </row>
    <row r="19" spans="1:14" s="485" customFormat="1" ht="12.75" customHeight="1" x14ac:dyDescent="0.2">
      <c r="A19" s="482" t="s">
        <v>1405</v>
      </c>
      <c r="B19" s="483">
        <v>250</v>
      </c>
      <c r="C19" s="477"/>
      <c r="D19" s="477"/>
      <c r="E19" s="477"/>
      <c r="F19" s="477"/>
      <c r="G19" s="477"/>
      <c r="H19" s="477"/>
      <c r="I19" s="477"/>
      <c r="J19" s="477"/>
      <c r="K19" s="477"/>
      <c r="L19" s="477"/>
      <c r="M19" s="467">
        <v>479537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73474</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1619925</v>
      </c>
    </row>
    <row r="23" spans="1:14" ht="13.5" customHeight="1" thickBot="1" x14ac:dyDescent="0.25">
      <c r="A23" s="1736" t="s">
        <v>643</v>
      </c>
      <c r="B23" s="1741"/>
      <c r="C23" s="468"/>
      <c r="D23" s="468"/>
      <c r="E23" s="468"/>
      <c r="F23" s="468"/>
      <c r="G23" s="468"/>
      <c r="H23" s="468"/>
      <c r="I23" s="468"/>
      <c r="J23" s="468"/>
      <c r="K23" s="468"/>
      <c r="L23" s="468"/>
      <c r="M23" s="1688">
        <f>SUM(M15:M22)</f>
        <v>9663654</v>
      </c>
      <c r="N23" s="1688">
        <f>SUM(N21:N22)</f>
        <v>1693399</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30998</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30998</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1693399</v>
      </c>
    </row>
    <row r="37" spans="1:14" ht="13.5" thickBot="1" x14ac:dyDescent="0.25">
      <c r="A37" s="1736" t="s">
        <v>653</v>
      </c>
      <c r="B37" s="1741"/>
      <c r="C37" s="477"/>
      <c r="D37" s="477"/>
      <c r="E37" s="477"/>
      <c r="F37" s="477"/>
      <c r="G37" s="477"/>
      <c r="H37" s="477"/>
      <c r="I37" s="477"/>
      <c r="J37" s="477"/>
      <c r="K37" s="477"/>
      <c r="L37" s="480"/>
      <c r="M37" s="468"/>
      <c r="N37" s="1688">
        <f>SUM(N36:N36)</f>
        <v>1693399</v>
      </c>
    </row>
    <row r="38" spans="1:14" s="329" customFormat="1" ht="13.5" customHeight="1" thickTop="1" x14ac:dyDescent="0.2">
      <c r="A38" s="496" t="s">
        <v>420</v>
      </c>
      <c r="B38" s="483">
        <v>714</v>
      </c>
      <c r="C38" s="466"/>
      <c r="D38" s="466">
        <v>470352</v>
      </c>
      <c r="E38" s="466">
        <v>73474</v>
      </c>
      <c r="F38" s="466">
        <v>80826</v>
      </c>
      <c r="G38" s="466">
        <v>113472</v>
      </c>
      <c r="H38" s="466"/>
      <c r="I38" s="466"/>
      <c r="J38" s="467">
        <v>103487</v>
      </c>
      <c r="K38" s="466">
        <v>53149</v>
      </c>
      <c r="L38" s="481"/>
      <c r="M38" s="497"/>
      <c r="N38" s="497"/>
    </row>
    <row r="39" spans="1:14" s="329" customFormat="1" ht="13.5" customHeight="1" x14ac:dyDescent="0.2">
      <c r="A39" s="496" t="s">
        <v>342</v>
      </c>
      <c r="B39" s="483">
        <v>730</v>
      </c>
      <c r="C39" s="466">
        <v>1660742</v>
      </c>
      <c r="D39" s="466"/>
      <c r="E39" s="466"/>
      <c r="F39" s="466"/>
      <c r="G39" s="466"/>
      <c r="H39" s="466"/>
      <c r="I39" s="466">
        <v>3988500</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9663654</v>
      </c>
      <c r="N40" s="497"/>
    </row>
    <row r="41" spans="1:14" ht="13.5" customHeight="1" thickBot="1" x14ac:dyDescent="0.25">
      <c r="A41" s="1736" t="s">
        <v>655</v>
      </c>
      <c r="B41" s="1706"/>
      <c r="C41" s="1688">
        <f>(SUM(C34,C37,C38,C39))</f>
        <v>1660742</v>
      </c>
      <c r="D41" s="1688">
        <f t="shared" ref="D41:L41" si="2">SUM(D34,D37,D38:D39)</f>
        <v>470352</v>
      </c>
      <c r="E41" s="1688">
        <f t="shared" si="2"/>
        <v>73474</v>
      </c>
      <c r="F41" s="1688">
        <f t="shared" si="2"/>
        <v>80826</v>
      </c>
      <c r="G41" s="1688">
        <f t="shared" si="2"/>
        <v>113472</v>
      </c>
      <c r="H41" s="1688">
        <f t="shared" si="2"/>
        <v>0</v>
      </c>
      <c r="I41" s="1688">
        <f t="shared" si="2"/>
        <v>3988500</v>
      </c>
      <c r="J41" s="1688">
        <f t="shared" si="2"/>
        <v>103487</v>
      </c>
      <c r="K41" s="1688">
        <f t="shared" si="2"/>
        <v>53149</v>
      </c>
      <c r="L41" s="1688">
        <f t="shared" si="2"/>
        <v>30998</v>
      </c>
      <c r="M41" s="1688">
        <f>SUM(M40)</f>
        <v>9663654</v>
      </c>
      <c r="N41" s="1688">
        <f>SUM(N37)</f>
        <v>1693399</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1" activePane="bottomLeft" state="frozen"/>
      <selection pane="bottomLeft" activeCell="C68" sqref="C68"/>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5005582</v>
      </c>
      <c r="D4" s="1742">
        <f>'Revenues 9-14'!D109</f>
        <v>763330</v>
      </c>
      <c r="E4" s="1742">
        <f>'Revenues 9-14'!E109</f>
        <v>155271</v>
      </c>
      <c r="F4" s="1742">
        <f>'Revenues 9-14'!F109</f>
        <v>120828</v>
      </c>
      <c r="G4" s="1742">
        <f>'Revenues 9-14'!G109</f>
        <v>195030</v>
      </c>
      <c r="H4" s="1742">
        <f>'Revenues 9-14'!H109</f>
        <v>0</v>
      </c>
      <c r="I4" s="1742">
        <f>'Revenues 9-14'!I109</f>
        <v>48251</v>
      </c>
      <c r="J4" s="1742">
        <f>'Revenues 9-14'!J109</f>
        <v>66346</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1097206</v>
      </c>
      <c r="D6" s="1743">
        <f>'Revenues 9-14'!D170</f>
        <v>0</v>
      </c>
      <c r="E6" s="1743">
        <f>'Revenues 9-14'!E170</f>
        <v>0</v>
      </c>
      <c r="F6" s="1743">
        <f>'Revenues 9-14'!F170</f>
        <v>106534</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502875</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6605663</v>
      </c>
      <c r="D8" s="1688">
        <f t="shared" ref="D8:K8" si="0">SUM(D4:D7)</f>
        <v>763330</v>
      </c>
      <c r="E8" s="1688">
        <f t="shared" si="0"/>
        <v>155271</v>
      </c>
      <c r="F8" s="1688">
        <f t="shared" si="0"/>
        <v>227362</v>
      </c>
      <c r="G8" s="1688">
        <f t="shared" si="0"/>
        <v>195030</v>
      </c>
      <c r="H8" s="1688">
        <f t="shared" si="0"/>
        <v>0</v>
      </c>
      <c r="I8" s="1688">
        <f t="shared" si="0"/>
        <v>48251</v>
      </c>
      <c r="J8" s="1688">
        <f t="shared" si="0"/>
        <v>66346</v>
      </c>
      <c r="K8" s="1688">
        <f t="shared" si="0"/>
        <v>0</v>
      </c>
      <c r="L8" s="347"/>
    </row>
    <row r="9" spans="1:13" ht="15.75" thickTop="1" x14ac:dyDescent="0.2">
      <c r="A9" s="514" t="s">
        <v>1653</v>
      </c>
      <c r="B9" s="515">
        <v>3998</v>
      </c>
      <c r="C9" s="481">
        <v>2910000</v>
      </c>
      <c r="D9" s="516"/>
      <c r="E9" s="481"/>
      <c r="F9" s="481"/>
      <c r="G9" s="517"/>
      <c r="H9" s="481"/>
      <c r="I9" s="509" t="s">
        <v>1169</v>
      </c>
      <c r="J9" s="478"/>
      <c r="K9" s="481"/>
      <c r="L9" s="347"/>
    </row>
    <row r="10" spans="1:13" s="519" customFormat="1" ht="13.5" thickBot="1" x14ac:dyDescent="0.25">
      <c r="A10" s="1736" t="s">
        <v>1173</v>
      </c>
      <c r="B10" s="1709"/>
      <c r="C10" s="1688">
        <f>SUM(C8:C9)</f>
        <v>9515663</v>
      </c>
      <c r="D10" s="1688">
        <f t="shared" ref="D10:K10" si="1">SUM(D8:D9)</f>
        <v>763330</v>
      </c>
      <c r="E10" s="1688">
        <f t="shared" si="1"/>
        <v>155271</v>
      </c>
      <c r="F10" s="1688">
        <f t="shared" si="1"/>
        <v>227362</v>
      </c>
      <c r="G10" s="1688">
        <f t="shared" si="1"/>
        <v>195030</v>
      </c>
      <c r="H10" s="1688">
        <f t="shared" si="1"/>
        <v>0</v>
      </c>
      <c r="I10" s="1688">
        <f t="shared" si="1"/>
        <v>48251</v>
      </c>
      <c r="J10" s="1688">
        <f t="shared" si="1"/>
        <v>66346</v>
      </c>
      <c r="K10" s="1688">
        <f t="shared" si="1"/>
        <v>0</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4537468</v>
      </c>
      <c r="D12" s="520" t="s">
        <v>1169</v>
      </c>
      <c r="E12" s="468" t="s">
        <v>1169</v>
      </c>
      <c r="F12" s="468" t="s">
        <v>1169</v>
      </c>
      <c r="G12" s="1742">
        <f>'Expenditures 15-22'!K229</f>
        <v>111427</v>
      </c>
      <c r="H12" s="521"/>
      <c r="I12" s="468" t="s">
        <v>1169</v>
      </c>
      <c r="J12" s="468" t="s">
        <v>1169</v>
      </c>
      <c r="K12" s="521" t="s">
        <v>1169</v>
      </c>
      <c r="L12" s="347"/>
    </row>
    <row r="13" spans="1:13" ht="15.75" customHeight="1" x14ac:dyDescent="0.2">
      <c r="A13" s="1576" t="s">
        <v>457</v>
      </c>
      <c r="B13" s="1578">
        <v>2000</v>
      </c>
      <c r="C13" s="1743">
        <f>'Expenditures 15-22'!K74</f>
        <v>1446260</v>
      </c>
      <c r="D13" s="1743">
        <f>'Expenditures 15-22'!K129</f>
        <v>665086</v>
      </c>
      <c r="E13" s="469" t="s">
        <v>1169</v>
      </c>
      <c r="F13" s="1743">
        <f>'Expenditures 15-22'!K184</f>
        <v>174184</v>
      </c>
      <c r="G13" s="1743">
        <f>'Expenditures 15-22'!K279</f>
        <v>146737</v>
      </c>
      <c r="H13" s="1743">
        <f>'Expenditures 15-22'!K303</f>
        <v>0</v>
      </c>
      <c r="I13" s="468" t="s">
        <v>1169</v>
      </c>
      <c r="J13" s="1743">
        <f>'Expenditures 15-22'!K330</f>
        <v>77727</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261822</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151301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6245550</v>
      </c>
      <c r="D17" s="1688">
        <f t="shared" si="2"/>
        <v>665086</v>
      </c>
      <c r="E17" s="1688">
        <f t="shared" si="2"/>
        <v>151301</v>
      </c>
      <c r="F17" s="1688">
        <f t="shared" si="2"/>
        <v>174184</v>
      </c>
      <c r="G17" s="1688">
        <f t="shared" si="2"/>
        <v>258164</v>
      </c>
      <c r="H17" s="1688">
        <f t="shared" si="2"/>
        <v>0</v>
      </c>
      <c r="I17" s="468"/>
      <c r="J17" s="1688">
        <f>SUM(J12:J16)</f>
        <v>77727</v>
      </c>
      <c r="K17" s="1688">
        <f>SUM(K12:K16)</f>
        <v>0</v>
      </c>
      <c r="L17" s="347"/>
    </row>
    <row r="18" spans="1:12" ht="15" customHeight="1" thickTop="1" x14ac:dyDescent="0.2">
      <c r="A18" s="1744" t="s">
        <v>1654</v>
      </c>
      <c r="B18" s="1745">
        <v>4180</v>
      </c>
      <c r="C18" s="1742">
        <f t="shared" ref="C18:H18" si="3">C9</f>
        <v>2910000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9155550</v>
      </c>
      <c r="D19" s="1688">
        <f t="shared" si="4"/>
        <v>665086</v>
      </c>
      <c r="E19" s="1688">
        <f t="shared" si="4"/>
        <v>151301</v>
      </c>
      <c r="F19" s="1688">
        <f t="shared" si="4"/>
        <v>174184</v>
      </c>
      <c r="G19" s="1688">
        <f t="shared" si="4"/>
        <v>258164</v>
      </c>
      <c r="H19" s="1688">
        <f t="shared" si="4"/>
        <v>0</v>
      </c>
      <c r="I19" s="468"/>
      <c r="J19" s="1688">
        <f>SUM(J17:J18)</f>
        <v>77727</v>
      </c>
      <c r="K19" s="1688">
        <f>SUM(K17:K18)</f>
        <v>0</v>
      </c>
      <c r="L19" s="347"/>
    </row>
    <row r="20" spans="1:12" ht="16.5" thickTop="1" thickBot="1" x14ac:dyDescent="0.25">
      <c r="A20" s="2130" t="s">
        <v>1655</v>
      </c>
      <c r="B20" s="2131"/>
      <c r="C20" s="1746">
        <f>C8-C17</f>
        <v>360113</v>
      </c>
      <c r="D20" s="1746">
        <f t="shared" ref="D20:K20" si="5">D8-D17</f>
        <v>98244</v>
      </c>
      <c r="E20" s="1746">
        <f t="shared" si="5"/>
        <v>3970</v>
      </c>
      <c r="F20" s="1746">
        <f t="shared" si="5"/>
        <v>53178</v>
      </c>
      <c r="G20" s="1746">
        <f t="shared" si="5"/>
        <v>-63134</v>
      </c>
      <c r="H20" s="1746">
        <f t="shared" si="5"/>
        <v>0</v>
      </c>
      <c r="I20" s="1746">
        <f t="shared" si="5"/>
        <v>48251</v>
      </c>
      <c r="J20" s="1746">
        <f t="shared" si="5"/>
        <v>-11381</v>
      </c>
      <c r="K20" s="1746">
        <f t="shared" si="5"/>
        <v>0</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4" t="s">
        <v>374</v>
      </c>
      <c r="B44" s="2145"/>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0" t="s">
        <v>440</v>
      </c>
      <c r="B76" s="2121"/>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360113</v>
      </c>
      <c r="D78" s="1702">
        <f t="shared" si="9"/>
        <v>98244</v>
      </c>
      <c r="E78" s="1702">
        <f t="shared" si="9"/>
        <v>3970</v>
      </c>
      <c r="F78" s="1702">
        <f t="shared" si="9"/>
        <v>53178</v>
      </c>
      <c r="G78" s="1702">
        <f t="shared" si="9"/>
        <v>-63134</v>
      </c>
      <c r="H78" s="1702">
        <f t="shared" si="9"/>
        <v>0</v>
      </c>
      <c r="I78" s="1702">
        <f t="shared" si="9"/>
        <v>48251</v>
      </c>
      <c r="J78" s="1702">
        <f t="shared" si="9"/>
        <v>-11381</v>
      </c>
      <c r="K78" s="1702">
        <f t="shared" si="9"/>
        <v>0</v>
      </c>
      <c r="L78" s="533"/>
    </row>
    <row r="79" spans="1:12" ht="13.5" thickTop="1" x14ac:dyDescent="0.2">
      <c r="A79" s="1494" t="s">
        <v>1947</v>
      </c>
      <c r="B79" s="534"/>
      <c r="C79" s="478">
        <v>1300629</v>
      </c>
      <c r="D79" s="535">
        <v>372108</v>
      </c>
      <c r="E79" s="535">
        <v>69504</v>
      </c>
      <c r="F79" s="535">
        <v>27648</v>
      </c>
      <c r="G79" s="535">
        <v>176606</v>
      </c>
      <c r="H79" s="535"/>
      <c r="I79" s="535">
        <v>3940249</v>
      </c>
      <c r="J79" s="535">
        <v>114868</v>
      </c>
      <c r="K79" s="535">
        <v>53149</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1660742</v>
      </c>
      <c r="D81" s="1688">
        <f>SUM(D78:D80)</f>
        <v>470352</v>
      </c>
      <c r="E81" s="1688">
        <f t="shared" ref="E81:K81" si="10">SUM(E78:E80)</f>
        <v>73474</v>
      </c>
      <c r="F81" s="1688">
        <f t="shared" si="10"/>
        <v>80826</v>
      </c>
      <c r="G81" s="1688">
        <f t="shared" si="10"/>
        <v>113472</v>
      </c>
      <c r="H81" s="1688">
        <f t="shared" si="10"/>
        <v>0</v>
      </c>
      <c r="I81" s="1688">
        <f t="shared" si="10"/>
        <v>3988500</v>
      </c>
      <c r="J81" s="1688">
        <f t="shared" si="10"/>
        <v>103487</v>
      </c>
      <c r="K81" s="1688">
        <f t="shared" si="10"/>
        <v>53149</v>
      </c>
      <c r="L81" s="347"/>
    </row>
    <row r="82" spans="1:12" ht="0.75" customHeight="1" thickTop="1" thickBot="1" x14ac:dyDescent="0.25">
      <c r="A82" s="536" t="s">
        <v>343</v>
      </c>
      <c r="B82" s="537"/>
      <c r="C82" s="538">
        <f>(C81-C79)</f>
        <v>360113</v>
      </c>
      <c r="D82" s="538">
        <f t="shared" ref="D82:K82" si="11">(D81-D79)</f>
        <v>98244</v>
      </c>
      <c r="E82" s="538">
        <f t="shared" si="11"/>
        <v>3970</v>
      </c>
      <c r="F82" s="538">
        <f t="shared" si="11"/>
        <v>53178</v>
      </c>
      <c r="G82" s="538">
        <f t="shared" si="11"/>
        <v>-63134</v>
      </c>
      <c r="H82" s="538">
        <f t="shared" si="11"/>
        <v>0</v>
      </c>
      <c r="I82" s="538">
        <f t="shared" si="11"/>
        <v>48251</v>
      </c>
      <c r="J82" s="538">
        <f t="shared" si="11"/>
        <v>-11381</v>
      </c>
      <c r="K82" s="538">
        <f t="shared" si="11"/>
        <v>0</v>
      </c>
    </row>
    <row r="83" spans="1:12" ht="14.25" hidden="1" thickTop="1" thickBot="1" x14ac:dyDescent="0.25">
      <c r="A83" s="539" t="s">
        <v>344</v>
      </c>
      <c r="B83" s="464"/>
      <c r="C83" s="540">
        <f>C82/C81</f>
        <v>0.21683861791897838</v>
      </c>
      <c r="D83" s="540">
        <f t="shared" ref="D83:K83" si="12">D82/D81</f>
        <v>0.2088733544239208</v>
      </c>
      <c r="E83" s="540">
        <f t="shared" si="12"/>
        <v>5.4032719057081416E-2</v>
      </c>
      <c r="F83" s="540">
        <f t="shared" si="12"/>
        <v>0.65793185361146167</v>
      </c>
      <c r="G83" s="540">
        <f t="shared" si="12"/>
        <v>-0.55638395375070504</v>
      </c>
      <c r="H83" s="540" t="e">
        <f t="shared" si="12"/>
        <v>#DIV/0!</v>
      </c>
      <c r="I83" s="540">
        <f t="shared" si="12"/>
        <v>1.2097530399899711E-2</v>
      </c>
      <c r="J83" s="540">
        <f t="shared" si="12"/>
        <v>-0.10997516596287456</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71" activePane="bottomLeft" state="frozen"/>
      <selection pane="bottomLeft" activeCell="C84" sqref="C84"/>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4443927</v>
      </c>
      <c r="D5" s="481">
        <v>720848</v>
      </c>
      <c r="E5" s="466">
        <v>154759</v>
      </c>
      <c r="F5" s="548">
        <v>77729</v>
      </c>
      <c r="G5" s="466">
        <v>102570</v>
      </c>
      <c r="H5" s="466"/>
      <c r="I5" s="466">
        <v>9442</v>
      </c>
      <c r="J5" s="467">
        <v>65841</v>
      </c>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60455</v>
      </c>
      <c r="D7" s="466"/>
      <c r="E7" s="468"/>
      <c r="F7" s="467"/>
      <c r="G7" s="467"/>
      <c r="H7" s="467"/>
      <c r="I7" s="468"/>
      <c r="J7" s="468"/>
      <c r="K7" s="468"/>
    </row>
    <row r="8" spans="1:12" x14ac:dyDescent="0.2">
      <c r="A8" s="463" t="s">
        <v>413</v>
      </c>
      <c r="B8" s="470">
        <v>1150</v>
      </c>
      <c r="C8" s="475"/>
      <c r="D8" s="475"/>
      <c r="E8" s="477"/>
      <c r="F8" s="477"/>
      <c r="G8" s="481">
        <v>91721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4504382</v>
      </c>
      <c r="D12" s="1707">
        <f t="shared" si="0"/>
        <v>720848</v>
      </c>
      <c r="E12" s="1707">
        <f t="shared" si="0"/>
        <v>154759</v>
      </c>
      <c r="F12" s="1707">
        <f t="shared" si="0"/>
        <v>77729</v>
      </c>
      <c r="G12" s="1707">
        <f t="shared" si="0"/>
        <v>194291</v>
      </c>
      <c r="H12" s="1707">
        <f t="shared" si="0"/>
        <v>0</v>
      </c>
      <c r="I12" s="1707">
        <f t="shared" si="0"/>
        <v>9442</v>
      </c>
      <c r="J12" s="1707">
        <f t="shared" si="0"/>
        <v>65841</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71698</v>
      </c>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71698</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82360</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82360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69029</v>
      </c>
      <c r="D65" s="466">
        <v>6920</v>
      </c>
      <c r="E65" s="466">
        <v>512</v>
      </c>
      <c r="F65" s="467">
        <v>36632</v>
      </c>
      <c r="G65" s="466">
        <v>739</v>
      </c>
      <c r="H65" s="466"/>
      <c r="I65" s="466">
        <v>38809</v>
      </c>
      <c r="J65" s="467">
        <v>505</v>
      </c>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69029</v>
      </c>
      <c r="D67" s="1688">
        <f t="shared" ref="D67:K67" si="2">SUM(D65:D66)</f>
        <v>6920</v>
      </c>
      <c r="E67" s="1688">
        <f t="shared" si="2"/>
        <v>512</v>
      </c>
      <c r="F67" s="1688">
        <f t="shared" si="2"/>
        <v>36632</v>
      </c>
      <c r="G67" s="1688">
        <f t="shared" si="2"/>
        <v>739</v>
      </c>
      <c r="H67" s="1688">
        <f t="shared" si="2"/>
        <v>0</v>
      </c>
      <c r="I67" s="1688">
        <f t="shared" si="2"/>
        <v>38809</v>
      </c>
      <c r="J67" s="1688">
        <f t="shared" si="2"/>
        <v>505</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34207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34207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57934</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57934</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103950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103950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6410</v>
      </c>
      <c r="D95" s="551"/>
      <c r="E95" s="521"/>
      <c r="F95" s="521"/>
      <c r="G95" s="521"/>
      <c r="H95" s="521"/>
      <c r="I95" s="521"/>
      <c r="J95" s="521"/>
      <c r="K95" s="521"/>
    </row>
    <row r="96" spans="1:11" ht="12.75" customHeight="1" x14ac:dyDescent="0.2">
      <c r="A96" s="463" t="s">
        <v>391</v>
      </c>
      <c r="B96" s="470">
        <v>1920</v>
      </c>
      <c r="C96" s="551">
        <v>22750</v>
      </c>
      <c r="D96" s="551">
        <v>15792</v>
      </c>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7707</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38808</v>
      </c>
      <c r="D106" s="489"/>
      <c r="E106" s="467"/>
      <c r="F106" s="467"/>
      <c r="G106" s="467"/>
      <c r="H106" s="467"/>
      <c r="I106" s="521"/>
      <c r="J106" s="467"/>
      <c r="K106" s="467"/>
    </row>
    <row r="107" spans="1:12" ht="12.75" customHeight="1" x14ac:dyDescent="0.2">
      <c r="A107" s="463" t="s">
        <v>78</v>
      </c>
      <c r="B107" s="470">
        <v>1999</v>
      </c>
      <c r="C107" s="551">
        <v>6347</v>
      </c>
      <c r="D107" s="466">
        <v>19770</v>
      </c>
      <c r="E107" s="466"/>
      <c r="F107" s="466">
        <v>6467</v>
      </c>
      <c r="G107" s="466"/>
      <c r="H107" s="466"/>
      <c r="I107" s="466"/>
      <c r="J107" s="467"/>
      <c r="K107" s="466"/>
    </row>
    <row r="108" spans="1:12" ht="12.75" customHeight="1" thickBot="1" x14ac:dyDescent="0.25">
      <c r="A108" s="1708" t="s">
        <v>487</v>
      </c>
      <c r="B108" s="1712"/>
      <c r="C108" s="1707">
        <f>SUM(C95:C107)</f>
        <v>82022</v>
      </c>
      <c r="D108" s="1707">
        <f t="shared" ref="D108:K108" si="3">SUM(D95:D107)</f>
        <v>35562</v>
      </c>
      <c r="E108" s="1707">
        <f t="shared" si="3"/>
        <v>0</v>
      </c>
      <c r="F108" s="1707">
        <f t="shared" si="3"/>
        <v>6467</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5005582</v>
      </c>
      <c r="D109" s="1715">
        <f t="shared" si="4"/>
        <v>763330</v>
      </c>
      <c r="E109" s="1715">
        <f t="shared" si="4"/>
        <v>155271</v>
      </c>
      <c r="F109" s="1715">
        <f t="shared" si="4"/>
        <v>120828</v>
      </c>
      <c r="G109" s="1715">
        <f t="shared" si="4"/>
        <v>195030</v>
      </c>
      <c r="H109" s="1715">
        <f t="shared" si="4"/>
        <v>0</v>
      </c>
      <c r="I109" s="1715">
        <f t="shared" si="4"/>
        <v>48251</v>
      </c>
      <c r="J109" s="1715">
        <f t="shared" si="4"/>
        <v>66346</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817074</v>
      </c>
      <c r="D117" s="481"/>
      <c r="E117" s="466"/>
      <c r="F117" s="481">
        <v>81612</v>
      </c>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817074</v>
      </c>
      <c r="D122" s="1707">
        <f t="shared" si="5"/>
        <v>0</v>
      </c>
      <c r="E122" s="1707">
        <f t="shared" si="5"/>
        <v>0</v>
      </c>
      <c r="F122" s="1707">
        <f t="shared" si="5"/>
        <v>81612</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1635</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65</v>
      </c>
      <c r="G152" s="467"/>
      <c r="H152" s="468"/>
      <c r="I152" s="468"/>
      <c r="J152" s="468"/>
      <c r="K152" s="468"/>
    </row>
    <row r="153" spans="1:11" ht="12.75" customHeight="1" x14ac:dyDescent="0.2">
      <c r="A153" s="463" t="s">
        <v>1057</v>
      </c>
      <c r="B153" s="562">
        <v>3510</v>
      </c>
      <c r="C153" s="551"/>
      <c r="D153" s="466"/>
      <c r="E153" s="561"/>
      <c r="F153" s="466">
        <v>24857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24922</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278497</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280132</v>
      </c>
      <c r="D169" s="1722">
        <f t="shared" si="6"/>
        <v>0</v>
      </c>
      <c r="E169" s="1722">
        <f t="shared" si="6"/>
        <v>0</v>
      </c>
      <c r="F169" s="1722">
        <f t="shared" si="6"/>
        <v>24922</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1097206</v>
      </c>
      <c r="D170" s="1715">
        <f t="shared" si="7"/>
        <v>0</v>
      </c>
      <c r="E170" s="1715">
        <f t="shared" si="7"/>
        <v>0</v>
      </c>
      <c r="F170" s="1715">
        <f t="shared" si="7"/>
        <v>106534</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95283</v>
      </c>
      <c r="D191" s="468"/>
      <c r="E191" s="561"/>
      <c r="F191" s="468"/>
      <c r="G191" s="585"/>
      <c r="H191" s="468"/>
      <c r="I191" s="468"/>
      <c r="J191" s="468"/>
      <c r="K191" s="468"/>
    </row>
    <row r="192" spans="1:11" ht="12.75" customHeight="1" x14ac:dyDescent="0.2">
      <c r="A192" s="463" t="s">
        <v>1047</v>
      </c>
      <c r="B192" s="470">
        <v>4215</v>
      </c>
      <c r="C192" s="551">
        <v>1146</v>
      </c>
      <c r="D192" s="468"/>
      <c r="E192" s="561"/>
      <c r="F192" s="468"/>
      <c r="G192" s="585"/>
      <c r="H192" s="468"/>
      <c r="I192" s="468"/>
      <c r="J192" s="468"/>
      <c r="K192" s="468"/>
    </row>
    <row r="193" spans="1:11" ht="12.75" customHeight="1" x14ac:dyDescent="0.2">
      <c r="A193" s="463" t="s">
        <v>1059</v>
      </c>
      <c r="B193" s="470">
        <v>4220</v>
      </c>
      <c r="C193" s="551">
        <v>12457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v>12716</v>
      </c>
      <c r="D197" s="468"/>
      <c r="E197" s="561"/>
      <c r="F197" s="468"/>
      <c r="G197" s="585"/>
      <c r="H197" s="468"/>
      <c r="I197" s="468"/>
      <c r="J197" s="468"/>
      <c r="K197" s="468"/>
    </row>
    <row r="198" spans="1:11" ht="12.75" customHeight="1" thickBot="1" x14ac:dyDescent="0.25">
      <c r="A198" s="1708" t="s">
        <v>548</v>
      </c>
      <c r="B198" s="1709"/>
      <c r="C198" s="1688">
        <f>SUM(C190:C197)</f>
        <v>121602</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157434</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157434</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1812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130597</v>
      </c>
      <c r="D213" s="466"/>
      <c r="E213" s="468"/>
      <c r="F213" s="466"/>
      <c r="G213" s="466"/>
      <c r="H213" s="468"/>
      <c r="I213" s="468"/>
      <c r="J213" s="468"/>
      <c r="K213" s="468"/>
    </row>
    <row r="214" spans="1:11" ht="12.75" customHeight="1" x14ac:dyDescent="0.2">
      <c r="A214" s="463" t="s">
        <v>1054</v>
      </c>
      <c r="B214" s="470">
        <v>4625</v>
      </c>
      <c r="C214" s="551">
        <v>5506</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137915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v>799</v>
      </c>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799</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17407</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30328</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37390</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502875</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502875</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6605663</v>
      </c>
      <c r="D268" s="1715">
        <f t="shared" si="12"/>
        <v>763330</v>
      </c>
      <c r="E268" s="1715">
        <f t="shared" si="12"/>
        <v>155271</v>
      </c>
      <c r="F268" s="1715">
        <f t="shared" si="12"/>
        <v>227362</v>
      </c>
      <c r="G268" s="1715">
        <f t="shared" si="12"/>
        <v>195030</v>
      </c>
      <c r="H268" s="1715">
        <f t="shared" si="12"/>
        <v>0</v>
      </c>
      <c r="I268" s="1715">
        <f t="shared" si="12"/>
        <v>48251</v>
      </c>
      <c r="J268" s="1715">
        <f t="shared" si="12"/>
        <v>66346</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13" sqref="A1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2773554</v>
      </c>
      <c r="D5" s="466">
        <v>330071</v>
      </c>
      <c r="E5" s="466">
        <v>7472</v>
      </c>
      <c r="F5" s="466">
        <v>118476</v>
      </c>
      <c r="G5" s="466">
        <v>3000</v>
      </c>
      <c r="H5" s="466"/>
      <c r="I5" s="467">
        <v>71593</v>
      </c>
      <c r="J5" s="467"/>
      <c r="K5" s="1671">
        <f>SUM(C5:J5)</f>
        <v>3304166</v>
      </c>
      <c r="L5" s="466">
        <v>3656950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164142</v>
      </c>
      <c r="D7" s="467">
        <v>30784</v>
      </c>
      <c r="E7" s="467">
        <v>1267</v>
      </c>
      <c r="F7" s="467">
        <v>12067</v>
      </c>
      <c r="G7" s="467">
        <v>4635</v>
      </c>
      <c r="H7" s="467"/>
      <c r="I7" s="467">
        <v>11142</v>
      </c>
      <c r="J7" s="467"/>
      <c r="K7" s="1671">
        <f t="shared" ref="K7:K32" si="0">SUM(C7:J7)</f>
        <v>224037</v>
      </c>
      <c r="L7" s="466">
        <v>244864</v>
      </c>
    </row>
    <row r="8" spans="1:14" x14ac:dyDescent="0.2">
      <c r="A8" s="1504" t="s">
        <v>164</v>
      </c>
      <c r="B8" s="614">
        <v>1200</v>
      </c>
      <c r="C8" s="466">
        <v>346990</v>
      </c>
      <c r="D8" s="466">
        <v>61062</v>
      </c>
      <c r="E8" s="466">
        <v>150</v>
      </c>
      <c r="F8" s="466">
        <v>2130</v>
      </c>
      <c r="G8" s="466"/>
      <c r="H8" s="466"/>
      <c r="I8" s="467"/>
      <c r="J8" s="467"/>
      <c r="K8" s="1671">
        <f t="shared" si="0"/>
        <v>410332</v>
      </c>
      <c r="L8" s="466">
        <v>476250</v>
      </c>
    </row>
    <row r="9" spans="1:14" x14ac:dyDescent="0.2">
      <c r="A9" s="1504" t="s">
        <v>721</v>
      </c>
      <c r="B9" s="614" t="s">
        <v>968</v>
      </c>
      <c r="C9" s="467">
        <v>80852</v>
      </c>
      <c r="D9" s="467">
        <v>10108</v>
      </c>
      <c r="E9" s="467"/>
      <c r="F9" s="467">
        <v>26904</v>
      </c>
      <c r="G9" s="467"/>
      <c r="H9" s="467"/>
      <c r="I9" s="467"/>
      <c r="J9" s="467"/>
      <c r="K9" s="1671">
        <f t="shared" si="0"/>
        <v>117864</v>
      </c>
      <c r="L9" s="466">
        <v>102736</v>
      </c>
    </row>
    <row r="10" spans="1:14" x14ac:dyDescent="0.2">
      <c r="A10" s="1504" t="s">
        <v>722</v>
      </c>
      <c r="B10" s="614">
        <v>1250</v>
      </c>
      <c r="C10" s="466">
        <v>117329</v>
      </c>
      <c r="D10" s="466">
        <v>9831</v>
      </c>
      <c r="E10" s="466"/>
      <c r="F10" s="466">
        <v>475</v>
      </c>
      <c r="G10" s="466"/>
      <c r="H10" s="466"/>
      <c r="I10" s="467"/>
      <c r="J10" s="467"/>
      <c r="K10" s="1671">
        <f t="shared" si="0"/>
        <v>127635</v>
      </c>
      <c r="L10" s="466">
        <v>161411</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18812</v>
      </c>
      <c r="D14" s="466">
        <v>298</v>
      </c>
      <c r="E14" s="466"/>
      <c r="F14" s="466">
        <v>13573</v>
      </c>
      <c r="G14" s="466"/>
      <c r="H14" s="466">
        <v>10528</v>
      </c>
      <c r="I14" s="467"/>
      <c r="J14" s="467"/>
      <c r="K14" s="1671">
        <f t="shared" si="0"/>
        <v>43211</v>
      </c>
      <c r="L14" s="466">
        <v>67800</v>
      </c>
    </row>
    <row r="15" spans="1:14" x14ac:dyDescent="0.2">
      <c r="A15" s="1504" t="s">
        <v>964</v>
      </c>
      <c r="B15" s="614">
        <v>1600</v>
      </c>
      <c r="C15" s="466">
        <v>1611</v>
      </c>
      <c r="D15" s="466">
        <v>24</v>
      </c>
      <c r="E15" s="466"/>
      <c r="F15" s="466"/>
      <c r="G15" s="466"/>
      <c r="H15" s="466"/>
      <c r="I15" s="467"/>
      <c r="J15" s="467"/>
      <c r="K15" s="1671">
        <f t="shared" si="0"/>
        <v>1635</v>
      </c>
      <c r="L15" s="466">
        <v>10200</v>
      </c>
    </row>
    <row r="16" spans="1:14" x14ac:dyDescent="0.2">
      <c r="A16" s="1504" t="s">
        <v>987</v>
      </c>
      <c r="B16" s="614" t="s">
        <v>424</v>
      </c>
      <c r="C16" s="466">
        <v>46733</v>
      </c>
      <c r="D16" s="466">
        <v>5335</v>
      </c>
      <c r="E16" s="466"/>
      <c r="F16" s="466">
        <v>969</v>
      </c>
      <c r="G16" s="466"/>
      <c r="H16" s="466"/>
      <c r="I16" s="467"/>
      <c r="J16" s="467"/>
      <c r="K16" s="1671">
        <f t="shared" si="0"/>
        <v>53037</v>
      </c>
      <c r="L16" s="466">
        <v>100649</v>
      </c>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223511</v>
      </c>
      <c r="D18" s="466">
        <v>31480</v>
      </c>
      <c r="E18" s="466"/>
      <c r="F18" s="466">
        <v>560</v>
      </c>
      <c r="G18" s="466"/>
      <c r="H18" s="466"/>
      <c r="I18" s="467"/>
      <c r="J18" s="467"/>
      <c r="K18" s="1671">
        <f t="shared" si="0"/>
        <v>255551</v>
      </c>
      <c r="L18" s="466">
        <v>259107</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3773534</v>
      </c>
      <c r="D33" s="1670">
        <f t="shared" ref="D33:L33" si="1">SUM(D5:D32)</f>
        <v>478993</v>
      </c>
      <c r="E33" s="1670">
        <f t="shared" si="1"/>
        <v>8889</v>
      </c>
      <c r="F33" s="1670">
        <f t="shared" si="1"/>
        <v>175154</v>
      </c>
      <c r="G33" s="1670">
        <f t="shared" si="1"/>
        <v>7635</v>
      </c>
      <c r="H33" s="1670">
        <f t="shared" si="1"/>
        <v>10528</v>
      </c>
      <c r="I33" s="1670">
        <f t="shared" si="1"/>
        <v>82735</v>
      </c>
      <c r="J33" s="1670">
        <f t="shared" si="1"/>
        <v>0</v>
      </c>
      <c r="K33" s="1670">
        <f t="shared" si="1"/>
        <v>4537468</v>
      </c>
      <c r="L33" s="1670">
        <f t="shared" si="1"/>
        <v>5079967</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57799</v>
      </c>
      <c r="D36" s="481">
        <v>9721</v>
      </c>
      <c r="E36" s="481"/>
      <c r="F36" s="481">
        <v>537</v>
      </c>
      <c r="G36" s="481"/>
      <c r="H36" s="481"/>
      <c r="I36" s="467"/>
      <c r="J36" s="467"/>
      <c r="K36" s="1671">
        <f t="shared" ref="K36:K41" si="2">SUM(C36:J36)</f>
        <v>68057</v>
      </c>
      <c r="L36" s="466">
        <v>72150</v>
      </c>
    </row>
    <row r="37" spans="1:14" x14ac:dyDescent="0.2">
      <c r="A37" s="1504" t="s">
        <v>1090</v>
      </c>
      <c r="B37" s="614">
        <v>2120</v>
      </c>
      <c r="C37" s="466"/>
      <c r="D37" s="466"/>
      <c r="E37" s="466"/>
      <c r="F37" s="466">
        <v>4938</v>
      </c>
      <c r="G37" s="466"/>
      <c r="H37" s="466"/>
      <c r="I37" s="467"/>
      <c r="J37" s="467"/>
      <c r="K37" s="1671">
        <f t="shared" si="2"/>
        <v>4938</v>
      </c>
      <c r="L37" s="466">
        <v>10000</v>
      </c>
    </row>
    <row r="38" spans="1:14" x14ac:dyDescent="0.2">
      <c r="A38" s="1504" t="s">
        <v>198</v>
      </c>
      <c r="B38" s="614">
        <v>2130</v>
      </c>
      <c r="C38" s="466">
        <v>50819</v>
      </c>
      <c r="D38" s="466">
        <v>6498</v>
      </c>
      <c r="E38" s="466"/>
      <c r="F38" s="466">
        <v>1500</v>
      </c>
      <c r="G38" s="466"/>
      <c r="H38" s="466"/>
      <c r="I38" s="467"/>
      <c r="J38" s="467"/>
      <c r="K38" s="1671">
        <f t="shared" si="2"/>
        <v>58817</v>
      </c>
      <c r="L38" s="466">
        <v>64800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66537</v>
      </c>
      <c r="D40" s="466">
        <v>9853</v>
      </c>
      <c r="E40" s="466">
        <v>10348</v>
      </c>
      <c r="F40" s="466">
        <v>192</v>
      </c>
      <c r="G40" s="466"/>
      <c r="H40" s="466"/>
      <c r="I40" s="467"/>
      <c r="J40" s="467"/>
      <c r="K40" s="1671">
        <f t="shared" si="2"/>
        <v>86930</v>
      </c>
      <c r="L40" s="466">
        <v>97303</v>
      </c>
    </row>
    <row r="41" spans="1:14" x14ac:dyDescent="0.2">
      <c r="A41" s="1504" t="s">
        <v>1669</v>
      </c>
      <c r="B41" s="614">
        <v>2190</v>
      </c>
      <c r="C41" s="466">
        <v>126433</v>
      </c>
      <c r="D41" s="466">
        <v>2659</v>
      </c>
      <c r="E41" s="466"/>
      <c r="F41" s="466">
        <v>620</v>
      </c>
      <c r="G41" s="466"/>
      <c r="H41" s="466"/>
      <c r="I41" s="467"/>
      <c r="J41" s="467"/>
      <c r="K41" s="1671">
        <f t="shared" si="2"/>
        <v>129712</v>
      </c>
      <c r="L41" s="466">
        <v>117750</v>
      </c>
    </row>
    <row r="42" spans="1:14" ht="12.75" customHeight="1" thickBot="1" x14ac:dyDescent="0.25">
      <c r="A42" s="1668" t="s">
        <v>560</v>
      </c>
      <c r="B42" s="1669" t="s">
        <v>716</v>
      </c>
      <c r="C42" s="1670">
        <f>SUM(C36:C41)</f>
        <v>301588</v>
      </c>
      <c r="D42" s="1670">
        <f t="shared" ref="D42:L42" si="3">SUM(D36:D41)</f>
        <v>28731</v>
      </c>
      <c r="E42" s="1670">
        <f t="shared" si="3"/>
        <v>10348</v>
      </c>
      <c r="F42" s="1670">
        <f t="shared" si="3"/>
        <v>7787</v>
      </c>
      <c r="G42" s="1670">
        <f t="shared" si="3"/>
        <v>0</v>
      </c>
      <c r="H42" s="1670">
        <f t="shared" si="3"/>
        <v>0</v>
      </c>
      <c r="I42" s="1670">
        <f t="shared" si="3"/>
        <v>0</v>
      </c>
      <c r="J42" s="1670">
        <f t="shared" si="3"/>
        <v>0</v>
      </c>
      <c r="K42" s="1670">
        <f t="shared" si="3"/>
        <v>348454</v>
      </c>
      <c r="L42" s="1670">
        <f t="shared" si="3"/>
        <v>362003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21523</v>
      </c>
      <c r="D44" s="481">
        <v>374</v>
      </c>
      <c r="E44" s="481">
        <v>44755</v>
      </c>
      <c r="F44" s="481"/>
      <c r="G44" s="481"/>
      <c r="H44" s="481"/>
      <c r="I44" s="467"/>
      <c r="J44" s="467"/>
      <c r="K44" s="1672">
        <f>SUM(C44:J44)</f>
        <v>66652</v>
      </c>
      <c r="L44" s="481">
        <v>58905</v>
      </c>
    </row>
    <row r="45" spans="1:14" x14ac:dyDescent="0.2">
      <c r="A45" s="1504" t="s">
        <v>815</v>
      </c>
      <c r="B45" s="614">
        <v>2220</v>
      </c>
      <c r="C45" s="466">
        <v>30204</v>
      </c>
      <c r="D45" s="466">
        <v>4681</v>
      </c>
      <c r="E45" s="466"/>
      <c r="F45" s="466">
        <v>8359</v>
      </c>
      <c r="G45" s="466"/>
      <c r="H45" s="466"/>
      <c r="I45" s="467"/>
      <c r="J45" s="467"/>
      <c r="K45" s="1672">
        <f>SUM(C45:J45)</f>
        <v>43244</v>
      </c>
      <c r="L45" s="466">
        <v>36000</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51727</v>
      </c>
      <c r="D47" s="1670">
        <f t="shared" ref="D47:K47" si="4">SUM(D44:D46)</f>
        <v>5055</v>
      </c>
      <c r="E47" s="1670">
        <f t="shared" si="4"/>
        <v>44755</v>
      </c>
      <c r="F47" s="1670">
        <f t="shared" si="4"/>
        <v>8359</v>
      </c>
      <c r="G47" s="1670">
        <f t="shared" si="4"/>
        <v>0</v>
      </c>
      <c r="H47" s="1670">
        <f t="shared" si="4"/>
        <v>0</v>
      </c>
      <c r="I47" s="1670">
        <f t="shared" si="4"/>
        <v>0</v>
      </c>
      <c r="J47" s="1670">
        <f t="shared" si="4"/>
        <v>0</v>
      </c>
      <c r="K47" s="1670">
        <f t="shared" si="4"/>
        <v>109896</v>
      </c>
      <c r="L47" s="1670">
        <f>SUM(L44:L46)</f>
        <v>94905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1350</v>
      </c>
      <c r="D49" s="481"/>
      <c r="E49" s="481">
        <v>71</v>
      </c>
      <c r="F49" s="481">
        <v>24818</v>
      </c>
      <c r="G49" s="481"/>
      <c r="H49" s="481"/>
      <c r="I49" s="467"/>
      <c r="J49" s="467"/>
      <c r="K49" s="1672">
        <f>SUM(C49:J49)</f>
        <v>26239</v>
      </c>
      <c r="L49" s="481">
        <v>25000</v>
      </c>
    </row>
    <row r="50" spans="1:14" x14ac:dyDescent="0.2">
      <c r="A50" s="1504" t="s">
        <v>818</v>
      </c>
      <c r="B50" s="614">
        <v>2320</v>
      </c>
      <c r="C50" s="466">
        <v>222642</v>
      </c>
      <c r="D50" s="466">
        <v>48123</v>
      </c>
      <c r="E50" s="466">
        <v>8471</v>
      </c>
      <c r="F50" s="466">
        <v>30465</v>
      </c>
      <c r="G50" s="466"/>
      <c r="H50" s="466"/>
      <c r="I50" s="467"/>
      <c r="J50" s="467"/>
      <c r="K50" s="1672">
        <f>SUM(C50:J50)</f>
        <v>309701</v>
      </c>
      <c r="L50" s="466">
        <v>313972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223992</v>
      </c>
      <c r="D53" s="1670">
        <f t="shared" ref="D53:L53" si="5">SUM(D49:D52)</f>
        <v>48123</v>
      </c>
      <c r="E53" s="1670">
        <f t="shared" si="5"/>
        <v>8542</v>
      </c>
      <c r="F53" s="1670">
        <f t="shared" si="5"/>
        <v>55283</v>
      </c>
      <c r="G53" s="1670">
        <f t="shared" si="5"/>
        <v>0</v>
      </c>
      <c r="H53" s="1670">
        <f t="shared" si="5"/>
        <v>0</v>
      </c>
      <c r="I53" s="1670">
        <f t="shared" si="5"/>
        <v>0</v>
      </c>
      <c r="J53" s="1670">
        <f t="shared" si="5"/>
        <v>0</v>
      </c>
      <c r="K53" s="1670">
        <f t="shared" si="5"/>
        <v>335940</v>
      </c>
      <c r="L53" s="1670">
        <f t="shared" si="5"/>
        <v>338972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250476</v>
      </c>
      <c r="D55" s="481">
        <v>39730</v>
      </c>
      <c r="E55" s="481">
        <v>9776</v>
      </c>
      <c r="F55" s="481">
        <v>2283</v>
      </c>
      <c r="G55" s="481"/>
      <c r="H55" s="481"/>
      <c r="I55" s="467"/>
      <c r="J55" s="467"/>
      <c r="K55" s="1672">
        <f>SUM(C55:J55)</f>
        <v>302265</v>
      </c>
      <c r="L55" s="481">
        <v>311569</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250476</v>
      </c>
      <c r="D57" s="1674">
        <f t="shared" ref="D57:K57" si="6">SUM(D55:D56)</f>
        <v>39730</v>
      </c>
      <c r="E57" s="1674">
        <f t="shared" si="6"/>
        <v>9776</v>
      </c>
      <c r="F57" s="1674">
        <f t="shared" si="6"/>
        <v>2283</v>
      </c>
      <c r="G57" s="1674">
        <f t="shared" si="6"/>
        <v>0</v>
      </c>
      <c r="H57" s="1674">
        <f t="shared" si="6"/>
        <v>0</v>
      </c>
      <c r="I57" s="1674">
        <f t="shared" si="6"/>
        <v>0</v>
      </c>
      <c r="J57" s="1674">
        <f t="shared" si="6"/>
        <v>0</v>
      </c>
      <c r="K57" s="1674">
        <f t="shared" si="6"/>
        <v>302265</v>
      </c>
      <c r="L57" s="1670">
        <f>SUM(L55:L56)</f>
        <v>311569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99867</v>
      </c>
      <c r="D60" s="466">
        <v>10350</v>
      </c>
      <c r="E60" s="466">
        <v>3326</v>
      </c>
      <c r="F60" s="466">
        <v>1765</v>
      </c>
      <c r="G60" s="466"/>
      <c r="H60" s="466"/>
      <c r="I60" s="467"/>
      <c r="J60" s="467"/>
      <c r="K60" s="1672">
        <f t="shared" si="7"/>
        <v>115308</v>
      </c>
      <c r="L60" s="466">
        <v>121872</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39853</v>
      </c>
      <c r="D63" s="466">
        <v>394</v>
      </c>
      <c r="E63" s="466">
        <v>129692</v>
      </c>
      <c r="F63" s="466">
        <v>12716</v>
      </c>
      <c r="G63" s="466"/>
      <c r="H63" s="466"/>
      <c r="I63" s="467"/>
      <c r="J63" s="467"/>
      <c r="K63" s="1672">
        <f t="shared" si="7"/>
        <v>182655</v>
      </c>
      <c r="L63" s="466">
        <v>188600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139720</v>
      </c>
      <c r="D65" s="1670">
        <f t="shared" ref="D65:L65" si="8">SUM(D59:D64)</f>
        <v>10744</v>
      </c>
      <c r="E65" s="1670">
        <f t="shared" si="8"/>
        <v>133018</v>
      </c>
      <c r="F65" s="1670">
        <f t="shared" si="8"/>
        <v>14481</v>
      </c>
      <c r="G65" s="1670">
        <f t="shared" si="8"/>
        <v>0</v>
      </c>
      <c r="H65" s="1670">
        <f t="shared" si="8"/>
        <v>0</v>
      </c>
      <c r="I65" s="1670">
        <f t="shared" si="8"/>
        <v>0</v>
      </c>
      <c r="J65" s="1670">
        <f t="shared" si="8"/>
        <v>0</v>
      </c>
      <c r="K65" s="1670">
        <f t="shared" si="8"/>
        <v>297963</v>
      </c>
      <c r="L65" s="1670">
        <f t="shared" si="8"/>
        <v>310472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v>18210</v>
      </c>
      <c r="F68" s="466"/>
      <c r="G68" s="466"/>
      <c r="H68" s="466"/>
      <c r="I68" s="467"/>
      <c r="J68" s="467"/>
      <c r="K68" s="1672">
        <f>SUM(C68:J68)</f>
        <v>18210</v>
      </c>
      <c r="L68" s="466">
        <v>18210</v>
      </c>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25271</v>
      </c>
      <c r="F71" s="466">
        <v>7967</v>
      </c>
      <c r="G71" s="466"/>
      <c r="H71" s="466"/>
      <c r="I71" s="467"/>
      <c r="J71" s="467"/>
      <c r="K71" s="1672">
        <f>SUM(C71:J71)</f>
        <v>33238</v>
      </c>
      <c r="L71" s="466">
        <v>31500</v>
      </c>
      <c r="M71" s="609"/>
      <c r="N71" s="609"/>
    </row>
    <row r="72" spans="1:14" s="343" customFormat="1" ht="12.75" customHeight="1" thickBot="1" x14ac:dyDescent="0.25">
      <c r="A72" s="1668" t="s">
        <v>37</v>
      </c>
      <c r="B72" s="1675" t="s">
        <v>36</v>
      </c>
      <c r="C72" s="1670">
        <f>SUM(C67:C71)</f>
        <v>0</v>
      </c>
      <c r="D72" s="1670">
        <f t="shared" ref="D72:K72" si="9">SUM(D67:D71)</f>
        <v>0</v>
      </c>
      <c r="E72" s="1670">
        <f t="shared" si="9"/>
        <v>43481</v>
      </c>
      <c r="F72" s="1670">
        <f t="shared" si="9"/>
        <v>7967</v>
      </c>
      <c r="G72" s="1670">
        <f t="shared" si="9"/>
        <v>0</v>
      </c>
      <c r="H72" s="1670">
        <f t="shared" si="9"/>
        <v>0</v>
      </c>
      <c r="I72" s="1670">
        <f t="shared" si="9"/>
        <v>0</v>
      </c>
      <c r="J72" s="1670">
        <f t="shared" si="9"/>
        <v>0</v>
      </c>
      <c r="K72" s="1670">
        <f t="shared" si="9"/>
        <v>51448</v>
      </c>
      <c r="L72" s="1670">
        <f>SUM(L67:L71)</f>
        <v>49710</v>
      </c>
      <c r="M72" s="609"/>
      <c r="N72" s="609"/>
    </row>
    <row r="73" spans="1:14" s="343" customFormat="1" ht="14.25" thickTop="1" thickBot="1" x14ac:dyDescent="0.25">
      <c r="A73" s="1510" t="s">
        <v>980</v>
      </c>
      <c r="B73" s="632" t="s">
        <v>574</v>
      </c>
      <c r="C73" s="573"/>
      <c r="D73" s="573"/>
      <c r="E73" s="573"/>
      <c r="F73" s="573">
        <v>294</v>
      </c>
      <c r="G73" s="573"/>
      <c r="H73" s="573"/>
      <c r="I73" s="531"/>
      <c r="J73" s="531"/>
      <c r="K73" s="1670">
        <f>SUM(C73:J73)</f>
        <v>294</v>
      </c>
      <c r="L73" s="576"/>
      <c r="M73" s="609"/>
      <c r="N73" s="609"/>
    </row>
    <row r="74" spans="1:14" ht="12.75" customHeight="1" thickTop="1" thickBot="1" x14ac:dyDescent="0.25">
      <c r="A74" s="1668" t="s">
        <v>811</v>
      </c>
      <c r="B74" s="1676">
        <v>2000</v>
      </c>
      <c r="C74" s="1677">
        <f>SUM(C42,C47,C53,C57,C65,C72,C73)</f>
        <v>967503</v>
      </c>
      <c r="D74" s="1677">
        <f t="shared" ref="D74:K74" si="10">SUM(D42,D47,D53,D57,D65,D72,D73)</f>
        <v>132383</v>
      </c>
      <c r="E74" s="1677">
        <f t="shared" si="10"/>
        <v>249920</v>
      </c>
      <c r="F74" s="1677">
        <f t="shared" si="10"/>
        <v>96454</v>
      </c>
      <c r="G74" s="1677">
        <f t="shared" si="10"/>
        <v>0</v>
      </c>
      <c r="H74" s="1677">
        <f t="shared" si="10"/>
        <v>0</v>
      </c>
      <c r="I74" s="1677">
        <f t="shared" si="10"/>
        <v>0</v>
      </c>
      <c r="J74" s="1677">
        <f t="shared" si="10"/>
        <v>0</v>
      </c>
      <c r="K74" s="1677">
        <f t="shared" si="10"/>
        <v>1446260</v>
      </c>
      <c r="L74" s="1677">
        <f>SUM(L42,L47,L53,L57,L65,L72,L73)</f>
        <v>1467631</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v>11040</v>
      </c>
      <c r="I78" s="477"/>
      <c r="J78" s="477"/>
      <c r="K78" s="1671">
        <f t="shared" ref="K78:K83" si="11">SUM(C78:J78)</f>
        <v>11040</v>
      </c>
      <c r="L78" s="481">
        <v>45000</v>
      </c>
    </row>
    <row r="79" spans="1:14" x14ac:dyDescent="0.2">
      <c r="A79" s="1504" t="s">
        <v>304</v>
      </c>
      <c r="B79" s="614">
        <v>4120</v>
      </c>
      <c r="C79" s="616"/>
      <c r="D79" s="616"/>
      <c r="E79" s="466">
        <v>153337</v>
      </c>
      <c r="F79" s="616"/>
      <c r="G79" s="616"/>
      <c r="H79" s="466">
        <v>13865</v>
      </c>
      <c r="I79" s="477"/>
      <c r="J79" s="477"/>
      <c r="K79" s="1671">
        <f t="shared" si="11"/>
        <v>167202</v>
      </c>
      <c r="L79" s="466">
        <v>180000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153337</v>
      </c>
      <c r="F84" s="616"/>
      <c r="G84" s="616"/>
      <c r="H84" s="1670">
        <f>SUM(H78:H83)</f>
        <v>24905</v>
      </c>
      <c r="I84" s="477"/>
      <c r="J84" s="477"/>
      <c r="K84" s="1670">
        <f>SUM(K78:K83)</f>
        <v>178242</v>
      </c>
      <c r="L84" s="1670">
        <f>SUM(L78:L83)</f>
        <v>225000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83580</v>
      </c>
      <c r="I86" s="477"/>
      <c r="J86" s="477"/>
      <c r="K86" s="1677">
        <f t="shared" ref="K86:K98" si="12">H86</f>
        <v>83580</v>
      </c>
      <c r="L86" s="530">
        <v>150000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83580</v>
      </c>
      <c r="I92" s="477"/>
      <c r="J92" s="477"/>
      <c r="K92" s="1677">
        <f t="shared" si="12"/>
        <v>83580</v>
      </c>
      <c r="L92" s="1670">
        <f>SUM(L85:L91)</f>
        <v>150000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153337</v>
      </c>
      <c r="F102" s="616"/>
      <c r="G102" s="616"/>
      <c r="H102" s="1677">
        <f>SUM(H84,H92,H100,H101)</f>
        <v>108485</v>
      </c>
      <c r="I102" s="477"/>
      <c r="J102" s="477"/>
      <c r="K102" s="1677">
        <f>SUM(K84,K92,K100,K101)</f>
        <v>261822</v>
      </c>
      <c r="L102" s="1677">
        <f>SUM(L84,L92,L100,L101)</f>
        <v>375000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4741037</v>
      </c>
      <c r="D114" s="1670">
        <f t="shared" ref="D114:K114" si="13">SUM(D33,D74,D75,D102,D112,D113)</f>
        <v>611376</v>
      </c>
      <c r="E114" s="1670">
        <f t="shared" si="13"/>
        <v>412146</v>
      </c>
      <c r="F114" s="1670">
        <f t="shared" si="13"/>
        <v>271608</v>
      </c>
      <c r="G114" s="1670">
        <f t="shared" si="13"/>
        <v>7635</v>
      </c>
      <c r="H114" s="1670">
        <f>SUM(H33,H74,H75,H102,H112,H113)</f>
        <v>119013</v>
      </c>
      <c r="I114" s="1670">
        <f t="shared" si="13"/>
        <v>82735</v>
      </c>
      <c r="J114" s="1670">
        <f t="shared" si="13"/>
        <v>0</v>
      </c>
      <c r="K114" s="1670">
        <f t="shared" si="13"/>
        <v>6245550</v>
      </c>
      <c r="L114" s="1670">
        <f>SUM(L33,L74,L75,L102,L112,L113)</f>
        <v>6922598</v>
      </c>
    </row>
    <row r="115" spans="1:14" ht="13.5" thickTop="1" x14ac:dyDescent="0.2">
      <c r="A115" s="2160" t="s">
        <v>996</v>
      </c>
      <c r="B115" s="2161"/>
      <c r="C115" s="618"/>
      <c r="D115" s="618"/>
      <c r="E115" s="618"/>
      <c r="F115" s="618"/>
      <c r="G115" s="618"/>
      <c r="H115" s="618"/>
      <c r="I115" s="618"/>
      <c r="J115" s="618"/>
      <c r="K115" s="1684">
        <f>'Revenues 9-14'!C268-'Expenditures 15-22'!K114</f>
        <v>360113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v>32755</v>
      </c>
      <c r="H123" s="466"/>
      <c r="I123" s="467">
        <v>4988</v>
      </c>
      <c r="J123" s="467"/>
      <c r="K123" s="1670">
        <f>SUM(C123:J123)</f>
        <v>37743</v>
      </c>
      <c r="L123" s="466">
        <v>78000</v>
      </c>
    </row>
    <row r="124" spans="1:14" ht="14.25" thickTop="1" thickBot="1" x14ac:dyDescent="0.25">
      <c r="A124" s="1504" t="s">
        <v>197</v>
      </c>
      <c r="B124" s="614">
        <v>2540</v>
      </c>
      <c r="C124" s="466">
        <v>340846</v>
      </c>
      <c r="D124" s="466">
        <v>52910</v>
      </c>
      <c r="E124" s="466">
        <v>93383</v>
      </c>
      <c r="F124" s="466">
        <v>119587</v>
      </c>
      <c r="G124" s="466"/>
      <c r="H124" s="466">
        <v>11147</v>
      </c>
      <c r="I124" s="467"/>
      <c r="J124" s="467"/>
      <c r="K124" s="1670">
        <f>SUM(C124:J124)</f>
        <v>617873</v>
      </c>
      <c r="L124" s="466">
        <v>717600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340846</v>
      </c>
      <c r="D127" s="1670">
        <f t="shared" ref="D127:L127" si="14">SUM(D122:D126)</f>
        <v>52910</v>
      </c>
      <c r="E127" s="1670">
        <f t="shared" si="14"/>
        <v>93383</v>
      </c>
      <c r="F127" s="1670">
        <f t="shared" si="14"/>
        <v>119587</v>
      </c>
      <c r="G127" s="1670">
        <f t="shared" si="14"/>
        <v>32755</v>
      </c>
      <c r="H127" s="1670">
        <f t="shared" si="14"/>
        <v>11147</v>
      </c>
      <c r="I127" s="1670">
        <f t="shared" si="14"/>
        <v>4988</v>
      </c>
      <c r="J127" s="1670">
        <f t="shared" si="14"/>
        <v>0</v>
      </c>
      <c r="K127" s="1670">
        <f t="shared" si="14"/>
        <v>655616</v>
      </c>
      <c r="L127" s="1670">
        <f t="shared" si="14"/>
        <v>795600</v>
      </c>
    </row>
    <row r="128" spans="1:14" ht="12.75" customHeight="1" thickTop="1" x14ac:dyDescent="0.2">
      <c r="A128" s="1511" t="s">
        <v>980</v>
      </c>
      <c r="B128" s="655" t="s">
        <v>574</v>
      </c>
      <c r="C128" s="656"/>
      <c r="D128" s="656"/>
      <c r="E128" s="656"/>
      <c r="F128" s="656"/>
      <c r="G128" s="656">
        <v>9470</v>
      </c>
      <c r="H128" s="656"/>
      <c r="I128" s="535"/>
      <c r="J128" s="535"/>
      <c r="K128" s="1685">
        <f>SUM(C128:J128)</f>
        <v>9470</v>
      </c>
      <c r="L128" s="656">
        <v>0</v>
      </c>
    </row>
    <row r="129" spans="1:14" ht="12.75" customHeight="1" thickBot="1" x14ac:dyDescent="0.25">
      <c r="A129" s="1686" t="s">
        <v>811</v>
      </c>
      <c r="B129" s="1687" t="s">
        <v>569</v>
      </c>
      <c r="C129" s="1677">
        <f>SUM(C120,C127,C128)</f>
        <v>340846</v>
      </c>
      <c r="D129" s="1677">
        <f t="shared" ref="D129:L129" si="15">SUM(D120,D127,D128)</f>
        <v>52910</v>
      </c>
      <c r="E129" s="1677">
        <f t="shared" si="15"/>
        <v>93383</v>
      </c>
      <c r="F129" s="1677">
        <f t="shared" si="15"/>
        <v>119587</v>
      </c>
      <c r="G129" s="1677">
        <f t="shared" si="15"/>
        <v>42225</v>
      </c>
      <c r="H129" s="1677">
        <f t="shared" si="15"/>
        <v>11147</v>
      </c>
      <c r="I129" s="1677">
        <f t="shared" si="15"/>
        <v>4988</v>
      </c>
      <c r="J129" s="1677">
        <f t="shared" si="15"/>
        <v>0</v>
      </c>
      <c r="K129" s="1677">
        <f t="shared" si="15"/>
        <v>665086</v>
      </c>
      <c r="L129" s="1677">
        <f t="shared" si="15"/>
        <v>795600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340846</v>
      </c>
      <c r="D151" s="1670">
        <f t="shared" ref="D151:K151" si="16">SUM(D129,D130,D139,D149,D150)</f>
        <v>52910</v>
      </c>
      <c r="E151" s="1670">
        <f t="shared" si="16"/>
        <v>93383</v>
      </c>
      <c r="F151" s="1670">
        <f t="shared" si="16"/>
        <v>119587</v>
      </c>
      <c r="G151" s="1670">
        <f t="shared" si="16"/>
        <v>42225</v>
      </c>
      <c r="H151" s="1670">
        <f t="shared" si="16"/>
        <v>11147</v>
      </c>
      <c r="I151" s="1670">
        <f t="shared" si="16"/>
        <v>4988</v>
      </c>
      <c r="J151" s="1670">
        <f t="shared" si="16"/>
        <v>0</v>
      </c>
      <c r="K151" s="1670">
        <f t="shared" si="16"/>
        <v>665086</v>
      </c>
      <c r="L151" s="1670">
        <f>SUM(L129,L130,L139,L149,L150)</f>
        <v>795600</v>
      </c>
    </row>
    <row r="152" spans="1:14" ht="12.75" customHeight="1" thickTop="1" x14ac:dyDescent="0.2">
      <c r="A152" s="2180" t="s">
        <v>1178</v>
      </c>
      <c r="B152" s="2181"/>
      <c r="C152" s="618"/>
      <c r="D152" s="618"/>
      <c r="E152" s="618"/>
      <c r="F152" s="618"/>
      <c r="G152" s="618"/>
      <c r="H152" s="618"/>
      <c r="I152" s="618"/>
      <c r="J152" s="616"/>
      <c r="K152" s="1684">
        <f>'Revenues 9-14'!D268-'Expenditures 15-22'!K151</f>
        <v>98244</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66301</v>
      </c>
      <c r="I169" s="616"/>
      <c r="J169" s="616"/>
      <c r="K169" s="1671">
        <f>SUM(C169:H169)</f>
        <v>66301</v>
      </c>
      <c r="L169" s="656">
        <v>80000</v>
      </c>
    </row>
    <row r="170" spans="1:14" ht="33.75" customHeight="1" x14ac:dyDescent="0.2">
      <c r="A170" s="669" t="s">
        <v>1670</v>
      </c>
      <c r="B170" s="671" t="s">
        <v>31</v>
      </c>
      <c r="C170" s="616"/>
      <c r="D170" s="616"/>
      <c r="E170" s="616"/>
      <c r="F170" s="616"/>
      <c r="G170" s="616"/>
      <c r="H170" s="569">
        <v>85000</v>
      </c>
      <c r="I170" s="616"/>
      <c r="J170" s="616"/>
      <c r="K170" s="1671">
        <f>SUM(C170:J170)</f>
        <v>85000</v>
      </c>
      <c r="L170" s="569">
        <v>100000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151301</v>
      </c>
      <c r="I172" s="638"/>
      <c r="J172" s="616"/>
      <c r="K172" s="1677">
        <f>SUM(K168,K169,K170,K171)</f>
        <v>151301</v>
      </c>
      <c r="L172" s="1677">
        <f>SUM(L168,L169,L170,L171)</f>
        <v>180000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151301</v>
      </c>
      <c r="I174" s="638"/>
      <c r="J174" s="616"/>
      <c r="K174" s="1677">
        <f>SUM(K160,K172,K173)</f>
        <v>151301</v>
      </c>
      <c r="L174" s="1677">
        <f>SUM(L160,L172,L173)</f>
        <v>180000</v>
      </c>
    </row>
    <row r="175" spans="1:14" ht="13.5" thickTop="1" x14ac:dyDescent="0.2">
      <c r="A175" s="2160" t="s">
        <v>996</v>
      </c>
      <c r="B175" s="2161"/>
      <c r="C175" s="616"/>
      <c r="D175" s="616"/>
      <c r="E175" s="616"/>
      <c r="F175" s="616"/>
      <c r="G175" s="616"/>
      <c r="H175" s="618"/>
      <c r="I175" s="616"/>
      <c r="J175" s="616"/>
      <c r="K175" s="1684">
        <f>'Revenues 9-14'!E268-'Expenditures 15-22'!K174</f>
        <v>3970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40331</v>
      </c>
      <c r="D182" s="466">
        <v>4427</v>
      </c>
      <c r="E182" s="466">
        <v>129426</v>
      </c>
      <c r="F182" s="466"/>
      <c r="G182" s="466"/>
      <c r="H182" s="466"/>
      <c r="I182" s="467"/>
      <c r="J182" s="467"/>
      <c r="K182" s="1671">
        <f>SUM(C182:J182)</f>
        <v>174184</v>
      </c>
      <c r="L182" s="466">
        <v>154431</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40331</v>
      </c>
      <c r="D184" s="1677">
        <f t="shared" ref="D184:J184" si="17">SUM(D180,D182,D183)</f>
        <v>4427</v>
      </c>
      <c r="E184" s="1677">
        <f t="shared" si="17"/>
        <v>129426</v>
      </c>
      <c r="F184" s="1677">
        <f t="shared" si="17"/>
        <v>0</v>
      </c>
      <c r="G184" s="1677">
        <f t="shared" si="17"/>
        <v>0</v>
      </c>
      <c r="H184" s="1677">
        <f t="shared" si="17"/>
        <v>0</v>
      </c>
      <c r="I184" s="1677">
        <f t="shared" si="17"/>
        <v>0</v>
      </c>
      <c r="J184" s="1677">
        <f t="shared" si="17"/>
        <v>0</v>
      </c>
      <c r="K184" s="1677">
        <f>SUM(K180,K182,K183)</f>
        <v>174184</v>
      </c>
      <c r="L184" s="1677">
        <f>SUM(L180, L182:L183)</f>
        <v>154431</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40331</v>
      </c>
      <c r="D210" s="1670">
        <f>SUM(D184,D185)</f>
        <v>4427</v>
      </c>
      <c r="E210" s="1670">
        <f>SUM(E184,E185,E196)</f>
        <v>129426</v>
      </c>
      <c r="F210" s="1670">
        <f>SUM(F184,F185)</f>
        <v>0</v>
      </c>
      <c r="G210" s="1670">
        <f>SUM(G184,G185)</f>
        <v>0</v>
      </c>
      <c r="H210" s="1670">
        <f>SUM(H184,H185,H196,H208,H209)</f>
        <v>0</v>
      </c>
      <c r="I210" s="1670">
        <f>SUM(I184,I185)</f>
        <v>0</v>
      </c>
      <c r="J210" s="1670">
        <f>SUM(J184,J185)</f>
        <v>0</v>
      </c>
      <c r="K210" s="1671">
        <f>SUM(K184,K185,K196,K208,K209)</f>
        <v>174184</v>
      </c>
      <c r="L210" s="1670">
        <f>SUM(L184,L185,L196,L208,L209)</f>
        <v>154431</v>
      </c>
    </row>
    <row r="211" spans="1:14" ht="13.5" thickTop="1" x14ac:dyDescent="0.2">
      <c r="A211" s="2160" t="s">
        <v>996</v>
      </c>
      <c r="B211" s="2161"/>
      <c r="C211" s="618"/>
      <c r="D211" s="618"/>
      <c r="E211" s="618"/>
      <c r="F211" s="618"/>
      <c r="G211" s="618"/>
      <c r="H211" s="618"/>
      <c r="I211" s="616"/>
      <c r="J211" s="616"/>
      <c r="K211" s="1684">
        <f>'Revenues 9-14'!F268-'Expenditures 15-22'!K210</f>
        <v>53178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71484</v>
      </c>
      <c r="E215" s="616"/>
      <c r="F215" s="616"/>
      <c r="G215" s="616"/>
      <c r="H215" s="616"/>
      <c r="I215" s="616"/>
      <c r="J215" s="616"/>
      <c r="K215" s="1671">
        <f>D215</f>
        <v>71484</v>
      </c>
      <c r="L215" s="466">
        <v>78700</v>
      </c>
    </row>
    <row r="216" spans="1:14" x14ac:dyDescent="0.2">
      <c r="A216" s="1504" t="s">
        <v>163</v>
      </c>
      <c r="B216" s="614" t="s">
        <v>967</v>
      </c>
      <c r="C216" s="616"/>
      <c r="D216" s="467">
        <v>8622</v>
      </c>
      <c r="E216" s="616"/>
      <c r="F216" s="616"/>
      <c r="G216" s="616"/>
      <c r="H216" s="616"/>
      <c r="I216" s="616"/>
      <c r="J216" s="616"/>
      <c r="K216" s="1671">
        <f t="shared" ref="K216:K228" si="19">D216</f>
        <v>8622</v>
      </c>
      <c r="L216" s="466">
        <v>10900</v>
      </c>
    </row>
    <row r="217" spans="1:14" x14ac:dyDescent="0.2">
      <c r="A217" s="1504" t="s">
        <v>164</v>
      </c>
      <c r="B217" s="614">
        <v>1200</v>
      </c>
      <c r="C217" s="616"/>
      <c r="D217" s="466">
        <v>20813</v>
      </c>
      <c r="E217" s="616"/>
      <c r="F217" s="616"/>
      <c r="G217" s="616"/>
      <c r="H217" s="616"/>
      <c r="I217" s="616"/>
      <c r="J217" s="616"/>
      <c r="K217" s="1671">
        <f t="shared" si="19"/>
        <v>20813</v>
      </c>
      <c r="L217" s="466">
        <v>25250</v>
      </c>
    </row>
    <row r="218" spans="1:14" x14ac:dyDescent="0.2">
      <c r="A218" s="1504" t="s">
        <v>278</v>
      </c>
      <c r="B218" s="614" t="s">
        <v>968</v>
      </c>
      <c r="C218" s="616"/>
      <c r="D218" s="467">
        <v>1159</v>
      </c>
      <c r="E218" s="616"/>
      <c r="F218" s="616"/>
      <c r="G218" s="616"/>
      <c r="H218" s="616"/>
      <c r="I218" s="616"/>
      <c r="J218" s="616"/>
      <c r="K218" s="1671">
        <f t="shared" si="19"/>
        <v>1159</v>
      </c>
      <c r="L218" s="466">
        <v>1000</v>
      </c>
    </row>
    <row r="219" spans="1:14" x14ac:dyDescent="0.2">
      <c r="A219" s="1504" t="s">
        <v>279</v>
      </c>
      <c r="B219" s="614">
        <v>1250</v>
      </c>
      <c r="C219" s="616"/>
      <c r="D219" s="466">
        <v>1684</v>
      </c>
      <c r="E219" s="616"/>
      <c r="F219" s="616"/>
      <c r="G219" s="616"/>
      <c r="H219" s="616"/>
      <c r="I219" s="616"/>
      <c r="J219" s="616"/>
      <c r="K219" s="1671">
        <f t="shared" si="19"/>
        <v>1684</v>
      </c>
      <c r="L219" s="466">
        <v>6750</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298</v>
      </c>
      <c r="E223" s="616"/>
      <c r="F223" s="616"/>
      <c r="G223" s="616"/>
      <c r="H223" s="616"/>
      <c r="I223" s="616"/>
      <c r="J223" s="616"/>
      <c r="K223" s="1671">
        <f t="shared" si="19"/>
        <v>298</v>
      </c>
      <c r="L223" s="466">
        <v>500</v>
      </c>
    </row>
    <row r="224" spans="1:14" x14ac:dyDescent="0.2">
      <c r="A224" s="1504" t="s">
        <v>964</v>
      </c>
      <c r="B224" s="614">
        <v>1600</v>
      </c>
      <c r="C224" s="616"/>
      <c r="D224" s="466">
        <v>23</v>
      </c>
      <c r="E224" s="616"/>
      <c r="F224" s="616"/>
      <c r="G224" s="616"/>
      <c r="H224" s="616"/>
      <c r="I224" s="616"/>
      <c r="J224" s="616"/>
      <c r="K224" s="1671">
        <f t="shared" si="19"/>
        <v>23</v>
      </c>
      <c r="L224" s="466">
        <v>350</v>
      </c>
    </row>
    <row r="225" spans="1:12" x14ac:dyDescent="0.2">
      <c r="A225" s="1504" t="s">
        <v>987</v>
      </c>
      <c r="B225" s="614">
        <v>1650</v>
      </c>
      <c r="C225" s="616"/>
      <c r="D225" s="466">
        <v>661</v>
      </c>
      <c r="E225" s="616"/>
      <c r="F225" s="616"/>
      <c r="G225" s="616"/>
      <c r="H225" s="616"/>
      <c r="I225" s="616"/>
      <c r="J225" s="616"/>
      <c r="K225" s="1671">
        <f t="shared" si="19"/>
        <v>661</v>
      </c>
      <c r="L225" s="466">
        <v>1500</v>
      </c>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6683</v>
      </c>
      <c r="E227" s="616"/>
      <c r="F227" s="616"/>
      <c r="G227" s="616"/>
      <c r="H227" s="616"/>
      <c r="I227" s="616"/>
      <c r="J227" s="616"/>
      <c r="K227" s="1671">
        <f t="shared" si="19"/>
        <v>6683</v>
      </c>
      <c r="L227" s="466">
        <v>7300</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111427</v>
      </c>
      <c r="E229" s="616"/>
      <c r="F229" s="616"/>
      <c r="G229" s="616"/>
      <c r="H229" s="616"/>
      <c r="I229" s="616"/>
      <c r="J229" s="616"/>
      <c r="K229" s="1670">
        <f>SUM(K215:K228)</f>
        <v>111427</v>
      </c>
      <c r="L229" s="1670">
        <f>SUM(L215:L228)</f>
        <v>132250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828</v>
      </c>
      <c r="E232" s="616"/>
      <c r="F232" s="616"/>
      <c r="G232" s="616"/>
      <c r="H232" s="616"/>
      <c r="I232" s="616"/>
      <c r="J232" s="616"/>
      <c r="K232" s="1671">
        <f t="shared" ref="K232:K237" si="20">D232</f>
        <v>828</v>
      </c>
      <c r="L232" s="466">
        <v>1500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10155</v>
      </c>
      <c r="E234" s="616"/>
      <c r="F234" s="616"/>
      <c r="G234" s="616"/>
      <c r="H234" s="616"/>
      <c r="I234" s="616"/>
      <c r="J234" s="616"/>
      <c r="K234" s="1671">
        <f t="shared" si="20"/>
        <v>10155</v>
      </c>
      <c r="L234" s="466">
        <v>10600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953</v>
      </c>
      <c r="E236" s="616"/>
      <c r="F236" s="616"/>
      <c r="G236" s="616"/>
      <c r="H236" s="616"/>
      <c r="I236" s="616"/>
      <c r="J236" s="616"/>
      <c r="K236" s="1671">
        <f t="shared" si="20"/>
        <v>953</v>
      </c>
      <c r="L236" s="466">
        <v>1000</v>
      </c>
    </row>
    <row r="237" spans="1:12" x14ac:dyDescent="0.2">
      <c r="A237" s="1504" t="s">
        <v>165</v>
      </c>
      <c r="B237" s="614">
        <v>2190</v>
      </c>
      <c r="C237" s="616"/>
      <c r="D237" s="466">
        <v>2478</v>
      </c>
      <c r="E237" s="616"/>
      <c r="F237" s="616"/>
      <c r="G237" s="616"/>
      <c r="H237" s="616"/>
      <c r="I237" s="616"/>
      <c r="J237" s="616"/>
      <c r="K237" s="1671">
        <f t="shared" si="20"/>
        <v>2478</v>
      </c>
      <c r="L237" s="466">
        <v>3250</v>
      </c>
    </row>
    <row r="238" spans="1:12" ht="12.75" customHeight="1" thickBot="1" x14ac:dyDescent="0.25">
      <c r="A238" s="1668" t="s">
        <v>560</v>
      </c>
      <c r="B238" s="1675" t="s">
        <v>716</v>
      </c>
      <c r="C238" s="616"/>
      <c r="D238" s="1670">
        <f>SUM(D232:D237)</f>
        <v>14414</v>
      </c>
      <c r="E238" s="616"/>
      <c r="F238" s="616"/>
      <c r="G238" s="616"/>
      <c r="H238" s="616"/>
      <c r="I238" s="616"/>
      <c r="J238" s="616"/>
      <c r="K238" s="1670">
        <f>SUM(K232:K237)</f>
        <v>14414</v>
      </c>
      <c r="L238" s="1670">
        <f>SUM(L232:L237)</f>
        <v>16350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796</v>
      </c>
      <c r="E240" s="616"/>
      <c r="F240" s="616"/>
      <c r="G240" s="616"/>
      <c r="H240" s="616"/>
      <c r="I240" s="616"/>
      <c r="J240" s="616"/>
      <c r="K240" s="1672">
        <f>D240</f>
        <v>796</v>
      </c>
      <c r="L240" s="481">
        <v>1655</v>
      </c>
    </row>
    <row r="241" spans="1:12" x14ac:dyDescent="0.2">
      <c r="A241" s="1504" t="s">
        <v>815</v>
      </c>
      <c r="B241" s="614">
        <v>2220</v>
      </c>
      <c r="C241" s="616"/>
      <c r="D241" s="466">
        <v>6026</v>
      </c>
      <c r="E241" s="616"/>
      <c r="F241" s="616"/>
      <c r="G241" s="616"/>
      <c r="H241" s="616"/>
      <c r="I241" s="616"/>
      <c r="J241" s="616"/>
      <c r="K241" s="1672">
        <f>D241</f>
        <v>6026</v>
      </c>
      <c r="L241" s="466">
        <v>5200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6822</v>
      </c>
      <c r="E243" s="616"/>
      <c r="F243" s="616"/>
      <c r="G243" s="616"/>
      <c r="H243" s="616"/>
      <c r="I243" s="616"/>
      <c r="J243" s="616"/>
      <c r="K243" s="1670">
        <f>SUM(K240:K242)</f>
        <v>6822</v>
      </c>
      <c r="L243" s="1670">
        <f>SUM(L240:L242)</f>
        <v>6855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271</v>
      </c>
      <c r="E245" s="616"/>
      <c r="F245" s="616"/>
      <c r="G245" s="616"/>
      <c r="H245" s="616"/>
      <c r="I245" s="616"/>
      <c r="J245" s="616"/>
      <c r="K245" s="1672">
        <f>D245</f>
        <v>271</v>
      </c>
      <c r="L245" s="481">
        <v>850</v>
      </c>
    </row>
    <row r="246" spans="1:12" x14ac:dyDescent="0.2">
      <c r="A246" s="1504" t="s">
        <v>818</v>
      </c>
      <c r="B246" s="614">
        <v>2320</v>
      </c>
      <c r="C246" s="616"/>
      <c r="D246" s="466">
        <v>18148</v>
      </c>
      <c r="E246" s="616"/>
      <c r="F246" s="616"/>
      <c r="G246" s="616"/>
      <c r="H246" s="616"/>
      <c r="I246" s="616"/>
      <c r="J246" s="616"/>
      <c r="K246" s="1672">
        <f t="shared" ref="K246:K256" si="21">D246</f>
        <v>18148</v>
      </c>
      <c r="L246" s="466">
        <v>21200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18419</v>
      </c>
      <c r="E257" s="616"/>
      <c r="F257" s="616"/>
      <c r="G257" s="616"/>
      <c r="H257" s="616"/>
      <c r="I257" s="616"/>
      <c r="J257" s="616"/>
      <c r="K257" s="1670">
        <f>SUM(K245:K256)</f>
        <v>18419</v>
      </c>
      <c r="L257" s="1670">
        <f>SUM(L245:L256)</f>
        <v>22050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29081</v>
      </c>
      <c r="E259" s="616"/>
      <c r="F259" s="616"/>
      <c r="G259" s="616"/>
      <c r="H259" s="616"/>
      <c r="I259" s="616"/>
      <c r="J259" s="616"/>
      <c r="K259" s="1672">
        <f>D259</f>
        <v>29081</v>
      </c>
      <c r="L259" s="481">
        <v>29250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29081</v>
      </c>
      <c r="E261" s="616"/>
      <c r="F261" s="616"/>
      <c r="G261" s="616"/>
      <c r="H261" s="616"/>
      <c r="I261" s="616"/>
      <c r="J261" s="616"/>
      <c r="K261" s="1670">
        <f>SUM(K259:K260)</f>
        <v>29081</v>
      </c>
      <c r="L261" s="1670">
        <f>SUM(L259:L260)</f>
        <v>29250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1400</v>
      </c>
      <c r="E264" s="616"/>
      <c r="F264" s="616"/>
      <c r="G264" s="616"/>
      <c r="H264" s="616"/>
      <c r="I264" s="616"/>
      <c r="J264" s="616"/>
      <c r="K264" s="1672">
        <f t="shared" ref="K264:K269" si="22">D264</f>
        <v>1400</v>
      </c>
      <c r="L264" s="466">
        <v>1500</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64660</v>
      </c>
      <c r="E266" s="616"/>
      <c r="F266" s="616"/>
      <c r="G266" s="616"/>
      <c r="H266" s="616"/>
      <c r="I266" s="616"/>
      <c r="J266" s="616"/>
      <c r="K266" s="1672">
        <f t="shared" si="22"/>
        <v>64660</v>
      </c>
      <c r="L266" s="466">
        <v>78500</v>
      </c>
    </row>
    <row r="267" spans="1:14" x14ac:dyDescent="0.2">
      <c r="A267" s="1504" t="s">
        <v>953</v>
      </c>
      <c r="B267" s="614">
        <v>2550</v>
      </c>
      <c r="C267" s="616"/>
      <c r="D267" s="466">
        <v>8090</v>
      </c>
      <c r="E267" s="616"/>
      <c r="F267" s="616"/>
      <c r="G267" s="616"/>
      <c r="H267" s="616"/>
      <c r="I267" s="616"/>
      <c r="J267" s="616"/>
      <c r="K267" s="1672">
        <f t="shared" si="22"/>
        <v>8090</v>
      </c>
      <c r="L267" s="466">
        <v>8750</v>
      </c>
    </row>
    <row r="268" spans="1:14" x14ac:dyDescent="0.2">
      <c r="A268" s="1504" t="s">
        <v>100</v>
      </c>
      <c r="B268" s="614">
        <v>2560</v>
      </c>
      <c r="C268" s="616"/>
      <c r="D268" s="466">
        <v>3851</v>
      </c>
      <c r="E268" s="616"/>
      <c r="F268" s="616"/>
      <c r="G268" s="616"/>
      <c r="H268" s="616"/>
      <c r="I268" s="616"/>
      <c r="J268" s="616"/>
      <c r="K268" s="1672">
        <f t="shared" si="22"/>
        <v>3851</v>
      </c>
      <c r="L268" s="466">
        <v>3250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78001</v>
      </c>
      <c r="E270" s="616"/>
      <c r="F270" s="616"/>
      <c r="G270" s="616"/>
      <c r="H270" s="616"/>
      <c r="I270" s="616"/>
      <c r="J270" s="616"/>
      <c r="K270" s="1670">
        <f>SUM(K263:K269)</f>
        <v>78001</v>
      </c>
      <c r="L270" s="1670">
        <f>SUM(L263:L269)</f>
        <v>92000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146737</v>
      </c>
      <c r="E279" s="616"/>
      <c r="F279" s="616"/>
      <c r="G279" s="616"/>
      <c r="H279" s="616"/>
      <c r="I279" s="616"/>
      <c r="J279" s="616"/>
      <c r="K279" s="1677">
        <f>SUM(K238,K243,K257,K261,K270,K277,K278)</f>
        <v>146737</v>
      </c>
      <c r="L279" s="1677">
        <f>SUM(L238,L243,L257,L261,L270,L277,L278)</f>
        <v>166505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258164</v>
      </c>
      <c r="E295" s="616"/>
      <c r="F295" s="616"/>
      <c r="G295" s="616"/>
      <c r="H295" s="1670">
        <f>H293</f>
        <v>0</v>
      </c>
      <c r="I295" s="616"/>
      <c r="J295" s="616"/>
      <c r="K295" s="1670">
        <f>SUM(K229,K279,K280,K285,K293,K294)</f>
        <v>258164</v>
      </c>
      <c r="L295" s="1670">
        <f>SUM(L229,L279,L280,L285,L293,L294)</f>
        <v>298755</v>
      </c>
    </row>
    <row r="296" spans="1:14" ht="13.5" thickTop="1" x14ac:dyDescent="0.2">
      <c r="A296" s="2160" t="s">
        <v>996</v>
      </c>
      <c r="B296" s="2161"/>
      <c r="C296" s="616"/>
      <c r="D296" s="618"/>
      <c r="E296" s="616"/>
      <c r="F296" s="616"/>
      <c r="G296" s="616"/>
      <c r="H296" s="687"/>
      <c r="I296" s="616"/>
      <c r="J296" s="616"/>
      <c r="K296" s="1684">
        <f>'Revenues 9-14'!G268-'Expenditures 15-22'!K295</f>
        <v>-63134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v>77727</v>
      </c>
      <c r="F319" s="467"/>
      <c r="G319" s="467"/>
      <c r="H319" s="467"/>
      <c r="I319" s="467"/>
      <c r="J319" s="467"/>
      <c r="K319" s="1671">
        <f>SUM(C319:J319)</f>
        <v>77727</v>
      </c>
      <c r="L319" s="467">
        <v>79903</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77727</v>
      </c>
      <c r="F330" s="1670">
        <f t="shared" si="25"/>
        <v>0</v>
      </c>
      <c r="G330" s="1670">
        <f t="shared" si="25"/>
        <v>0</v>
      </c>
      <c r="H330" s="1670">
        <f t="shared" si="25"/>
        <v>0</v>
      </c>
      <c r="I330" s="1670">
        <f t="shared" si="25"/>
        <v>0</v>
      </c>
      <c r="J330" s="1670">
        <f t="shared" si="25"/>
        <v>0</v>
      </c>
      <c r="K330" s="1670">
        <f>SUM(K319:K329)</f>
        <v>77727</v>
      </c>
      <c r="L330" s="1670">
        <f>SUM(L319:L329)</f>
        <v>79903</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77727</v>
      </c>
      <c r="F342" s="1670">
        <f>SUM(F330)</f>
        <v>0</v>
      </c>
      <c r="G342" s="1670">
        <f>SUM(G330)</f>
        <v>0</v>
      </c>
      <c r="H342" s="1670">
        <f>SUM(H330,H334,H340)</f>
        <v>0</v>
      </c>
      <c r="I342" s="1670">
        <f>SUM(I330)</f>
        <v>0</v>
      </c>
      <c r="J342" s="1670">
        <f>SUM(J330)</f>
        <v>0</v>
      </c>
      <c r="K342" s="1670">
        <f>SUM(K330,K334,K340)</f>
        <v>77727</v>
      </c>
      <c r="L342" s="1677">
        <f>SUM(L330,L334,L340,L341)</f>
        <v>79903</v>
      </c>
    </row>
    <row r="343" spans="1:14" ht="12.75" customHeight="1" thickTop="1" x14ac:dyDescent="0.2">
      <c r="A343" s="2173" t="s">
        <v>996</v>
      </c>
      <c r="B343" s="2174"/>
      <c r="C343" s="616"/>
      <c r="D343" s="616"/>
      <c r="E343" s="616"/>
      <c r="F343" s="616"/>
      <c r="G343" s="616"/>
      <c r="H343" s="616"/>
      <c r="I343" s="616"/>
      <c r="J343" s="616"/>
      <c r="K343" s="1684">
        <f>'Revenues 9-14'!J268-'Expenditures 15-22'!K342</f>
        <v>-11381</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60" t="s">
        <v>996</v>
      </c>
      <c r="B368" s="2161"/>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sharepoint/v3"/>
    <ds:schemaRef ds:uri="http://schemas.microsoft.com/office/2006/documentManagement/types"/>
    <ds:schemaRef ds:uri="http://purl.org/dc/elements/1.1/"/>
    <ds:schemaRef ds:uri="http://schemas.microsoft.com/office/infopath/2007/PartnerControls"/>
    <ds:schemaRef ds:uri="6ce3111e-7420-4802-b50a-75d4e9a0b980"/>
    <ds:schemaRef ds:uri="http://purl.org/dc/dcmitype/"/>
    <ds:schemaRef ds:uri="d21dc803-237d-4c68-8692-8d731fd29118"/>
    <ds:schemaRef ds:uri="http://schemas.openxmlformats.org/package/2006/metadata/core-properties"/>
    <ds:schemaRef ds:uri="4d435f69-8686-490b-bd6d-b153bf22ab50"/>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2019-06-25T17:28:25Z</cp:lastPrinted>
  <dcterms:created xsi:type="dcterms:W3CDTF">2003-10-29T19:06:34Z</dcterms:created>
  <dcterms:modified xsi:type="dcterms:W3CDTF">2020-01-16T15:15:21Z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