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781E4C5-69A9-4727-961F-EFF738D401B7}"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4" l="1"/>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G25" i="181"/>
  <c r="F25" i="18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B5286" i="106" s="1"/>
  <c r="D5286" i="106" s="1"/>
  <c r="C221" i="5"/>
  <c r="C252" i="5"/>
  <c r="B7761" i="106"/>
  <c r="D7761" i="106" s="1"/>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E26" i="108"/>
  <c r="G26" i="108"/>
  <c r="D27" i="108"/>
  <c r="E27" i="108"/>
  <c r="F27" i="108"/>
  <c r="G27" i="108"/>
  <c r="E28" i="108"/>
  <c r="F28"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22" i="37"/>
  <c r="J22" i="37"/>
  <c r="L22" i="37"/>
  <c r="D24" i="37"/>
  <c r="B4270" i="106" s="1"/>
  <c r="D4270" i="106" s="1"/>
  <c r="L5" i="11"/>
  <c r="B2056" i="106" s="1"/>
  <c r="D2056" i="106" s="1"/>
  <c r="D9" i="7"/>
  <c r="B1767" i="106" s="1"/>
  <c r="D1767" i="106" s="1"/>
  <c r="B5752" i="106"/>
  <c r="D5752" i="106" s="1"/>
  <c r="D17" i="7"/>
  <c r="B4104" i="106" s="1"/>
  <c r="D4104" i="106" s="1"/>
  <c r="J77" i="4" l="1"/>
  <c r="B6262" i="106" s="1"/>
  <c r="D6262" i="106" s="1"/>
  <c r="F34" i="34"/>
  <c r="D7245" i="106"/>
  <c r="J41" i="3"/>
  <c r="K41" i="3"/>
  <c r="B3568" i="106" s="1"/>
  <c r="D3568" i="106" s="1"/>
  <c r="H76" i="4"/>
  <c r="B3298" i="106" s="1"/>
  <c r="D3298" i="106" s="1"/>
  <c r="I24" i="12"/>
  <c r="B1308" i="106"/>
  <c r="D1308" i="106" s="1"/>
  <c r="E174" i="29"/>
  <c r="B1309" i="106" s="1"/>
  <c r="D1309" i="106" s="1"/>
  <c r="L13" i="11"/>
  <c r="B2060" i="106" s="1"/>
  <c r="D2060" i="106" s="1"/>
  <c r="L15" i="11"/>
  <c r="B3459" i="106" s="1"/>
  <c r="D3459" i="106" s="1"/>
  <c r="D69" i="36"/>
  <c r="F19" i="7"/>
  <c r="B1807" i="106" s="1"/>
  <c r="D1807" i="106" s="1"/>
  <c r="D52" i="36"/>
  <c r="K184" i="29"/>
  <c r="F13" i="4" s="1"/>
  <c r="B2596" i="106" s="1"/>
  <c r="D2596" i="106" s="1"/>
  <c r="G29" i="108"/>
  <c r="E29" i="108"/>
  <c r="G210" i="29"/>
  <c r="L342" i="29"/>
  <c r="F26" i="108"/>
  <c r="B1126" i="106"/>
  <c r="D1126" i="106" s="1"/>
  <c r="D31" i="36"/>
  <c r="D11" i="37"/>
  <c r="H29" i="118"/>
  <c r="K28" i="118" s="1"/>
  <c r="O27" i="118" s="1"/>
  <c r="O29" i="118" s="1"/>
  <c r="H33" i="118"/>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8" i="106" l="1"/>
  <c r="D5778" i="106" s="1"/>
  <c r="G6" i="4"/>
  <c r="B2604" i="106" s="1"/>
  <c r="D2604" i="106" s="1"/>
  <c r="B1996" i="106"/>
  <c r="D1996" i="106" s="1"/>
  <c r="I26" i="12"/>
  <c r="B7741" i="106" s="1"/>
  <c r="D7741" i="106" s="1"/>
  <c r="L16" i="11"/>
  <c r="B2061" i="106" s="1"/>
  <c r="D2061" i="106" s="1"/>
  <c r="B2031" i="106"/>
  <c r="D2031" i="106" s="1"/>
  <c r="K342" i="29"/>
  <c r="F13" i="34" s="1"/>
  <c r="B1365" i="106"/>
  <c r="D1365" i="106" s="1"/>
  <c r="F65" i="34"/>
  <c r="B1317" i="106"/>
  <c r="D1317" i="106" s="1"/>
  <c r="D44" i="36"/>
  <c r="C114" i="29"/>
  <c r="B757" i="106" s="1"/>
  <c r="D757" i="106" s="1"/>
  <c r="L114" i="29"/>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D8" i="146" l="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<sst xmlns="http://schemas.openxmlformats.org/spreadsheetml/2006/main" count="5227" uniqueCount="2140">
  <si>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</si>
  <si>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</si>
  <si>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</si>
  <si>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</si>
  <si>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</si>
  <si>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</si>
  <si>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</si>
  <si>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</si>
  <si>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</si>
  <si>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</si>
  <si>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</si>
  <si>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</si>
  <si>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</si>
  <si>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</si>
  <si>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</si>
  <si>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</si>
  <si>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</si>
  <si>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</si>
  <si>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</si>
  <si>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</si>
  <si>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</si>
  <si>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</si>
  <si>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</si>
  <si>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</si>
  <si>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</si>
  <si>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</si>
  <si>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</si>
  <si>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</si>
  <si>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</si>
  <si>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</si>
  <si>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</si>
  <si>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</si>
  <si>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</si>
  <si>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</si>
  <si>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</si>
  <si>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</si>
  <si>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</si>
  <si>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</si>
  <si>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</si>
  <si>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</si>
  <si>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</si>
  <si>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</si>
  <si>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</si>
  <si>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</si>
  <si>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</si>
  <si>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</si>
  <si>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</si>
  <si>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</si>
  <si>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</si>
  <si>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</si>
  <si>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</si>
  <si>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</si>
  <si>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</si>
  <si>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</si>
  <si>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</si>
  <si>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</si>
  <si>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</si>
  <si>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</si>
  <si>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</si>
  <si>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</si>
  <si>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</si>
  <si>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</si>
  <si>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</si>
  <si>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</si>
  <si>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</si>
  <si>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</si>
  <si>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</si>
  <si>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</si>
  <si>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</si>
  <si>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</si>
  <si>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</si>
  <si>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</si>
  <si>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</si>
  <si>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</si>
  <si>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</si>
  <si>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</si>
  <si>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</si>
  <si>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</si>
  <si>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</si>
  <si>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</si>
  <si>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</si>
  <si>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</si>
  <si>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</si>
  <si>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</si>
  <si>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</si>
  <si>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</si>
  <si>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</si>
  <si>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</si>
  <si>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</si>
  <si>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</si>
  <si>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</si>
  <si>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</si>
  <si>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</si>
  <si>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</si>
  <si>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</si>
  <si>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</si>
  <si>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</si>
  <si>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</si>
  <si>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</si>
  <si>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</si>
  <si>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</si>
  <si>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</si>
  <si>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</si>
  <si>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</si>
  <si>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</si>
  <si>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</si>
  <si>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</si>
  <si>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</si>
  <si>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</si>
  <si>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</si>
  <si>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</si>
  <si>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</si>
  <si>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</si>
  <si>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</si>
  <si>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</si>
  <si>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</si>
  <si>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</si>
  <si>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</si>
  <si>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</si>
  <si>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</si>
  <si>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</si>
  <si>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</si>
  <si>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</si>
  <si>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</si>
  <si>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</si>
  <si>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</si>
  <si>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</si>
  <si>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</si>
  <si>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</si>
  <si>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</si>
  <si>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</si>
  <si>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</si>
  <si>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</si>
  <si>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</si>
  <si>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</si>
  <si>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</si>
  <si>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</si>
  <si>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</si>
  <si>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</si>
  <si>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</si>
  <si>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</si>
  <si>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</si>
  <si>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</si>
  <si>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</si>
  <si>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</si>
  <si>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</si>
  <si>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</si>
  <si>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</si>
  <si>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</si>
  <si>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</si>
  <si>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</si>
  <si>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</si>
  <si>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</si>
  <si>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</si>
  <si>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</si>
  <si>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</si>
  <si>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</si>
  <si>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</si>
  <si>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</si>
  <si>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</si>
  <si>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</si>
  <si>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</si>
  <si>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</si>
  <si>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</si>
  <si>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</si>
  <si>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</si>
  <si>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</si>
  <si>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</si>
  <si>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</si>
  <si>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</si>
  <si>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</si>
  <si>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</si>
  <si>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</si>
  <si>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</si>
  <si>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</si>
  <si>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</si>
  <si>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</si>
  <si>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</si>
  <si>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</si>
  <si>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</si>
  <si>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</si>
  <si>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</si>
  <si>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</si>
  <si>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</si>
  <si>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</si>
  <si>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</si>
  <si>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</si>
  <si>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</si>
  <si>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</si>
  <si>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</si>
  <si>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</si>
  <si>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</si>
  <si>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</si>
  <si>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</si>
  <si>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</si>
  <si>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</si>
  <si>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</si>
  <si>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</si>
  <si>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</si>
  <si>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</si>
  <si>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</si>
  <si>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</si>
  <si>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</si>
  <si>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</si>
  <si>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</si>
  <si>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</si>
  <si>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</si>
  <si>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</si>
  <si>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</si>
  <si>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</si>
  <si>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</si>
  <si>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</si>
  <si>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</si>
  <si>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</si>
  <si>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</si>
  <si>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</si>
  <si>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</si>
  <si>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</si>
  <si>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</si>
  <si>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</si>
  <si>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</si>
  <si>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</si>
  <si>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</si>
  <si>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</si>
  <si>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</si>
  <si>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</si>
  <si>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</si>
  <si>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</si>
  <si>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</si>
  <si>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</si>
  <si>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</si>
  <si>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</si>
  <si>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</si>
  <si>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</si>
  <si>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</si>
  <si>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</si>
  <si>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</si>
  <si>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</si>
  <si>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</si>
  <si>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</si>
  <si>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</si>
  <si>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</si>
  <si>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</si>
  <si>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</si>
  <si>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</si>
  <si>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</si>
  <si>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</si>
  <si>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</si>
  <si>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</si>
  <si>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</si>
  <si>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</si>
  <si>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</si>
  <si>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</si>
  <si>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</si>
  <si>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</si>
  <si>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</si>
  <si>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</si>
  <si>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</si>
  <si>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</si>
  <si>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</si>
  <si>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</si>
  <si>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</si>
  <si>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</si>
  <si>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</si>
  <si>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</si>
  <si>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</si>
  <si>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</si>
  <si>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</si>
  <si>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</si>
  <si>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</si>
  <si>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</si>
  <si>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</si>
  <si>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</si>
  <si>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</si>
  <si>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</si>
  <si>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</si>
  <si>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</si>
  <si>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</si>
  <si>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</si>
  <si>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</si>
  <si>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</si>
  <si>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</si>
  <si>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</si>
  <si>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</si>
  <si>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</si>
  <si>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</si>
  <si>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</si>
  <si>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</si>
  <si>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</si>
  <si>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</si>
  <si>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</si>
  <si>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</si>
  <si>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</si>
  <si>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</si>
  <si>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</si>
  <si>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</si>
  <si>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</si>
  <si>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</si>
  <si>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</si>
  <si>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</si>
  <si>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</si>
  <si>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</si>
  <si>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</si>
  <si>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</si>
  <si>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</si>
  <si>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</si>
  <si>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</si>
  <si>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</si>
  <si>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</si>
  <si>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</si>
  <si>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</si>
  <si>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</si>
  <si>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</si>
  <si>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</si>
  <si>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</si>
  <si>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</si>
  <si>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</si>
  <si>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</si>
  <si>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</si>
  <si>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</si>
  <si>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</si>
  <si>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</si>
  <si>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</si>
  <si>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</si>
  <si>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</si>
  <si>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</si>
  <si>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</si>
  <si>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</si>
  <si>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</si>
  <si>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</si>
  <si>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</si>
  <si>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</si>
  <si>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</si>
  <si>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</si>
  <si>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</si>
  <si>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</si>
  <si>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</si>
  <si>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</si>
  <si>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</si>
  <si>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</si>
  <si>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</si>
  <si>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</si>
  <si>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</si>
  <si>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</si>
  <si>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</si>
  <si>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</si>
  <si>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</si>
  <si>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</si>
  <si>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</si>
  <si>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</si>
  <si>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</si>
  <si>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</si>
  <si>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</si>
  <si>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</si>
  <si>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</si>
  <si>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</si>
  <si>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</si>
  <si>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</si>
  <si>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</si>
  <si>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</si>
  <si>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</si>
  <si>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</si>
  <si>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</si>
  <si>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</si>
  <si>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</si>
  <si>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</si>
  <si>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</si>
  <si>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</si>
  <si>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</si>
  <si>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</si>
  <si>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</si>
  <si>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</si>
  <si>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</si>
  <si>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</si>
  <si>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</si>
  <si>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</si>
  <si>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</si>
  <si>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</si>
  <si>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</si>
  <si>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</si>
  <si>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</si>
  <si>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</si>
  <si>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</si>
  <si>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</si>
  <si>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</si>
  <si>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</si>
  <si>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</si>
  <si>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</si>
  <si>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</si>
  <si>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</si>
  <si>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</si>
  <si>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</si>
  <si>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</si>
  <si>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</si>
  <si>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</si>
  <si>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</si>
  <si>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</si>
  <si>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</si>
  <si>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</si>
  <si>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</si>
  <si>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</si>
  <si>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</si>
  <si>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</si>
  <si>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</si>
  <si>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</si>
  <si>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</si>
  <si>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</si>
  <si>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</si>
  <si>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</si>
  <si>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</si>
  <si>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</si>
  <si>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</si>
  <si>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</si>
  <si>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</si>
  <si>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</si>
  <si>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</si>
  <si>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</si>
  <si>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</si>
  <si>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</si>
  <si>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</si>
  <si>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</si>
  <si>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</si>
  <si>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</si>
  <si>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</si>
  <si>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</si>
  <si>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</si>
  <si>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</si>
  <si>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</si>
  <si>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</si>
  <si>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</si>
  <si>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</si>
  <si>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</si>
  <si>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</si>
  <si>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</si>
  <si>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</si>
  <si>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</si>
  <si>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</si>
  <si>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</si>
  <si>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</si>
  <si>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</si>
  <si>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</si>
  <si>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</si>
  <si>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</si>
  <si>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</si>
  <si>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</si>
  <si>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</si>
  <si>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</si>
  <si>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</si>
  <si>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</si>
  <si>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</si>
  <si>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</si>
  <si>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</si>
  <si>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</si>
  <si>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</si>
  <si>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</si>
  <si>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</si>
  <si>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</si>
  <si>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</si>
  <si>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</si>
  <si>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</si>
  <si>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</si>
  <si>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</si>
  <si>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</si>
  <si>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</si>
  <si>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</si>
  <si>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</si>
  <si>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</si>
  <si>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</si>
  <si>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</si>
  <si>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</si>
  <si>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</si>
  <si>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</si>
  <si>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</si>
  <si>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</si>
  <si>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</si>
  <si>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</si>
  <si>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</si>
  <si>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</si>
  <si>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</si>
  <si>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</si>
  <si>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</si>
  <si>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</si>
  <si>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</si>
  <si>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</si>
  <si>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</si>
  <si>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</si>
  <si>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</si>
  <si>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</si>
  <si>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</si>
  <si>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</si>
  <si>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</si>
  <si>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</si>
  <si>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</si>
  <si>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</si>
  <si>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</si>
  <si>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</si>
  <si>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</si>
  <si>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</si>
  <si>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</si>
  <si>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</si>
  <si>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</si>
  <si>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</si>
  <si>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</si>
  <si>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</si>
  <si>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</si>
  <si>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</si>
  <si>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</si>
  <si>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</si>
  <si>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</si>
  <si>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</si>
  <si>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</si>
  <si>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</si>
  <si>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</si>
  <si>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</si>
  <si>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</si>
  <si>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</si>
  <si>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</si>
  <si>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</si>
  <si>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</si>
  <si>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</si>
  <si>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</si>
  <si>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</si>
  <si>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</si>
  <si>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</si>
  <si>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</si>
  <si>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</si>
  <si>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</si>
  <si>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</si>
  <si>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</si>
  <si>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</si>
  <si>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</si>
  <si>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</si>
  <si>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</si>
  <si>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</si>
  <si>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</si>
  <si>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</si>
  <si>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</si>
  <si>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</si>
  <si>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</si>
  <si>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</si>
  <si>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</si>
  <si>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</si>
  <si>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</si>
  <si>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</si>
  <si>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</si>
  <si>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</si>
  <si>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</si>
  <si>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</si>
  <si>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</si>
  <si>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</si>
  <si>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</si>
  <si>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</si>
  <si>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</si>
  <si>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</si>
  <si>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</si>
  <si>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</si>
  <si>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</si>
  <si>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</si>
  <si>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</si>
  <si>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</si>
  <si>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</si>
  <si>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</si>
  <si>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</si>
  <si>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</si>
  <si>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</si>
  <si>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</si>
  <si>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</si>
  <si>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</si>
  <si>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</si>
  <si>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</si>
  <si>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</si>
  <si>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</si>
  <si>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</si>
  <si>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</si>
  <si>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</si>
  <si>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</si>
  <si>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</si>
  <si>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</si>
  <si>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</si>
  <si>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</si>
  <si>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</si>
  <si>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</si>
  <si>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</si>
  <si>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</si>
  <si>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</si>
  <si>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</si>
  <si>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</si>
  <si>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</si>
  <si>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</si>
  <si>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</si>
  <si>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</si>
  <si>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</si>
  <si>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</si>
  <si>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</si>
  <si>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</si>
  <si>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</si>
  <si>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</si>
  <si>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</si>
  <si>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</si>
  <si>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</si>
  <si>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</si>
  <si>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</si>
  <si>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</si>
  <si>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</si>
  <si>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</si>
  <si>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</si>
  <si>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</si>
  <si>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</si>
  <si>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</si>
  <si>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</si>
  <si>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</si>
  <si>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</si>
  <si>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</si>
  <si>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</si>
  <si>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</si>
  <si>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</si>
  <si>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</si>
  <si>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</si>
  <si>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</si>
  <si>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</si>
  <si>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</si>
  <si>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</si>
  <si>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</si>
  <si>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</si>
  <si>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</si>
  <si>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</si>
  <si>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</si>
  <si>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</si>
  <si>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</si>
  <si>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</si>
  <si>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</si>
  <si>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</si>
  <si>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</si>
  <si>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</si>
  <si>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</si>
  <si>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</si>
  <si>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</si>
  <si>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</si>
  <si>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</si>
  <si>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</si>
  <si>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</si>
  <si>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</si>
  <si>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</si>
  <si>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</si>
  <si>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</si>
  <si>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</si>
  <si>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</si>
  <si>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</si>
  <si>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</si>
  <si>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</si>
  <si>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</si>
  <si>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</si>
  <si>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</si>
  <si>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</si>
  <si>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</si>
  <si>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</si>
  <si>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</si>
  <si>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</si>
  <si>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</si>
  <si>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</si>
  <si>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</si>
  <si>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</si>
  <si>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</si>
  <si>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</si>
  <si>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</si>
  <si>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</si>
  <si>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</si>
  <si>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</si>
  <si>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</si>
  <si>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</si>
  <si>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</si>
  <si>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</si>
  <si>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</si>
  <si>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</si>
  <si>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</si>
  <si>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</si>
  <si>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</si>
  <si>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</si>
  <si>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</si>
  <si>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</si>
  <si>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</si>
  <si>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</si>
  <si>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</si>
  <si>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</si>
  <si>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</si>
  <si>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</si>
  <si>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</si>
  <si>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</si>
  <si>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</si>
  <si>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</si>
  <si>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</si>
  <si>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</si>
  <si>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</si>
  <si>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</si>
  <si>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</si>
  <si>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</si>
  <si>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</si>
  <si>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</si>
  <si>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</si>
  <si>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</si>
  <si>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</si>
  <si>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</si>
  <si>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</si>
  <si>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</si>
  <si>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</si>
  <si>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</si>
  <si>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</si>
  <si>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</si>
  <si>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</si>
  <si>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</si>
  <si>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</si>
  <si>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</si>
  <si>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</si>
  <si>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</si>
  <si>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</si>
  <si>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</si>
  <si>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</si>
  <si>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</si>
  <si>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</si>
  <si>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</si>
  <si>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</si>
  <si>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</si>
  <si>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</si>
  <si>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</si>
  <si>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</si>
  <si>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</si>
  <si>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</si>
  <si>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</si>
  <si>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</si>
  <si>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</si>
  <si>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</si>
  <si>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</si>
  <si>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</si>
  <si>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</si>
  <si>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</si>
  <si>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</si>
  <si>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</si>
  <si>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</si>
  <si>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</si>
  <si>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</si>
  <si>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</si>
  <si>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</si>
  <si>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</si>
  <si>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</si>
  <si>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</si>
  <si>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</si>
  <si>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</si>
  <si>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</si>
  <si>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</si>
  <si>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</si>
  <si>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</si>
  <si>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</si>
  <si>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</si>
  <si>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</si>
  <si>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</si>
  <si>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</si>
  <si>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</si>
  <si>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</si>
  <si>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</si>
  <si>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</si>
  <si>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</si>
  <si>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</si>
  <si>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</si>
  <si>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</si>
  <si>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</si>
  <si>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</si>
  <si>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</si>
  <si>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</si>
  <si>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</si>
  <si>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</si>
  <si>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</si>
  <si>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</si>
  <si>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</si>
  <si>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</si>
  <si>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</si>
  <si>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</si>
  <si>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</si>
  <si>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</si>
  <si>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</si>
  <si>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</si>
  <si>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</si>
  <si>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</si>
  <si>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</si>
  <si>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</si>
  <si>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</si>
  <si>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</si>
  <si>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</si>
  <si>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</si>
  <si>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</si>
  <si>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</si>
  <si>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</si>
  <si>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</si>
  <si>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</si>
  <si>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</si>
  <si>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</si>
  <si>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</si>
  <si>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</si>
  <si>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</si>
  <si>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</si>
  <si>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</si>
  <si>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</si>
  <si>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</si>
  <si>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</si>
  <si>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</si>
  <si>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</si>
  <si>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</si>
  <si>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</si>
  <si>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</si>
  <si>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</si>
  <si>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</si>
  <si>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</si>
  <si>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</si>
  <si>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</si>
  <si>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</si>
  <si>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</si>
  <si>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</si>
  <si>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</si>
  <si>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</si>
  <si>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</si>
  <si>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</si>
  <si>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</si>
  <si>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</si>
  <si>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</si>
  <si>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</si>
  <si>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</si>
  <si>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</si>
  <si>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</si>
  <si>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</si>
  <si>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</si>
  <si>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</si>
  <si>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</si>
  <si>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</si>
  <si>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</si>
  <si>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</si>
  <si>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</si>
  <si>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</si>
  <si>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</si>
  <si>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</si>
  <si>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</si>
  <si>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</si>
  <si>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</si>
  <si>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</si>
  <si>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</si>
  <si>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</si>
  <si>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</si>
  <si>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</si>
  <si>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</si>
  <si>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</si>
  <si>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</si>
  <si>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</si>
  <si>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</si>
  <si>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</si>
  <si>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</si>
  <si>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</si>
  <si>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</si>
  <si>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</si>
  <si>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</si>
  <si>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</si>
  <si>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</si>
  <si>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</si>
  <si>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</si>
  <si>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</si>
  <si>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</si>
  <si>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</si>
  <si>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</si>
  <si>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</si>
  <si>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</si>
  <si>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</si>
  <si>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</si>
  <si>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</si>
  <si>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</si>
  <si>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</si>
  <si>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</si>
  <si>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</si>
  <si>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</si>
  <si>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</si>
  <si>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</si>
  <si>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</si>
  <si>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</si>
  <si>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</si>
  <si>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</si>
  <si>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</si>
  <si>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</si>
  <si>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</si>
  <si>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</si>
  <si>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</si>
  <si>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</si>
  <si>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</si>
  <si>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</si>
  <si>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</si>
  <si>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</si>
  <si>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</si>
  <si>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</si>
  <si>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</si>
  <si>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</si>
  <si>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</si>
  <si>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</si>
  <si>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</si>
  <si>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</si>
  <si>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</si>
  <si>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</si>
  <si>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</si>
  <si>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</si>
  <si>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</si>
  <si>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</si>
  <si>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</si>
  <si>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</si>
  <si>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</si>
  <si>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</si>
  <si>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</si>
  <si>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</si>
  <si>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</si>
  <si>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</si>
  <si>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</si>
  <si>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</si>
  <si>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</si>
  <si>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</si>
  <si>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</si>
  <si>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</si>
  <si>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</si>
  <si>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</si>
  <si>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</si>
  <si>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</si>
  <si>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</si>
  <si>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</si>
  <si>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</si>
  <si>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</si>
  <si>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</si>
  <si>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</si>
  <si>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</si>
  <si>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</si>
  <si>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</si>
  <si>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</si>
  <si>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</si>
  <si>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</si>
  <si>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</si>
  <si>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</si>
  <si>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</si>
  <si>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</si>
  <si>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</si>
  <si>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</si>
  <si>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</si>
  <si>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</si>
  <si>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</si>
  <si>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</si>
  <si>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</si>
  <si>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</si>
  <si>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</si>
  <si>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</si>
  <si>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</si>
  <si>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</si>
  <si>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</si>
  <si>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</si>
  <si>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</si>
  <si>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</si>
  <si>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</si>
  <si>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</si>
  <si>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</si>
  <si>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</si>
  <si>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</si>
  <si>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</si>
  <si>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</si>
  <si>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</si>
  <si>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</si>
  <si>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</si>
  <si>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</si>
  <si>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</si>
  <si>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</si>
  <si>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</si>
  <si>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</si>
  <si>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</si>
  <si>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</si>
  <si>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</si>
  <si>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</si>
  <si>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</si>
  <si>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</si>
  <si>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</si>
  <si>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</si>
  <si>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</si>
  <si>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</si>
  <si>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</si>
  <si>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</si>
  <si>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</si>
  <si>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</si>
  <si>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</si>
  <si>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</si>
  <si>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</si>
  <si>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</si>
  <si>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</si>
  <si>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</si>
  <si>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</si>
  <si>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</si>
  <si>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</si>
  <si>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</si>
  <si>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</si>
  <si>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</si>
  <si>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</si>
  <si>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</si>
  <si>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</si>
  <si>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</si>
  <si>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</si>
  <si>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</si>
  <si>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</si>
  <si>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</si>
  <si>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</si>
  <si>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</si>
  <si>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</si>
  <si>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</si>
  <si>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</si>
  <si>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</si>
  <si>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</si>
  <si>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</si>
  <si>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</si>
  <si>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</si>
  <si>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</si>
  <si>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</si>
  <si>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</si>
  <si>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</si>
  <si>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</si>
  <si>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</si>
  <si>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</si>
  <si>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</si>
  <si>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</si>
  <si>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</si>
  <si>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</si>
  <si>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</si>
  <si>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</si>
  <si>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</si>
  <si>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</si>
  <si>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</si>
  <si>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</si>
  <si>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</si>
  <si>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</si>
  <si>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</si>
  <si>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</si>
  <si>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</si>
  <si>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</si>
  <si>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</si>
  <si>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</si>
  <si>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</si>
  <si>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</si>
  <si>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</si>
  <si>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</si>
  <si>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</si>
  <si>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</si>
  <si>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</si>
  <si>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</si>
  <si>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</si>
  <si>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</si>
  <si>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</si>
  <si>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</si>
  <si>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</si>
  <si>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</si>
  <si>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</si>
  <si>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</si>
  <si>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</si>
  <si>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</si>
  <si>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</si>
  <si>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</si>
  <si>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</si>
  <si>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</si>
  <si>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</si>
  <si>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</si>
  <si>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</si>
  <si>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</si>
  <si>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</si>
  <si>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</si>
  <si>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</si>
  <si>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</si>
  <si>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</si>
  <si>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</si>
  <si>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</si>
  <si>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</si>
  <si>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</si>
  <si>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</si>
  <si>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</si>
  <si>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</si>
  <si>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</si>
  <si>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</si>
  <si>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</si>
  <si>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</si>
  <si>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</si>
  <si>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</si>
  <si>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</si>
  <si>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</si>
  <si>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</si>
  <si>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</si>
  <si>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</si>
  <si>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</si>
  <si>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</si>
  <si>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</si>
  <si>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</si>
  <si>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</si>
  <si>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</si>
  <si>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</si>
  <si>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</si>
  <si>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</si>
  <si>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</si>
  <si>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</si>
  <si>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</si>
  <si>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</si>
  <si>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</si>
  <si>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</si>
  <si>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</si>
  <si>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</si>
  <si>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</si>
  <si>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</si>
  <si>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</si>
  <si>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</si>
  <si>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</si>
  <si>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</si>
  <si>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</si>
  <si>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</si>
  <si>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</si>
  <si>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</si>
  <si>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</si>
  <si>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</si>
  <si>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</si>
  <si>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</si>
  <si>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</si>
  <si>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</si>
  <si>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</si>
  <si>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</si>
  <si>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</si>
  <si>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</si>
  <si>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</si>
  <si>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</si>
  <si>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</si>
  <si>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</si>
  <si>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</si>
  <si>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</si>
  <si>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</si>
  <si>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</si>
  <si>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</si>
  <si>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</si>
  <si>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</si>
  <si>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</si>
  <si>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</si>
  <si>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</si>
  <si>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</si>
  <si>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</si>
  <si>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</si>
  <si>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</si>
  <si>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</si>
  <si>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</si>
  <si>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</si>
  <si>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</si>
  <si>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</si>
  <si>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</si>
  <si>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</si>
  <si>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</si>
  <si>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</si>
  <si>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</si>
  <si>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</si>
  <si>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</si>
  <si>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</si>
  <si>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</si>
  <si>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</si>
  <si>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</si>
  <si>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</si>
  <si>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</si>
  <si>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</si>
  <si>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</si>
  <si>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</si>
  <si>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</si>
  <si>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</si>
  <si>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</si>
  <si>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</si>
  <si>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</si>
  <si>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</si>
  <si>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</si>
  <si>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</si>
  <si>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</si>
  <si>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</si>
  <si>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</si>
  <si>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</si>
  <si>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</si>
  <si>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</si>
  <si>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</si>
  <si>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</si>
  <si>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</si>
  <si>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</si>
  <si>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</si>
  <si>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</si>
  <si>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</si>
  <si>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</si>
  <si>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</si>
  <si>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</si>
  <si>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</si>
  <si>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</si>
  <si>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</si>
  <si>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</si>
  <si>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</si>
  <si>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</si>
  <si>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</si>
  <si>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</si>
  <si>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</si>
  <si>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</si>
  <si>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</si>
  <si>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</si>
  <si>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</si>
  <si>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</si>
  <si>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</si>
  <si>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</si>
  <si>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</si>
  <si>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</si>
  <si>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</si>
  <si>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</si>
  <si>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</si>
  <si>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</si>
  <si>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</si>
  <si>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</si>
  <si>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</si>
  <si>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</si>
  <si>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</si>
  <si>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</si>
  <si>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</si>
  <si>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</si>
  <si>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</si>
  <si>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</si>
  <si>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</si>
  <si>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</si>
  <si>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</si>
  <si>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</si>
  <si>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</si>
  <si>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</si>
  <si>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</si>
  <si>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</si>
  <si>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</si>
  <si>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</si>
  <si>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</si>
  <si>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</si>
  <si>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</si>
  <si>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</si>
  <si>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</si>
  <si>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</si>
  <si>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</si>
  <si>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</si>
  <si>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</si>
  <si>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</si>
  <si>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</si>
  <si>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</si>
  <si>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</si>
  <si>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</si>
  <si>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</si>
  <si>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</si>
  <si>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</si>
  <si>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</si>
  <si>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</si>
  <si>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</si>
  <si>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</si>
  <si>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</si>
  <si>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</si>
  <si>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</si>
  <si>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</si>
  <si>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</si>
  <si>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</si>
  <si>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</si>
  <si>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</si>
  <si>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</si>
  <si>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</si>
  <si>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</si>
  <si>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</si>
  <si>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</si>
  <si>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</si>
  <si>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</si>
  <si>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</si>
  <si>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</si>
  <si>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</si>
  <si>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</si>
  <si>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</si>
  <si>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</si>
  <si>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</si>
  <si>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</si>
  <si>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</si>
  <si>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</si>
  <si>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</si>
  <si>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</si>
  <si>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</si>
  <si>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</si>
  <si>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</si>
  <si>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</si>
  <si>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</si>
  <si>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</si>
  <si>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</si>
  <si>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</si>
  <si>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</si>
  <si>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</si>
  <si>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</si>
  <si>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</si>
  <si>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</si>
  <si>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</si>
  <si>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</si>
  <si>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</si>
  <si>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</si>
  <si>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</si>
  <si>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</si>
  <si>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</si>
  <si>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</si>
  <si>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</si>
  <si>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</si>
  <si>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</si>
  <si>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</si>
  <si>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</si>
  <si>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</si>
  <si>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</si>
  <si>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</si>
  <si>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</si>
  <si>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</si>
  <si>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</si>
  <si>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</si>
  <si>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</si>
  <si>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</si>
  <si>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</si>
  <si>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</si>
  <si>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</si>
  <si>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</si>
  <si>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</si>
  <si>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</si>
  <si>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</si>
  <si>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</si>
  <si>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</si>
  <si>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</si>
  <si>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</si>
  <si>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</si>
  <si>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</si>
  <si>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</si>
  <si>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</si>
  <si>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</si>
  <si>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</si>
  <si>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</si>
  <si>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</si>
  <si>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</si>
  <si>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</si>
  <si>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</si>
  <si>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</si>
  <si>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</si>
  <si>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</si>
  <si>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</si>
  <si>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</si>
  <si>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</si>
  <si>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</si>
  <si>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</si>
  <si>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</si>
  <si>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</si>
  <si>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</si>
  <si>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</si>
  <si>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</si>
  <si>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</si>
  <si>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</si>
  <si>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</si>
  <si>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</si>
  <si>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</si>
  <si>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</si>
  <si>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</si>
  <si>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</si>
  <si>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</si>
  <si>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</si>
  <si>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</si>
  <si>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</si>
  <si>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</si>
  <si>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</si>
  <si>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</si>
  <si>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</si>
  <si>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</si>
  <si>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</si>
  <si>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</si>
  <si>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</si>
  <si>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</si>
  <si>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</si>
  <si>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</si>
  <si>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</si>
  <si>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</si>
  <si>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</si>
  <si>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</si>
  <si>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</si>
  <si>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</si>
  <si>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</si>
  <si>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</si>
  <si>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</si>
  <si>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</si>
  <si>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</si>
  <si>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</si>
  <si>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</si>
  <si>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</si>
  <si>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</si>
  <si>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</si>
  <si>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</si>
  <si>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</si>
  <si>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</si>
  <si>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</si>
  <si>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</si>
  <si>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</si>
  <si>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</si>
  <si>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</si>
  <si>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</si>
  <si>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</si>
  <si>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</si>
  <si>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</si>
  <si>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</si>
  <si>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</si>
  <si>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</si>
  <si>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</si>
  <si>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</si>
  <si>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</si>
  <si>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</si>
  <si>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</si>
  <si>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</si>
  <si>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</si>
  <si>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</si>
  <si>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</si>
  <si>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</si>
  <si>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</si>
  <si>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</si>
  <si>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</si>
  <si>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</si>
  <si>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</si>
  <si>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</si>
  <si>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</si>
  <si>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</si>
  <si>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</si>
  <si>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</si>
  <si>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</si>
  <si>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</si>
  <si>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</si>
  <si>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</si>
  <si>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</si>
  <si>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</si>
  <si>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</si>
  <si>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</si>
  <si>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</si>
  <si>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</si>
  <si>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</si>
  <si>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</si>
  <si>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</si>
  <si>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</si>
  <si>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</si>
  <si>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</si>
  <si>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</si>
  <si>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</si>
  <si>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</si>
  <si>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</si>
  <si>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</si>
  <si>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</si>
  <si>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</si>
  <si>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</si>
  <si>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</si>
  <si>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</si>
  <si>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</si>
  <si>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</si>
  <si>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</si>
  <si>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</si>
  <si>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</si>
  <si>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</si>
  <si>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</si>
  <si>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</si>
  <si>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</si>
  <si>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</si>
  <si>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</si>
  <si>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</si>
  <si>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</si>
  <si>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</si>
  <si>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</si>
  <si>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</si>
  <si>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</si>
  <si>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</si>
  <si>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</si>
  <si>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</si>
  <si>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</si>
  <si>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</si>
  <si>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</si>
  <si>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</si>
  <si>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</si>
  <si>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</si>
  <si>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</si>
  <si>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</si>
  <si>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</si>
  <si>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</si>
  <si>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</si>
  <si>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</si>
  <si>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</si>
  <si>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</si>
  <si>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</si>
  <si>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</si>
  <si>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</si>
  <si>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</si>
  <si>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</si>
  <si>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</si>
  <si>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</si>
  <si>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</si>
  <si>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</si>
  <si>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</si>
  <si>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</si>
  <si>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</si>
  <si>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</si>
  <si>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</si>
  <si>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</si>
  <si>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</si>
  <si>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</si>
  <si>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</si>
  <si>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</si>
  <si>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</si>
  <si>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</si>
  <si>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</si>
  <si>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</si>
  <si>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</si>
  <si>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</si>
  <si>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</si>
  <si>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</si>
  <si>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</si>
  <si>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</si>
  <si>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</si>
  <si>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</si>
  <si>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</si>
  <si>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</si>
  <si>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</si>
  <si>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</si>
  <si>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</si>
  <si>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</si>
  <si>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</si>
  <si>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</si>
  <si>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</si>
  <si>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</si>
  <si>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</si>
  <si>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</si>
  <si>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</si>
  <si>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</si>
  <si>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</si>
  <si>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</si>
  <si>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</si>
  <si>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</si>
  <si>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</si>
  <si>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</si>
  <si>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</si>
  <si>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</si>
  <si>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</si>
  <si>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</si>
  <si>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</si>
  <si>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</si>
  <si>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</si>
  <si>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</si>
  <si>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</si>
  <si>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</si>
  <si>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</si>
  <si>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</si>
  <si>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</si>
  <si>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</si>
  <si>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</si>
  <si>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</si>
  <si>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</si>
  <si>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</si>
  <si>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</si>
  <si>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</si>
  <si>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</si>
  <si>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</si>
  <si>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</si>
  <si>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</si>
  <si>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</si>
  <si>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</si>
  <si>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</si>
  <si>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</si>
  <si>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</si>
  <si>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</si>
  <si>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</si>
  <si>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</si>
  <si>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</si>
  <si>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</si>
  <si>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</si>
  <si>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</si>
  <si>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</si>
  <si>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</si>
  <si>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</si>
  <si>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</si>
  <si>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</si>
  <si>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</si>
  <si>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</si>
  <si>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</si>
  <si>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</si>
  <si>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</si>
  <si>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</si>
  <si>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</si>
  <si>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</si>
  <si>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</si>
  <si>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</si>
  <si>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</si>
  <si>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</si>
  <si>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</si>
  <si>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</si>
  <si>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</si>
  <si>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</si>
  <si>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</si>
  <si>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</si>
  <si>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</si>
  <si>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</si>
  <si>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</si>
  <si>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</si>
  <si>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</si>
  <si>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</si>
  <si>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</si>
  <si>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</si>
  <si>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</si>
  <si>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</si>
  <si>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</si>
  <si>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</si>
  <si>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</si>
  <si>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</si>
  <si>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</si>
  <si>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</si>
  <si>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</si>
  <si>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</si>
  <si>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</si>
  <si>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</si>
  <si>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</si>
  <si>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</si>
  <si>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</si>
  <si>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</si>
  <si>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</si>
  <si>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</si>
  <si>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</si>
  <si>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</si>
  <si>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</si>
  <si>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</si>
  <si>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</si>
  <si>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</si>
  <si>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</si>
  <si>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</si>
  <si>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</si>
  <si>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</si>
  <si>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</si>
  <si>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</si>
  <si>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</si>
  <si>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</si>
  <si>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</si>
  <si>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</si>
  <si>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</si>
  <si>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</si>
  <si>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</si>
  <si>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</si>
  <si>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</si>
  <si>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</si>
  <si>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</si>
  <si>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</si>
  <si>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</si>
  <si>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</si>
  <si>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</si>
  <si>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</si>
  <si>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</si>
  <si>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</si>
  <si>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</si>
  <si>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</si>
  <si>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</si>
  <si>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</si>
  <si>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</si>
  <si>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</si>
  <si>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</si>
  <si>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</si>
  <si>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</si>
  <si>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</si>
  <si>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</si>
  <si>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</si>
  <si>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</si>
  <si>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</si>
  <si>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</si>
  <si>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</si>
  <si>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</si>
  <si>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</si>
  <si>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</si>
  <si>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</si>
  <si>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</si>
  <si>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</si>
  <si>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</si>
  <si>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</si>
  <si>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</si>
  <si>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</si>
  <si>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</si>
  <si>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</si>
  <si>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</si>
  <si>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</si>
  <si>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</si>
  <si>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</si>
  <si>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</si>
  <si>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</si>
  <si>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</si>
  <si>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</si>
  <si>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</si>
  <si>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</si>
  <si>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</si>
  <si>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</si>
  <si>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</si>
  <si>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</si>
  <si>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</si>
  <si>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</si>
  <si>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</si>
  <si>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</si>
  <si>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</si>
  <si>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</si>
  <si>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</si>
  <si>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</si>
  <si>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</si>
  <si>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</si>
  <si>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</si>
  <si>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</si>
  <si>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</si>
  <si>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</si>
  <si>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</si>
  <si>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</si>
  <si>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</si>
  <si>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</si>
  <si>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</si>
  <si>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</si>
  <si>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</si>
  <si>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</si>
  <si>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</si>
  <si>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</si>
  <si>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</si>
  <si>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</si>
  <si>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</si>
  <si>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</si>
  <si>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</si>
  <si>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</si>
  <si>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</si>
  <si>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</si>
  <si>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</si>
  <si>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</si>
  <si>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</si>
  <si>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</si>
  <si>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</si>
  <si>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</si>
  <si>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</si>
  <si>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</si>
  <si>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</si>
  <si>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</si>
  <si>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</si>
  <si>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</si>
  <si>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</si>
  <si>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</si>
  <si>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</si>
  <si>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</si>
  <si>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</si>
  <si>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</si>
  <si>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</si>
  <si>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</si>
  <si>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</si>
  <si>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</si>
  <si>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</si>
  <si>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</si>
  <si>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</si>
  <si>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</si>
  <si>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</si>
  <si>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</si>
  <si>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</si>
  <si>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</si>
  <si>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</si>
  <si>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</si>
  <si>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</si>
  <si>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</si>
  <si>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</si>
  <si>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</si>
  <si>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</si>
  <si>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</si>
  <si>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</si>
  <si>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</si>
  <si>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</si>
  <si>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</si>
  <si>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</si>
  <si>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</si>
  <si>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</si>
  <si>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</si>
  <si>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</si>
  <si>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</si>
  <si>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</si>
  <si>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</si>
  <si>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</si>
  <si>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</si>
  <si>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</si>
  <si>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</si>
  <si>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</si>
  <si>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</si>
  <si>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</si>
  <si>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</si>
  <si>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</si>
  <si>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</si>
  <si>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</si>
  <si>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</si>
  <si>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</si>
  <si>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</si>
  <si>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</si>
  <si>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</si>
  <si>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</si>
  <si>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</si>
  <si>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</si>
  <si>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</si>
  <si>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</si>
  <si>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</si>
  <si>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</si>
  <si>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</si>
  <si>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</si>
  <si>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</si>
  <si>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</si>
  <si>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</si>
  <si>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</si>
  <si>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</si>
  <si>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</si>
  <si>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</si>
  <si>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</si>
  <si>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</si>
  <si>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</si>
  <si>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</si>
  <si>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</si>
  <si>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</si>
  <si>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</si>
  <si>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</si>
  <si>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</si>
  <si>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</si>
  <si>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</si>
  <si>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</si>
  <si>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</si>
  <si>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</si>
  <si>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</si>
  <si>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</si>
  <si>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</si>
  <si>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</si>
  <si>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</si>
  <si>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</si>
  <si>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</si>
  <si>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</si>
  <si>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</si>
  <si>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</si>
  <si>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</si>
  <si>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</si>
  <si>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</si>
  <si>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</si>
  <si>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</si>
  <si>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</si>
  <si>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</si>
  <si>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</si>
  <si>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</si>
  <si>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</si>
  <si>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</si>
  <si>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</si>
  <si>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</si>
  <si>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</si>
  <si>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</si>
  <si>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</si>
  <si>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</si>
  <si>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</si>
  <si>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</si>
  <si>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</si>
  <si>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</si>
  <si>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</si>
  <si>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</si>
  <si>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</si>
  <si>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</si>
  <si>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</si>
  <si>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</si>
  <si>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</si>
  <si>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</si>
  <si>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</si>
  <si>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</si>
  <si>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</si>
  <si>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</si>
  <si>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</si>
  <si>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</si>
  <si>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</si>
  <si>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</si>
  <si>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</si>
  <si>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</si>
  <si>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</si>
  <si>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</si>
  <si>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</si>
  <si>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</si>
  <si>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</si>
  <si>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</si>
  <si>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</si>
  <si>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</si>
  <si>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</si>
  <si>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</si>
  <si>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</si>
  <si>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</si>
  <si>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</si>
  <si>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</si>
  <si>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</si>
  <si>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</si>
  <si>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</si>
  <si>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</si>
  <si>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</si>
  <si>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</si>
  <si>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</si>
  <si>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</si>
  <si>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</si>
  <si>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</si>
  <si>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</si>
  <si>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</si>
  <si>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</si>
  <si>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</si>
  <si>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</si>
  <si>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</si>
  <si>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</si>
  <si>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</si>
  <si>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</si>
  <si>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</si>
  <si>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</si>
  <si>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</si>
  <si>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</si>
  <si>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</si>
  <si>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</si>
  <si>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</si>
  <si>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</si>
  <si>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</si>
  <si>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</si>
  <si>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</si>
  <si>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</si>
  <si>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</si>
  <si>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</si>
  <si>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</si>
  <si>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</si>
  <si>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</si>
  <si>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</si>
  <si>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</si>
  <si>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</si>
  <si>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</si>
  <si>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</si>
  <si>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</si>
  <si>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</si>
  <si>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</si>
  <si>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</si>
  <si>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</si>
  <si>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</si>
  <si>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</si>
  <si>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</si>
  <si>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</si>
  <si>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</si>
  <si>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</si>
  <si>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</si>
  <si>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</si>
  <si>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</si>
  <si>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</si>
  <si>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</si>
  <si>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</si>
  <si>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</si>
  <si>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</si>
  <si>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</si>
  <si>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</si>
  <si>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</si>
  <si>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</si>
  <si>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</si>
  <si>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</si>
  <si>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</si>
  <si>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</si>
  <si>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</si>
  <si>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</si>
  <si>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</si>
  <si>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</si>
  <si>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</si>
  <si>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</si>
  <si>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</si>
  <si>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</si>
  <si>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</si>
  <si>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</si>
  <si>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</si>
  <si>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</si>
  <si>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</si>
  <si>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</si>
  <si>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</si>
  <si>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</si>
  <si>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</si>
  <si>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</si>
  <si>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</si>
  <si>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</si>
  <si>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</si>
  <si>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</si>
  <si>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</si>
  <si>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</si>
  <si>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</si>
  <si>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</si>
  <si>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</si>
  <si>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</si>
  <si>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</si>
  <si>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</si>
  <si>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</si>
  <si>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</si>
  <si>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</si>
  <si>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</si>
  <si>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</si>
  <si>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</si>
  <si>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</si>
  <si>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</si>
  <si>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</si>
  <si>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</si>
  <si>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</si>
  <si>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</si>
  <si>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</si>
  <si>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</si>
  <si>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</si>
  <si>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</si>
  <si>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</si>
  <si>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</si>
  <si>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</si>
  <si>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</si>
  <si>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</si>
  <si>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</si>
  <si>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</si>
  <si>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</si>
  <si>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</si>
  <si>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</si>
  <si>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</si>
  <si>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</si>
  <si>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</si>
  <si>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</si>
  <si>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</si>
  <si>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</si>
  <si>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</si>
  <si>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</si>
  <si>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</si>
  <si>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</si>
  <si>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</si>
  <si>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</si>
  <si>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</si>
  <si>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</si>
  <si>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</si>
  <si>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</si>
  <si>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</si>
  <si>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</si>
  <si>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</si>
  <si>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</si>
  <si>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</si>
  <si>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</si>
  <si>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</si>
  <si>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</si>
  <si>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</si>
  <si>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</si>
  <si>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</si>
  <si>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</si>
  <si>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</si>
  <si>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</si>
  <si>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</si>
  <si>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</si>
  <si>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</si>
  <si>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</si>
  <si>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</si>
  <si>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</si>
  <si>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</si>
  <si>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</si>
  <si>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</si>
  <si>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</si>
  <si>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</si>
  <si>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</si>
  <si>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</si>
  <si>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</si>
  <si>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</si>
  <si>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</si>
  <si>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</si>
  <si>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</si>
  <si>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</si>
  <si>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</si>
  <si>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</si>
  <si>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</si>
  <si>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</si>
  <si>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</si>
  <si>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</si>
  <si>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</si>
  <si>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</si>
  <si>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</si>
  <si>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</si>
  <si>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</si>
  <si>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</si>
  <si>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8931 FULLERTON AVENUE</t>
  </si>
  <si>
    <t>RIVER GROVE</t>
  </si>
  <si>
    <t>708-453-1266</t>
  </si>
  <si>
    <t>708-453-0817</t>
  </si>
  <si>
    <t>EVOY, KAMSCHULTE, JACOBS &amp; CO. LLP</t>
  </si>
  <si>
    <t>JAMES HENRY, CPA</t>
  </si>
  <si>
    <t>2122 YEOMAN STREET</t>
  </si>
  <si>
    <t>WAUKEGAN</t>
  </si>
  <si>
    <t>IL</t>
  </si>
  <si>
    <t>847-662-8305</t>
  </si>
  <si>
    <t>847-662-8300</t>
  </si>
  <si>
    <t>066-003289</t>
  </si>
  <si>
    <t>JHENRY@EKJLLP.COM</t>
  </si>
  <si>
    <t>Evoy, Kamschulte, Jacobs &amp; Co. LLP</t>
  </si>
  <si>
    <t>Page 8, Line 75, Other Uses Not Classified Elsewhere - Working Cash Fund - Transfer to Refunded Bonds Escrow Agent-$3,277,378,</t>
  </si>
  <si>
    <t>Costs of Bond Issuance - $214,756</t>
  </si>
  <si>
    <t>2007 WORKING CASH FUND BONDS</t>
  </si>
  <si>
    <t>2018 REFUNDING AND WORKING CASH FUND BONDS</t>
  </si>
  <si>
    <t>1 AND 3</t>
  </si>
  <si>
    <t>Page 24, Line 31, Bonds Defeased by 2018 Refunding Bonds Issuance - $3,255,000</t>
  </si>
  <si>
    <t>Collective Liability Insurance Coop (CLIC), Educational Benefit Coop (EBC)</t>
  </si>
  <si>
    <t>IL School District Liquid Asset Fund (ISDLAF)</t>
  </si>
  <si>
    <t>Leyden Area Special Education Cooperative (LASEC)</t>
  </si>
  <si>
    <t>U S DEPARTMENT OF AGRICULTURE</t>
  </si>
  <si>
    <t>Passed Through IL State Board of Education</t>
  </si>
  <si>
    <t xml:space="preserve">  Child Nutrtion Cluster</t>
  </si>
  <si>
    <t xml:space="preserve">    National School Lunch Program</t>
  </si>
  <si>
    <t>2019-4210</t>
  </si>
  <si>
    <t>2018-4210</t>
  </si>
  <si>
    <t xml:space="preserve">    School Breakfast Program</t>
  </si>
  <si>
    <t>2019-4220</t>
  </si>
  <si>
    <t>2018-4220</t>
  </si>
  <si>
    <t xml:space="preserve">    USDA Food Commodities - Non-Cash</t>
  </si>
  <si>
    <t xml:space="preserve">  Total Child Nutrtion Cluster</t>
  </si>
  <si>
    <t>TOTAL U S DEPARTMENT OF AGRICULTURE</t>
  </si>
  <si>
    <t>U S DEPARTMENT OF EDUCATION</t>
  </si>
  <si>
    <t xml:space="preserve">    Title I - Low-Income</t>
  </si>
  <si>
    <t>2019-4300</t>
  </si>
  <si>
    <t>2018-4300</t>
  </si>
  <si>
    <t xml:space="preserve">    Title I - School Improvement &amp; Accountability</t>
  </si>
  <si>
    <t>2019-4331</t>
  </si>
  <si>
    <t>U S DEPARTMENT OF EDUCATION (Continued)</t>
  </si>
  <si>
    <t xml:space="preserve">    Title III - Language Instruction Program - LipLep</t>
  </si>
  <si>
    <t>2019-4909</t>
  </si>
  <si>
    <t>2018-4909</t>
  </si>
  <si>
    <t xml:space="preserve">    Title II - Teacher Quality</t>
  </si>
  <si>
    <t>2019-4932</t>
  </si>
  <si>
    <t>2018-4932</t>
  </si>
  <si>
    <t xml:space="preserve">  Special Education Cluster (IDEA)</t>
  </si>
  <si>
    <t xml:space="preserve">    Federal special Education - IDEA - Room and Board Reimbursement</t>
  </si>
  <si>
    <t>2018-4625</t>
  </si>
  <si>
    <t>Passed Through ISBE Through Leyden Area Special Education Coop (LASEC)</t>
  </si>
  <si>
    <t xml:space="preserve">    Federal Special Education - IDEA - Pre-School</t>
  </si>
  <si>
    <t>2019-4600</t>
  </si>
  <si>
    <t>2018-4600</t>
  </si>
  <si>
    <t xml:space="preserve">    Federal Special Education - IDEA-Flow-Through</t>
  </si>
  <si>
    <t>2019-4620</t>
  </si>
  <si>
    <t>2018-4620</t>
  </si>
  <si>
    <t xml:space="preserve">  Total Special Education Cluster (IDEA)</t>
  </si>
  <si>
    <t>TOTAL U S DEPARTMENT OF EDUCATION</t>
  </si>
  <si>
    <t>U S DEPARTMENT OF HEALTH AND HUMAN SERVICES</t>
  </si>
  <si>
    <t>Passed Through IL Dept of Healthcare and Family Services</t>
  </si>
  <si>
    <t xml:space="preserve">    Medicaid Medical Assistance Program - Administrative Claim</t>
  </si>
  <si>
    <t>2019-4991</t>
  </si>
  <si>
    <t>2018-4991</t>
  </si>
  <si>
    <t>TOTAL U S DEPARTMENT OF HEALTH AND HUMAN SERVICES</t>
  </si>
  <si>
    <t>TOTAL FEDERAL FINANCIAL ASSISTANCE</t>
  </si>
  <si>
    <t>NOTE</t>
  </si>
  <si>
    <t>Although a Single Audit is not required, as indicated on the cover page, the SEFA pages within this AFR have been completed, for information</t>
  </si>
  <si>
    <t>purposes, to demonstrate that federal expenditures were below the $750,000 threshhold, even though federal revenues exceeded $750,000.</t>
  </si>
  <si>
    <t>ED-Board of Ed Services-Purch Svcs</t>
  </si>
  <si>
    <t>10-2300-300</t>
  </si>
  <si>
    <t>Barry &amp; Associates Consulting</t>
  </si>
  <si>
    <t>Rhodes SD 84.5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</si>
</sst>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cellStyleXfs>
  <cellXfs count="248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57" fillId="0" borderId="0" xfId="0" applyFont="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8000000}"/>
    <cellStyle name="Normal 3 2 3" xfId="20" xr:uid="{00000000-0005-0000-0000-000009000000}"/>
    <cellStyle name="Normal 3 3" xfId="19" xr:uid="{00000000-0005-0000-0000-00000A000000}"/>
    <cellStyle name="Normal 4" xfId="16" xr:uid="{00000000-0005-0000-0000-00000B000000}"/>
    <cellStyle name="Normal 4 2" xfId="21" xr:uid="{00000000-0005-0000-0000-00000C000000}"/>
    <cellStyle name="Normal 5" xfId="17" xr:uid="{00000000-0005-0000-0000-00000D000000}"/>
    <cellStyle name="Normal 5 2" xfId="22"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THRESHOLD CALCULATOR v3" xfId="1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485775</xdr:colOff>
          <xdr:row>3</xdr:row>
          <xdr:rowOff>66675</xdr:rowOff>
        </xdr:from>
        <xdr:to>
          <xdr:col>1</xdr:col>
          <xdr:colOff>1371600</xdr:colOff>
          <xdr:row>6</xdr:row>
          <xdr:rowOff>95250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4"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3" t="s">
        <v>405</v>
      </c>
      <c r="J1" s="1984"/>
      <c r="K1" s="1984"/>
      <c r="L1" s="1984"/>
      <c r="M1" s="1984"/>
      <c r="N1" s="1984"/>
      <c r="O1" s="1984"/>
      <c r="P1" s="1984"/>
      <c r="Q1" s="1984"/>
      <c r="R1" s="1984"/>
      <c r="S1" s="1984"/>
    </row>
    <row r="2" spans="1:28" ht="12" customHeight="1" x14ac:dyDescent="0.2">
      <c r="A2" s="47" t="s">
        <v>1993</v>
      </c>
      <c r="D2" s="48"/>
      <c r="I2" s="1985" t="s">
        <v>979</v>
      </c>
      <c r="J2" s="1984"/>
      <c r="K2" s="1984"/>
      <c r="L2" s="1984"/>
      <c r="M2" s="1984"/>
      <c r="N2" s="1984"/>
      <c r="O2" s="1984"/>
      <c r="P2" s="1984"/>
      <c r="Q2" s="1984"/>
      <c r="R2" s="1984"/>
      <c r="S2" s="1984"/>
    </row>
    <row r="3" spans="1:28" ht="12" customHeight="1" x14ac:dyDescent="0.2">
      <c r="A3" s="155" t="s">
        <v>1945</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2064</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2064</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6016084502</v>
      </c>
      <c r="B13" s="2019"/>
      <c r="C13" s="2019"/>
      <c r="D13" s="2019"/>
      <c r="E13" s="2019"/>
      <c r="F13" s="2019"/>
      <c r="G13" s="2019"/>
      <c r="H13" s="2020"/>
      <c r="I13" s="31"/>
      <c r="J13" s="30"/>
      <c r="K13" s="28"/>
      <c r="L13" s="30"/>
      <c r="M13" s="30"/>
      <c r="N13" s="30"/>
      <c r="O13" s="30"/>
      <c r="P13" s="30"/>
      <c r="Q13" s="30"/>
      <c r="R13" s="30"/>
      <c r="S13" s="30"/>
      <c r="T13" s="2023" t="s">
        <v>2070</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2065</v>
      </c>
      <c r="B15" s="2021"/>
      <c r="C15" s="2021"/>
      <c r="D15" s="2021"/>
      <c r="E15" s="2021"/>
      <c r="F15" s="2021"/>
      <c r="G15" s="2021"/>
      <c r="H15" s="2022"/>
      <c r="T15" s="2027" t="s">
        <v>2071</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2139</v>
      </c>
      <c r="B17" s="1978"/>
      <c r="C17" s="1978"/>
      <c r="D17" s="1978"/>
      <c r="E17" s="1978"/>
      <c r="F17" s="1978"/>
      <c r="G17" s="1978"/>
      <c r="H17" s="2003"/>
      <c r="T17" s="2034" t="s">
        <v>2072</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2066</v>
      </c>
      <c r="B19" s="1963"/>
      <c r="C19" s="1963"/>
      <c r="D19" s="1963"/>
      <c r="E19" s="1963"/>
      <c r="F19" s="1963"/>
      <c r="G19" s="1963"/>
      <c r="H19" s="1943"/>
      <c r="I19" s="30"/>
      <c r="J19" s="99"/>
      <c r="K19" s="40"/>
      <c r="L19" s="38"/>
      <c r="M19" s="112" t="s">
        <v>315</v>
      </c>
      <c r="P19" s="27"/>
      <c r="Q19" s="27"/>
      <c r="R19" s="27"/>
      <c r="S19" s="31"/>
      <c r="T19" s="2017" t="s">
        <v>2073</v>
      </c>
      <c r="U19" s="1942"/>
      <c r="V19" s="1942"/>
      <c r="W19" s="1943"/>
      <c r="X19" s="2032" t="s">
        <v>2074</v>
      </c>
      <c r="Y19" s="2033"/>
      <c r="Z19" s="2030">
        <v>60087</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2067</v>
      </c>
      <c r="B21" s="1942"/>
      <c r="C21" s="1942"/>
      <c r="D21" s="1942"/>
      <c r="E21" s="1942"/>
      <c r="F21" s="1942"/>
      <c r="G21" s="1942"/>
      <c r="H21" s="1943"/>
      <c r="I21" s="1997" t="s">
        <v>678</v>
      </c>
      <c r="J21" s="1992"/>
      <c r="K21" s="1992"/>
      <c r="L21" s="1992"/>
      <c r="M21" s="1992"/>
      <c r="N21" s="1992"/>
      <c r="O21" s="1992"/>
      <c r="P21" s="1992"/>
      <c r="Q21" s="1992"/>
      <c r="R21" s="1992"/>
      <c r="S21" s="1998"/>
      <c r="T21" s="2041" t="s">
        <v>2076</v>
      </c>
      <c r="U21" s="2042"/>
      <c r="V21" s="2042"/>
      <c r="W21" s="2042"/>
      <c r="X21" s="2047" t="s">
        <v>2075</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c r="B23" s="1995"/>
      <c r="C23" s="1995"/>
      <c r="D23" s="1995"/>
      <c r="E23" s="1995"/>
      <c r="F23" s="1995"/>
      <c r="G23" s="1995"/>
      <c r="H23" s="1996"/>
      <c r="T23" s="1977" t="s">
        <v>2077</v>
      </c>
      <c r="U23" s="2040"/>
      <c r="V23" s="2040"/>
      <c r="W23" s="2040"/>
      <c r="X23" s="2044">
        <v>44530</v>
      </c>
      <c r="Y23" s="2045"/>
      <c r="Z23" s="2045"/>
      <c r="AA23" s="2046"/>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60717</v>
      </c>
      <c r="B25" s="1942"/>
      <c r="C25" s="1942"/>
      <c r="D25" s="1942"/>
      <c r="E25" s="1942"/>
      <c r="F25" s="1942"/>
      <c r="G25" s="1942"/>
      <c r="H25" s="1943"/>
      <c r="I25" s="113"/>
      <c r="J25" s="1966"/>
      <c r="K25" s="1966"/>
      <c r="L25" s="1966"/>
      <c r="M25" s="1966"/>
      <c r="N25" s="1966"/>
      <c r="O25" s="1966"/>
      <c r="P25" s="1966"/>
      <c r="Q25" s="1966"/>
      <c r="R25" s="1966"/>
      <c r="S25" s="1967"/>
      <c r="T25" s="2037" t="s">
        <v>2078</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c r="B40" s="1956"/>
      <c r="C40" s="1957"/>
      <c r="D40" s="1957"/>
      <c r="E40" s="1957"/>
      <c r="F40" s="1958"/>
      <c r="G40" s="1958"/>
      <c r="H40" s="1959"/>
      <c r="I40" s="1980"/>
      <c r="J40" s="1981"/>
      <c r="K40" s="1981"/>
      <c r="L40" s="1981"/>
      <c r="M40" s="1981"/>
      <c r="N40" s="1981"/>
      <c r="O40" s="1981"/>
      <c r="P40" s="1981"/>
      <c r="Q40" s="1981"/>
      <c r="R40" s="1981"/>
      <c r="S40" s="1982"/>
      <c r="T40" s="1980"/>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2068</v>
      </c>
      <c r="B42" s="1961"/>
      <c r="C42" s="1962"/>
      <c r="D42" s="1960" t="s">
        <v>2069</v>
      </c>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2" sqref="E1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1951</v>
      </c>
      <c r="C2" s="714" t="s">
        <v>1952</v>
      </c>
      <c r="D2" s="714" t="s">
        <v>1953</v>
      </c>
      <c r="E2" s="714" t="s">
        <v>1954</v>
      </c>
      <c r="F2" s="714" t="s">
        <v>1955</v>
      </c>
    </row>
    <row r="3" spans="1:6" ht="12" customHeight="1" x14ac:dyDescent="0.2">
      <c r="A3" s="2184"/>
      <c r="B3" s="1525"/>
      <c r="C3" s="1526"/>
      <c r="D3" s="1527" t="s">
        <v>256</v>
      </c>
      <c r="E3" s="1526"/>
      <c r="F3" s="1527" t="s">
        <v>257</v>
      </c>
    </row>
    <row r="4" spans="1:6" ht="13.7" customHeight="1" x14ac:dyDescent="0.2">
      <c r="A4" s="715" t="s">
        <v>1155</v>
      </c>
      <c r="B4" s="1749">
        <f>'Revenues 9-14'!C5</f>
        <v>6665939</v>
      </c>
      <c r="C4" s="1524">
        <v>3596196</v>
      </c>
      <c r="D4" s="1752">
        <f>B4-C4</f>
        <v>3069743</v>
      </c>
      <c r="E4" s="1524">
        <v>7148861</v>
      </c>
      <c r="F4" s="1752">
        <f>E4-C4</f>
        <v>3552665</v>
      </c>
    </row>
    <row r="5" spans="1:6" ht="13.7" customHeight="1" x14ac:dyDescent="0.2">
      <c r="A5" s="715" t="s">
        <v>870</v>
      </c>
      <c r="B5" s="1750">
        <f>'Revenues 9-14'!D5</f>
        <v>974033</v>
      </c>
      <c r="C5" s="585">
        <v>520556</v>
      </c>
      <c r="D5" s="1753">
        <f t="shared" ref="D5:D18" si="0">B5-C5</f>
        <v>453477</v>
      </c>
      <c r="E5" s="585">
        <v>1034506</v>
      </c>
      <c r="F5" s="1753">
        <f>E5-C5</f>
        <v>513950</v>
      </c>
    </row>
    <row r="6" spans="1:6" ht="13.7" customHeight="1" x14ac:dyDescent="0.2">
      <c r="A6" s="715" t="s">
        <v>411</v>
      </c>
      <c r="B6" s="1750">
        <f>'Revenues 9-14'!E5</f>
        <v>433795</v>
      </c>
      <c r="C6" s="585">
        <v>241392</v>
      </c>
      <c r="D6" s="1753">
        <f t="shared" si="0"/>
        <v>192403</v>
      </c>
      <c r="E6" s="585">
        <v>470807</v>
      </c>
      <c r="F6" s="1753">
        <f t="shared" ref="F6:F18" si="1">E6-C6</f>
        <v>229415</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-8870</v>
      </c>
      <c r="C8" s="585"/>
      <c r="D8" s="1753">
        <f t="shared" si="0"/>
        <v>-8870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65496</v>
      </c>
      <c r="C10" s="585">
        <v>47241</v>
      </c>
      <c r="D10" s="1753">
        <f t="shared" si="0"/>
        <v>18255</v>
      </c>
      <c r="E10" s="585">
        <v>94046</v>
      </c>
      <c r="F10" s="1753">
        <f t="shared" si="1"/>
        <v>46805</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662275</v>
      </c>
      <c r="C14" s="585">
        <v>378380</v>
      </c>
      <c r="D14" s="1753">
        <f t="shared" si="0"/>
        <v>283895</v>
      </c>
      <c r="E14" s="585">
        <v>752368</v>
      </c>
      <c r="F14" s="1753">
        <f t="shared" si="1"/>
        <v>373988</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-8870</v>
      </c>
      <c r="C16" s="585"/>
      <c r="D16" s="1753">
        <f t="shared" si="0"/>
        <v>-8870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8783798</v>
      </c>
      <c r="C19" s="1751">
        <f>SUM(C4:C18)</f>
        <v>4783765</v>
      </c>
      <c r="D19" s="1751">
        <f>SUM(D4:D18)</f>
        <v>4000033</v>
      </c>
      <c r="E19" s="1751">
        <f>SUM(E4:E18)</f>
        <v>9500588</v>
      </c>
      <c r="F19" s="1751">
        <f>SUM(F4:F18)</f>
        <v>4716823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1802</v>
      </c>
      <c r="B2" s="2211"/>
      <c r="C2" s="1884" t="s">
        <v>1956</v>
      </c>
      <c r="D2" s="723" t="s">
        <v>1957</v>
      </c>
      <c r="E2" s="723" t="s">
        <v>1958</v>
      </c>
      <c r="F2" s="1884" t="s">
        <v>1959</v>
      </c>
    </row>
    <row r="3" spans="1:7" ht="15.75" customHeight="1" x14ac:dyDescent="0.2">
      <c r="A3" s="2212" t="s">
        <v>1114</v>
      </c>
      <c r="B3" s="2213"/>
      <c r="C3" s="2206"/>
      <c r="D3" s="2207"/>
      <c r="E3" s="2207"/>
      <c r="F3" s="2208"/>
    </row>
    <row r="4" spans="1:7" ht="12.75" customHeight="1" thickBot="1" x14ac:dyDescent="0.25">
      <c r="A4" s="2200" t="s">
        <v>630</v>
      </c>
      <c r="B4" s="2201"/>
      <c r="C4" s="581"/>
      <c r="D4" s="581"/>
      <c r="E4" s="581"/>
      <c r="F4" s="1755">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388</v>
      </c>
      <c r="B19" s="2192"/>
      <c r="C19" s="726"/>
      <c r="D19" s="585"/>
      <c r="E19" s="726"/>
      <c r="F19" s="1755">
        <f>SUM(C19+D19)-E19</f>
        <v>0</v>
      </c>
    </row>
    <row r="20" spans="1:11" ht="12.75" customHeight="1" thickTop="1" thickBot="1" x14ac:dyDescent="0.25">
      <c r="A20" s="2191" t="s">
        <v>448</v>
      </c>
      <c r="B20" s="2192"/>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c r="D23" s="581"/>
      <c r="E23" s="581"/>
      <c r="F23" s="1755">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c r="D25" s="581"/>
      <c r="E25" s="581"/>
      <c r="F25" s="1755">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2082</v>
      </c>
      <c r="B31" s="733">
        <v>39083</v>
      </c>
      <c r="C31" s="734">
        <v>5625000</v>
      </c>
      <c r="D31" s="735">
        <v>1</v>
      </c>
      <c r="E31" s="734">
        <v>3255000</v>
      </c>
      <c r="F31" s="734"/>
      <c r="G31" s="734">
        <v>-3255000</v>
      </c>
      <c r="H31" s="734"/>
      <c r="I31" s="1756">
        <f>((E31+F31)-H31)+G31</f>
        <v>0</v>
      </c>
      <c r="J31" s="734"/>
      <c r="K31" s="736"/>
    </row>
    <row r="32" spans="1:11" ht="12" customHeight="1" x14ac:dyDescent="0.2">
      <c r="A32" s="732" t="s">
        <v>2083</v>
      </c>
      <c r="B32" s="733">
        <v>43293</v>
      </c>
      <c r="C32" s="734">
        <v>6135000</v>
      </c>
      <c r="D32" s="735" t="s">
        <v>2084</v>
      </c>
      <c r="E32" s="734"/>
      <c r="F32" s="734">
        <v>6135000</v>
      </c>
      <c r="G32" s="734"/>
      <c r="H32" s="734">
        <v>510000</v>
      </c>
      <c r="I32" s="1756">
        <f>((E32+F32)-H32)+G32</f>
        <v>5625000</v>
      </c>
      <c r="J32" s="734">
        <v>5624986</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11760000</v>
      </c>
      <c r="D49" s="745"/>
      <c r="E49" s="1756">
        <f t="shared" ref="E49:J49" si="2">SUM(E31:E48)</f>
        <v>3255000</v>
      </c>
      <c r="F49" s="1756">
        <f t="shared" si="2"/>
        <v>6135000</v>
      </c>
      <c r="G49" s="1756">
        <f t="shared" si="2"/>
        <v>-3255000</v>
      </c>
      <c r="H49" s="1756">
        <f t="shared" si="2"/>
        <v>510000</v>
      </c>
      <c r="I49" s="1756">
        <f t="shared" si="2"/>
        <v>5625000</v>
      </c>
      <c r="J49" s="1756">
        <f t="shared" si="2"/>
        <v>5624986</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c r="G52" s="2188"/>
      <c r="H52" s="736"/>
      <c r="I52" s="736"/>
      <c r="J52" s="746"/>
    </row>
    <row r="53" spans="1:11" ht="11.25" customHeight="1" x14ac:dyDescent="0.2">
      <c r="A53" s="750" t="s">
        <v>913</v>
      </c>
      <c r="B53" s="751" t="s">
        <v>951</v>
      </c>
      <c r="C53" s="746"/>
      <c r="D53" s="737"/>
      <c r="E53" s="749" t="s">
        <v>497</v>
      </c>
      <c r="F53" s="2189"/>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D30" sqref="D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233" t="s">
        <v>1677</v>
      </c>
      <c r="B2" s="2234"/>
      <c r="C2" s="2234"/>
      <c r="D2" s="2234"/>
      <c r="E2" s="2235"/>
      <c r="F2" s="761" t="s">
        <v>904</v>
      </c>
      <c r="G2" s="762" t="s">
        <v>1674</v>
      </c>
      <c r="H2" s="762" t="s">
        <v>410</v>
      </c>
      <c r="I2" s="762" t="s">
        <v>1158</v>
      </c>
      <c r="J2" s="762" t="s">
        <v>1812</v>
      </c>
      <c r="K2" s="762" t="s">
        <v>138</v>
      </c>
    </row>
    <row r="3" spans="1:11" x14ac:dyDescent="0.2">
      <c r="A3" s="2236" t="s">
        <v>1964</v>
      </c>
      <c r="B3" s="2237"/>
      <c r="C3" s="2237"/>
      <c r="D3" s="2237"/>
      <c r="E3" s="2238"/>
      <c r="F3" s="763"/>
      <c r="G3" s="764"/>
      <c r="H3" s="764">
        <v>0</v>
      </c>
      <c r="I3" s="764"/>
      <c r="J3" s="765"/>
      <c r="K3" s="765"/>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v>662275</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7" t="s">
        <v>1813</v>
      </c>
      <c r="B10" s="2218"/>
      <c r="C10" s="2218"/>
      <c r="D10" s="2218"/>
      <c r="E10" s="2220"/>
      <c r="F10" s="783" t="s">
        <v>862</v>
      </c>
      <c r="G10" s="782"/>
      <c r="H10" s="784"/>
      <c r="I10" s="764"/>
      <c r="J10" s="765"/>
      <c r="K10" s="765"/>
    </row>
    <row r="11" spans="1:11" x14ac:dyDescent="0.2">
      <c r="A11" s="2217" t="s">
        <v>160</v>
      </c>
      <c r="B11" s="2218"/>
      <c r="C11" s="2218"/>
      <c r="D11" s="2218"/>
      <c r="E11" s="2219"/>
      <c r="F11" s="770" t="s">
        <v>852</v>
      </c>
      <c r="G11" s="771"/>
      <c r="H11" s="764"/>
      <c r="I11" s="764"/>
      <c r="J11" s="765"/>
      <c r="K11" s="773"/>
    </row>
    <row r="12" spans="1:11" ht="13.5" thickBot="1" x14ac:dyDescent="0.25">
      <c r="A12" s="2244" t="s">
        <v>905</v>
      </c>
      <c r="B12" s="2245"/>
      <c r="C12" s="2245"/>
      <c r="D12" s="2245"/>
      <c r="E12" s="2246"/>
      <c r="F12" s="1757"/>
      <c r="G12" s="1758">
        <f>SUM(G5:G11)</f>
        <v>0</v>
      </c>
      <c r="H12" s="1758">
        <f>SUM(H5:H11)</f>
        <v>662275</v>
      </c>
      <c r="I12" s="1758">
        <f>SUM(I5:I11)</f>
        <v>0</v>
      </c>
      <c r="J12" s="1758">
        <f>SUM(J5:J11)</f>
        <v>0</v>
      </c>
      <c r="K12" s="1758">
        <f>SUM(K5:K11)</f>
        <v>0</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v>662275</v>
      </c>
      <c r="I14" s="771"/>
      <c r="J14" s="773"/>
      <c r="K14" s="765"/>
    </row>
    <row r="15" spans="1:11" x14ac:dyDescent="0.2">
      <c r="A15" s="2218" t="s">
        <v>4</v>
      </c>
      <c r="B15" s="2218"/>
      <c r="C15" s="2218"/>
      <c r="D15" s="2218"/>
      <c r="E15" s="2219"/>
      <c r="F15" s="789" t="s">
        <v>855</v>
      </c>
      <c r="G15" s="771"/>
      <c r="H15" s="764"/>
      <c r="I15" s="764"/>
      <c r="J15" s="765"/>
      <c r="K15" s="765"/>
    </row>
    <row r="16" spans="1:11" x14ac:dyDescent="0.2">
      <c r="A16" s="2218" t="s">
        <v>298</v>
      </c>
      <c r="B16" s="2218"/>
      <c r="C16" s="2218"/>
      <c r="D16" s="2218"/>
      <c r="E16" s="2219"/>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26" t="s">
        <v>1809</v>
      </c>
      <c r="B19" s="2226"/>
      <c r="C19" s="2226"/>
      <c r="D19" s="2226"/>
      <c r="E19" s="2227"/>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47" t="s">
        <v>638</v>
      </c>
      <c r="B21" s="2247"/>
      <c r="C21" s="2247"/>
      <c r="D21" s="2247"/>
      <c r="E21" s="2247"/>
      <c r="F21" s="1759"/>
      <c r="G21" s="792"/>
      <c r="H21" s="796"/>
      <c r="I21" s="796"/>
      <c r="J21" s="1760">
        <f>SUM(J18:J20)</f>
        <v>0</v>
      </c>
      <c r="K21" s="793"/>
    </row>
    <row r="22" spans="1:11" ht="13.5" thickTop="1" x14ac:dyDescent="0.2">
      <c r="A22" s="2218" t="s">
        <v>1815</v>
      </c>
      <c r="B22" s="2218"/>
      <c r="C22" s="2218"/>
      <c r="D22" s="2218"/>
      <c r="E22" s="2219"/>
      <c r="F22" s="789" t="s">
        <v>862</v>
      </c>
      <c r="G22" s="782"/>
      <c r="H22" s="764"/>
      <c r="I22" s="764"/>
      <c r="J22" s="797"/>
      <c r="K22" s="765"/>
    </row>
    <row r="23" spans="1:11" ht="13.5" thickBot="1" x14ac:dyDescent="0.25">
      <c r="A23" s="2248" t="s">
        <v>906</v>
      </c>
      <c r="B23" s="2247"/>
      <c r="C23" s="2247"/>
      <c r="D23" s="2247"/>
      <c r="E23" s="2247"/>
      <c r="F23" s="1761"/>
      <c r="G23" s="1758">
        <f>SUM(G14:G16,G21,G22)</f>
        <v>0</v>
      </c>
      <c r="H23" s="1758">
        <f>SUM(H14:H16,H21,H22)</f>
        <v>662275</v>
      </c>
      <c r="I23" s="1758">
        <f>SUM(I14:I16,I21,I22)</f>
        <v>0</v>
      </c>
      <c r="J23" s="1758">
        <f>SUM(J14:J16,J21,J22)</f>
        <v>0</v>
      </c>
      <c r="K23" s="1758">
        <f>SUM(K14:K16,K21,K22)</f>
        <v>0</v>
      </c>
    </row>
    <row r="24" spans="1:11" ht="14.25" thickTop="1" thickBot="1" x14ac:dyDescent="0.25">
      <c r="A24" s="2248" t="s">
        <v>1965</v>
      </c>
      <c r="B24" s="2247"/>
      <c r="C24" s="2247"/>
      <c r="D24" s="2247"/>
      <c r="E24" s="224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21"/>
      <c r="I31" s="2222"/>
      <c r="J31" s="2222"/>
      <c r="K31" s="2222"/>
    </row>
    <row r="32" spans="1:11" x14ac:dyDescent="0.2">
      <c r="A32" s="809"/>
      <c r="B32" s="237"/>
      <c r="C32" s="237"/>
      <c r="D32" s="237"/>
      <c r="E32" s="805"/>
      <c r="F32" s="811" t="s">
        <v>540</v>
      </c>
      <c r="G32" s="764"/>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1909</v>
      </c>
      <c r="B1" s="2254"/>
      <c r="C1" s="2255"/>
      <c r="D1" s="826"/>
      <c r="E1" s="827"/>
      <c r="F1" s="827"/>
      <c r="G1" s="828"/>
      <c r="H1" s="829"/>
      <c r="I1" s="830"/>
      <c r="J1" s="2251"/>
      <c r="K1" s="2252"/>
      <c r="L1" s="2252"/>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7000</v>
      </c>
      <c r="D5" s="841"/>
      <c r="E5" s="841"/>
      <c r="F5" s="1760">
        <f>(C5+D5)-E5</f>
        <v>7000</v>
      </c>
      <c r="G5" s="837"/>
      <c r="H5" s="842"/>
      <c r="I5" s="842"/>
      <c r="J5" s="842"/>
      <c r="K5" s="793"/>
      <c r="L5" s="1769">
        <f>F5-K5</f>
        <v>7000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17891994</v>
      </c>
      <c r="D8" s="844">
        <v>3118726</v>
      </c>
      <c r="E8" s="844"/>
      <c r="F8" s="1760">
        <f>(C8+D8)-E8</f>
        <v>21010720</v>
      </c>
      <c r="G8" s="843">
        <v>50</v>
      </c>
      <c r="H8" s="765">
        <v>6187376</v>
      </c>
      <c r="I8" s="765">
        <v>389055</v>
      </c>
      <c r="J8" s="765"/>
      <c r="K8" s="1769">
        <f>(H8+I8)-J8</f>
        <v>6576431</v>
      </c>
      <c r="L8" s="1769">
        <f>F8-K8</f>
        <v>14434289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285362</v>
      </c>
      <c r="D10" s="846">
        <v>31775</v>
      </c>
      <c r="E10" s="846"/>
      <c r="F10" s="1764">
        <f>(C10+D10)-E10</f>
        <v>317137</v>
      </c>
      <c r="G10" s="843">
        <v>20</v>
      </c>
      <c r="H10" s="847">
        <v>214516</v>
      </c>
      <c r="I10" s="847">
        <v>4902</v>
      </c>
      <c r="J10" s="847"/>
      <c r="K10" s="1769">
        <f>(H10+I10)-J10</f>
        <v>219418</v>
      </c>
      <c r="L10" s="1769">
        <f>F10-K10</f>
        <v>97719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3613814</v>
      </c>
      <c r="D12" s="844">
        <v>134904</v>
      </c>
      <c r="E12" s="844"/>
      <c r="F12" s="1760">
        <f>(C12+D12)-E12</f>
        <v>3748718</v>
      </c>
      <c r="G12" s="843">
        <v>10</v>
      </c>
      <c r="H12" s="765">
        <v>2934112</v>
      </c>
      <c r="I12" s="765">
        <v>160692</v>
      </c>
      <c r="J12" s="765"/>
      <c r="K12" s="1769">
        <f>(H12+I12)-J12</f>
        <v>3094804</v>
      </c>
      <c r="L12" s="1769">
        <f>F12-K12</f>
        <v>653914</v>
      </c>
    </row>
    <row r="13" spans="1:14" ht="14.25" thickTop="1" thickBot="1" x14ac:dyDescent="0.25">
      <c r="A13" s="848" t="s">
        <v>1122</v>
      </c>
      <c r="B13" s="840">
        <v>252</v>
      </c>
      <c r="C13" s="844">
        <v>646703</v>
      </c>
      <c r="D13" s="844">
        <v>46240</v>
      </c>
      <c r="E13" s="844"/>
      <c r="F13" s="1760">
        <f>(C13+D13)-E13</f>
        <v>692943</v>
      </c>
      <c r="G13" s="843">
        <v>5</v>
      </c>
      <c r="H13" s="765">
        <v>590403</v>
      </c>
      <c r="I13" s="765">
        <v>32790</v>
      </c>
      <c r="J13" s="765"/>
      <c r="K13" s="1769">
        <f>(H13+I13)-J13</f>
        <v>623193</v>
      </c>
      <c r="L13" s="1769">
        <f>F13-K13</f>
        <v>69750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52305</v>
      </c>
      <c r="D15" s="844">
        <v>3038335</v>
      </c>
      <c r="E15" s="844">
        <v>3090640</v>
      </c>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22497178</v>
      </c>
      <c r="D16" s="1760">
        <f>SUM(D3,D5:D6,D8:D10,D12:D15)</f>
        <v>6369980</v>
      </c>
      <c r="E16" s="1760">
        <f>SUM(E3,E5:E6,E8:E10,E12:E15)</f>
        <v>3090640</v>
      </c>
      <c r="F16" s="1760">
        <f>SUM(F3,F5:F6,F8:F10,F12:F15)</f>
        <v>25776518</v>
      </c>
      <c r="G16" s="843"/>
      <c r="H16" s="1760">
        <f>SUM(H3,H6,H8:H10,H12:H14,)</f>
        <v>9926407</v>
      </c>
      <c r="I16" s="1760">
        <f>SUM(I3,I6,I8:I10,I12:I14,)</f>
        <v>587439</v>
      </c>
      <c r="J16" s="1760">
        <f>SUM(J3,J6,J8:J10,J12:J14,)</f>
        <v>0</v>
      </c>
      <c r="K16" s="1760">
        <f>(H16+I16)-J16</f>
        <v>10513846</v>
      </c>
      <c r="L16" s="1760">
        <f>F16-K16</f>
        <v>15262672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587439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8" activePane="bottomLeft" state="frozen"/>
      <selection activeCell="A47" sqref="A47"/>
      <selection pane="bottomLeft" activeCell="F177" sqref="F17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1975</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8223848</v>
      </c>
      <c r="G8" s="865"/>
    </row>
    <row r="9" spans="1:7" x14ac:dyDescent="0.2">
      <c r="A9" s="869" t="s">
        <v>460</v>
      </c>
      <c r="B9" s="870" t="s">
        <v>1877</v>
      </c>
      <c r="C9" s="871"/>
      <c r="D9" s="869" t="s">
        <v>501</v>
      </c>
      <c r="E9" s="868"/>
      <c r="F9" s="1909">
        <f>'Expenditures 15-22'!K151</f>
        <v>984691</v>
      </c>
      <c r="G9" s="872"/>
    </row>
    <row r="10" spans="1:7" x14ac:dyDescent="0.2">
      <c r="A10" s="869" t="s">
        <v>499</v>
      </c>
      <c r="B10" s="870" t="s">
        <v>1878</v>
      </c>
      <c r="C10" s="871"/>
      <c r="D10" s="869" t="s">
        <v>501</v>
      </c>
      <c r="E10" s="868"/>
      <c r="F10" s="1909">
        <f>'Expenditures 15-22'!K174</f>
        <v>757667</v>
      </c>
      <c r="G10" s="872"/>
    </row>
    <row r="11" spans="1:7" x14ac:dyDescent="0.2">
      <c r="A11" s="869" t="s">
        <v>461</v>
      </c>
      <c r="B11" s="870" t="s">
        <v>1879</v>
      </c>
      <c r="C11" s="871"/>
      <c r="D11" s="869" t="s">
        <v>501</v>
      </c>
      <c r="E11" s="868"/>
      <c r="F11" s="1909">
        <f>'Expenditures 15-22'!K210</f>
        <v>637351</v>
      </c>
      <c r="G11" s="872"/>
    </row>
    <row r="12" spans="1:7" x14ac:dyDescent="0.2">
      <c r="A12" s="869" t="s">
        <v>462</v>
      </c>
      <c r="B12" s="870" t="s">
        <v>1880</v>
      </c>
      <c r="C12" s="871"/>
      <c r="D12" s="869" t="s">
        <v>501</v>
      </c>
      <c r="E12" s="868"/>
      <c r="F12" s="1909">
        <f>'Expenditures 15-22'!K295</f>
        <v>397745</v>
      </c>
      <c r="G12" s="872"/>
    </row>
    <row r="13" spans="1:7" x14ac:dyDescent="0.2">
      <c r="A13" s="869" t="s">
        <v>106</v>
      </c>
      <c r="B13" s="870" t="s">
        <v>1881</v>
      </c>
      <c r="C13" s="871"/>
      <c r="D13" s="869" t="s">
        <v>501</v>
      </c>
      <c r="E13" s="868"/>
      <c r="F13" s="1909">
        <f>'Expenditures 15-22'!K342</f>
        <v>80220</v>
      </c>
      <c r="G13" s="873"/>
    </row>
    <row r="14" spans="1:7" ht="12" customHeight="1" thickBot="1" x14ac:dyDescent="0.25">
      <c r="A14" s="1770"/>
      <c r="B14" s="1771"/>
      <c r="C14" s="1772"/>
      <c r="D14" s="1773" t="s">
        <v>501</v>
      </c>
      <c r="E14" s="1774" t="s">
        <v>958</v>
      </c>
      <c r="F14" s="1775">
        <f>SUM(F8:F13)</f>
        <v>11081522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281988</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81945</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151868</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12022</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321293</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341412</v>
      </c>
      <c r="G53" s="865"/>
    </row>
    <row r="54" spans="1:7" x14ac:dyDescent="0.2">
      <c r="A54" s="869" t="s">
        <v>459</v>
      </c>
      <c r="B54" s="869" t="s">
        <v>1476</v>
      </c>
      <c r="C54" s="889" t="s">
        <v>982</v>
      </c>
      <c r="D54" s="885" t="s">
        <v>1095</v>
      </c>
      <c r="E54" s="868"/>
      <c r="F54" s="1913">
        <f>'Expenditures 15-22'!G114</f>
        <v>81455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68734</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510000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46240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6544</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344</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1903845</v>
      </c>
      <c r="G76" s="865"/>
    </row>
    <row r="77" spans="1:8" s="893" customFormat="1" ht="12" customHeight="1" thickTop="1" thickBot="1" x14ac:dyDescent="0.25">
      <c r="A77" s="1779"/>
      <c r="B77" s="1776"/>
      <c r="C77" s="1772"/>
      <c r="D77" s="1777" t="s">
        <v>1900</v>
      </c>
      <c r="E77" s="1774"/>
      <c r="F77" s="1780">
        <f>(F14-F76)</f>
        <v>9177677</v>
      </c>
      <c r="G77" s="869"/>
    </row>
    <row r="78" spans="1:8" s="893" customFormat="1" ht="12" customHeight="1" thickTop="1" x14ac:dyDescent="0.2">
      <c r="A78" s="1781"/>
      <c r="B78" s="1776"/>
      <c r="C78" s="1772"/>
      <c r="D78" s="1777" t="s">
        <v>2062</v>
      </c>
      <c r="E78" s="1774"/>
      <c r="F78" s="898">
        <v>569.79</v>
      </c>
      <c r="G78" s="899"/>
      <c r="H78" s="869"/>
    </row>
    <row r="79" spans="1:8" s="893" customFormat="1" ht="12" customHeight="1" thickBot="1" x14ac:dyDescent="0.25">
      <c r="A79" s="1782"/>
      <c r="B79" s="1776"/>
      <c r="C79" s="1772"/>
      <c r="D79" s="1777" t="s">
        <v>1901</v>
      </c>
      <c r="E79" s="1774" t="s">
        <v>958</v>
      </c>
      <c r="F79" s="1783">
        <f>IF(F78&gt;0,F77/F78," Complete Line 78")</f>
        <v>16107.121922111655</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57375</v>
      </c>
      <c r="G94" s="912"/>
    </row>
    <row r="95" spans="1:7" x14ac:dyDescent="0.2">
      <c r="A95" s="908" t="s">
        <v>140</v>
      </c>
      <c r="B95" s="908" t="s">
        <v>175</v>
      </c>
      <c r="C95" s="910">
        <v>1700</v>
      </c>
      <c r="D95" s="918" t="str">
        <f>'Revenues 9-14'!A82</f>
        <v>Total District/School Activity Income</v>
      </c>
      <c r="E95" s="906"/>
      <c r="F95" s="1789">
        <f>SUM('Revenues 9-14'!C82,'Revenues 9-14'!D82)</f>
        <v>2511</v>
      </c>
      <c r="G95" s="912"/>
    </row>
    <row r="96" spans="1:7" x14ac:dyDescent="0.2">
      <c r="A96" s="908" t="s">
        <v>459</v>
      </c>
      <c r="B96" s="908" t="s">
        <v>176</v>
      </c>
      <c r="C96" s="910">
        <f>'Revenues 9-14'!B84</f>
        <v>1811</v>
      </c>
      <c r="D96" s="911" t="str">
        <f>'Revenues 9-14'!A84</f>
        <v>Rentals - Regular Textbooks</v>
      </c>
      <c r="E96" s="906"/>
      <c r="F96" s="1789">
        <f>'Revenues 9-14'!C84</f>
        <v>17233</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8574</v>
      </c>
      <c r="G103" s="912"/>
    </row>
    <row r="104" spans="1:7" x14ac:dyDescent="0.2">
      <c r="A104" s="908" t="s">
        <v>459</v>
      </c>
      <c r="B104" s="908" t="s">
        <v>808</v>
      </c>
      <c r="C104" s="910">
        <f>'Revenues 9-14'!B106</f>
        <v>1993</v>
      </c>
      <c r="D104" s="911" t="str">
        <f>'Revenues 9-14'!A106</f>
        <v>Other Local Fees (Describe &amp; Itemize)</v>
      </c>
      <c r="E104" s="906"/>
      <c r="F104" s="1789">
        <f>('Revenues 9-14'!C106)</f>
        <v>49059</v>
      </c>
      <c r="G104" s="912"/>
    </row>
    <row r="105" spans="1:7" x14ac:dyDescent="0.2">
      <c r="A105" s="908" t="s">
        <v>503</v>
      </c>
      <c r="B105" s="908" t="s">
        <v>2003</v>
      </c>
      <c r="C105" s="913">
        <v>3100</v>
      </c>
      <c r="D105" s="919" t="str">
        <f>'Revenues 9-14'!A132</f>
        <v>Total Special Education</v>
      </c>
      <c r="E105" s="906"/>
      <c r="F105" s="1789">
        <f>SUM('Revenues 9-14'!C132:D132,'Revenues 9-14'!F132)</f>
        <v>57930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4612</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248442</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58878</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248542</v>
      </c>
      <c r="G125" s="930"/>
    </row>
    <row r="126" spans="1:7" x14ac:dyDescent="0.2">
      <c r="A126" s="927" t="s">
        <v>668</v>
      </c>
      <c r="B126" s="927" t="s">
        <v>2024</v>
      </c>
      <c r="C126" s="932">
        <v>4300</v>
      </c>
      <c r="D126" s="933" t="str">
        <f>'Revenues 9-14'!A204</f>
        <v>Total Title I</v>
      </c>
      <c r="E126" s="906"/>
      <c r="F126" s="1789">
        <f>SUM('Revenues 9-14'!C204,'Revenues 9-14'!D204,'Revenues 9-14'!F204,'Revenues 9-14'!G204)</f>
        <v>305185</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92466</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8325</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25597</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34862</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15202</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60537</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202866</v>
      </c>
      <c r="G171" s="927"/>
    </row>
    <row r="172" spans="1:7" x14ac:dyDescent="0.2">
      <c r="A172" s="1918" t="s">
        <v>664</v>
      </c>
      <c r="B172" s="1919" t="s">
        <v>1920</v>
      </c>
      <c r="C172" s="1920">
        <v>3300</v>
      </c>
      <c r="D172" s="1921" t="s">
        <v>1923</v>
      </c>
      <c r="E172" s="906"/>
      <c r="F172" s="1906">
        <v>88714</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1586910</v>
      </c>
    </row>
    <row r="175" spans="1:7" ht="12" customHeight="1" x14ac:dyDescent="0.2">
      <c r="A175" s="1770"/>
      <c r="B175" s="1784"/>
      <c r="C175" s="1785"/>
      <c r="D175" s="1786" t="s">
        <v>2057</v>
      </c>
      <c r="E175" s="1787"/>
      <c r="F175" s="1789">
        <f>'PCTC-OEPP 27-28'!F77-F174</f>
        <v>7590767</v>
      </c>
    </row>
    <row r="176" spans="1:7" ht="12" customHeight="1" x14ac:dyDescent="0.2">
      <c r="A176" s="1770"/>
      <c r="B176" s="1784"/>
      <c r="C176" s="1785"/>
      <c r="D176" s="1786" t="s">
        <v>1817</v>
      </c>
      <c r="E176" s="1787"/>
      <c r="F176" s="1789">
        <f>'Cap Outlay Deprec 26'!I18</f>
        <v>587439</v>
      </c>
    </row>
    <row r="177" spans="1:7" ht="12" customHeight="1" x14ac:dyDescent="0.2">
      <c r="A177" s="1770"/>
      <c r="B177" s="1784"/>
      <c r="C177" s="1785"/>
      <c r="D177" s="1786" t="s">
        <v>2058</v>
      </c>
      <c r="E177" s="1787"/>
      <c r="F177" s="1789">
        <f>F175+F176</f>
        <v>8178206</v>
      </c>
    </row>
    <row r="178" spans="1:7" ht="12" customHeight="1" x14ac:dyDescent="0.2">
      <c r="A178" s="1770"/>
      <c r="B178" s="1790"/>
      <c r="C178" s="1785"/>
      <c r="D178" s="1786" t="str">
        <f>D78</f>
        <v>9 Month ADA from District Average Daily Attendance/Prior General State Aid Inquiry 2018-2019</v>
      </c>
      <c r="E178" s="1787"/>
      <c r="F178" s="1791">
        <f>'PCTC-OEPP 27-28'!F78</f>
        <v>569.79</v>
      </c>
      <c r="G178" s="930"/>
    </row>
    <row r="179" spans="1:7" ht="12" customHeight="1" thickBot="1" x14ac:dyDescent="0.25">
      <c r="A179" s="1770"/>
      <c r="B179" s="1790"/>
      <c r="C179" s="1785"/>
      <c r="D179" s="1786" t="s">
        <v>2059</v>
      </c>
      <c r="E179" s="1787" t="s">
        <v>1545</v>
      </c>
      <c r="F179" s="1792">
        <f>F177/F178</f>
        <v>14353.017778479792</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19" sqref="C1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1932</v>
      </c>
      <c r="B7" s="2277"/>
      <c r="C7" s="2277"/>
      <c r="D7" s="2277"/>
      <c r="E7" s="2277"/>
      <c r="F7" s="2277"/>
      <c r="G7" s="2278"/>
    </row>
    <row r="8" spans="1:7" ht="15.75" customHeight="1" x14ac:dyDescent="0.25">
      <c r="A8" s="2279" t="s">
        <v>1907</v>
      </c>
      <c r="B8" s="2280"/>
      <c r="C8" s="2280"/>
      <c r="D8" s="2280"/>
      <c r="E8" s="2280"/>
      <c r="F8" s="2280"/>
      <c r="G8" s="2281"/>
    </row>
    <row r="9" spans="1:7" ht="35.25" customHeight="1" x14ac:dyDescent="0.25">
      <c r="A9" s="2276" t="s">
        <v>1935</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1934</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1976</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2136</v>
      </c>
      <c r="B17" s="1939" t="s">
        <v>2137</v>
      </c>
      <c r="C17" s="1940" t="s">
        <v>2138</v>
      </c>
      <c r="D17" s="1844">
        <v>36000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11000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36000</v>
      </c>
      <c r="E141" s="1541">
        <f t="shared" si="0"/>
        <v>25000</v>
      </c>
      <c r="F141" s="1933">
        <f>SUM(F17:F140)</f>
        <v>25000</v>
      </c>
      <c r="G141" s="1795">
        <f>SUM(G17:G140)</f>
        <v>11000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245934</v>
      </c>
      <c r="F10" s="974"/>
      <c r="G10" s="975"/>
      <c r="H10" s="162"/>
      <c r="I10" s="162"/>
    </row>
    <row r="11" spans="1:9" s="668" customFormat="1" ht="22.5" customHeight="1" x14ac:dyDescent="0.2">
      <c r="A11" s="2287" t="s">
        <v>1977</v>
      </c>
      <c r="B11" s="2288"/>
      <c r="C11" s="2288"/>
      <c r="D11" s="2289"/>
      <c r="E11" s="977">
        <v>19437</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5788537</v>
      </c>
      <c r="F19" s="1799"/>
      <c r="G19" s="1801">
        <f>'Expenditures 15-22'!K33-SUM('Expenditures 15-22'!G33,'Expenditures 15-22'!I33)+'Expenditures 15-22'!D229</f>
        <v>5788537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429993</v>
      </c>
      <c r="F21" s="1802"/>
      <c r="G21" s="1805">
        <f>'Expenditures 15-22'!K42-SUM('Expenditures 15-22'!G42,'Expenditures 15-22'!I42)+'Expenditures 15-22'!K120-SUM('Expenditures 15-22'!G120,'Expenditures 15-22'!I120)+'Expenditures 15-22'!K180-SUM('Expenditures 15-22'!G180,'Expenditures 15-22'!I180)+'Expenditures 15-22'!D238</f>
        <v>429993</v>
      </c>
      <c r="H21" s="987"/>
      <c r="I21" s="162"/>
    </row>
    <row r="22" spans="1:9" s="668" customFormat="1" ht="12" customHeight="1" x14ac:dyDescent="0.2">
      <c r="A22" s="994" t="s">
        <v>564</v>
      </c>
      <c r="B22" s="995"/>
      <c r="C22" s="993">
        <v>2200</v>
      </c>
      <c r="D22" s="1802"/>
      <c r="E22" s="1804">
        <f>'Expenditures 15-22'!K47-SUM('Expenditures 15-22'!G47,'Expenditures 15-22'!I47)+'Expenditures 15-22'!D243</f>
        <v>82050</v>
      </c>
      <c r="F22" s="1802"/>
      <c r="G22" s="1805">
        <f>'Expenditures 15-22'!K47-SUM('Expenditures 15-22'!G47,'Expenditures 15-22'!I47)+'Expenditures 15-22'!D243</f>
        <v>82050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572810</v>
      </c>
      <c r="F23" s="1802"/>
      <c r="G23" s="1804">
        <f>'Expenditures 15-22'!K53-SUM('Expenditures 15-22'!G53,'Expenditures 15-22'!I53)+'Expenditures 15-22'!D257+'Expenditures 15-22'!K330-SUM('Expenditures 15-22'!G330,'Expenditures 15-22'!I330)</f>
        <v>572810</v>
      </c>
      <c r="H23" s="987"/>
      <c r="I23" s="162"/>
    </row>
    <row r="24" spans="1:9" s="668" customFormat="1" ht="12" customHeight="1" x14ac:dyDescent="0.2">
      <c r="A24" s="994" t="s">
        <v>566</v>
      </c>
      <c r="B24" s="995"/>
      <c r="C24" s="993">
        <v>2400</v>
      </c>
      <c r="D24" s="1802"/>
      <c r="E24" s="1804">
        <f>'Expenditures 15-22'!K57-SUM('Expenditures 15-22'!G57,'Expenditures 15-22'!I57)+'Expenditures 15-22'!D261</f>
        <v>550035</v>
      </c>
      <c r="F24" s="1802"/>
      <c r="G24" s="1805">
        <f>'Expenditures 15-22'!K57-SUM('Expenditures 15-22'!G57,'Expenditures 15-22'!I57)+'Expenditures 15-22'!D261</f>
        <v>550035</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29724</v>
      </c>
      <c r="E26" s="1804">
        <f>'Expenditures 15-22'!K122-SUM('Expenditures 15-22'!G122,'Expenditures 15-22'!I122)+E7</f>
        <v>0</v>
      </c>
      <c r="F26" s="1804">
        <f>'Expenditures 15-22'!K59-SUM('Expenditures 15-22'!G59,'Expenditures 15-22'!I59)+'Expenditures 15-22'!D263-E7</f>
        <v>29724</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261576</v>
      </c>
      <c r="E27" s="1804">
        <f>E8</f>
        <v>0</v>
      </c>
      <c r="F27" s="1804">
        <f>'Expenditures 15-22'!K60-SUM('Expenditures 15-22'!G60,'Expenditures 15-22'!I60)+'Expenditures 15-22'!D264-E8</f>
        <v>261576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999476</v>
      </c>
      <c r="F28" s="1806">
        <f>'Expenditures 15-22'!K61-SUM('Expenditures 15-22'!G61,'Expenditures 15-22'!I61)+'Expenditures 15-22'!K124-SUM('Expenditures 15-22'!G124,'Expenditures 15-22'!I124)+'Expenditures 15-22'!D266-E9</f>
        <v>999476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688064</v>
      </c>
      <c r="F29" s="1802"/>
      <c r="G29" s="1805">
        <f>'Expenditures 15-22'!K62-SUM('Expenditures 15-22'!G62,'Expenditures 15-22'!I62)+'Expenditures 15-22'!K125-SUM('Expenditures 15-22'!G125,'Expenditures 15-22'!I125)+'Expenditures 15-22'!K182-SUM('Expenditures 15-22'!G182,'Expenditures 15-22'!I182)+'Expenditures 15-22'!D267</f>
        <v>688064</v>
      </c>
      <c r="H29" s="985"/>
    </row>
    <row r="30" spans="1:9" ht="12" customHeight="1" x14ac:dyDescent="0.2">
      <c r="A30" s="994" t="s">
        <v>100</v>
      </c>
      <c r="B30" s="997"/>
      <c r="C30" s="993">
        <v>2560</v>
      </c>
      <c r="D30" s="1802"/>
      <c r="E30" s="1804">
        <f>'Expenditures 15-22'!K63-SUM('Expenditures 15-22'!G63,'Expenditures 15-22'!I63)+'Expenditures 15-22'!D268-E10</f>
        <v>114372</v>
      </c>
      <c r="F30" s="1802"/>
      <c r="G30" s="1804">
        <f>'Expenditures 15-22'!K63-SUM('Expenditures 15-22'!G63,'Expenditures 15-22'!I63)+'Expenditures 15-22'!D268-E10</f>
        <v>114372</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-11000</v>
      </c>
      <c r="F40" s="1802"/>
      <c r="G40" s="1806">
        <f>-'Contracts Paid in CY 29'!G141</f>
        <v>-11000</v>
      </c>
    </row>
    <row r="41" spans="1:7" ht="12" customHeight="1" x14ac:dyDescent="0.2">
      <c r="A41" s="998" t="s">
        <v>156</v>
      </c>
      <c r="B41" s="999"/>
      <c r="C41" s="1000"/>
      <c r="D41" s="1806">
        <f>SUM(D19:D39)</f>
        <v>291300</v>
      </c>
      <c r="E41" s="1806">
        <f>SUM(E19:E40)</f>
        <v>9214337</v>
      </c>
      <c r="F41" s="1806">
        <f>SUM(F19:F39)</f>
        <v>1290776</v>
      </c>
      <c r="G41" s="1806">
        <f>SUM(G19:G40)</f>
        <v>8214861</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291300</v>
      </c>
      <c r="F43" s="1807" t="s">
        <v>473</v>
      </c>
      <c r="G43" s="1808">
        <f>F41</f>
        <v>1290776</v>
      </c>
    </row>
    <row r="44" spans="1:7" ht="12" customHeight="1" x14ac:dyDescent="0.2">
      <c r="A44" s="987"/>
      <c r="B44" s="162"/>
      <c r="C44" s="1001"/>
      <c r="D44" s="1807" t="s">
        <v>474</v>
      </c>
      <c r="E44" s="1808">
        <f>E41</f>
        <v>9214337</v>
      </c>
      <c r="F44" s="1807" t="s">
        <v>474</v>
      </c>
      <c r="G44" s="1808">
        <f>G41</f>
        <v>8214861</v>
      </c>
    </row>
    <row r="45" spans="1:7" ht="12" customHeight="1" x14ac:dyDescent="0.2">
      <c r="A45" s="987"/>
      <c r="B45" s="162"/>
      <c r="C45" s="162"/>
      <c r="D45" s="1809" t="s">
        <v>1006</v>
      </c>
      <c r="E45" s="1810">
        <f>(E43/E44)</f>
        <v>3.1613777529517315E-2</v>
      </c>
      <c r="F45" s="1809" t="s">
        <v>1006</v>
      </c>
      <c r="G45" s="1810">
        <f>(G43/G44)</f>
        <v>0.15712694347475872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22" activePane="bottomLeft" state="frozen"/>
      <selection activeCell="A47" sqref="A47"/>
      <selection pane="bottomLeft" activeCell="A29" sqref="A2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1379</v>
      </c>
      <c r="B1" s="2304"/>
      <c r="C1" s="2304"/>
      <c r="D1" s="2304"/>
      <c r="E1" s="2304"/>
      <c r="F1" s="2304"/>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5" t="s">
        <v>1546</v>
      </c>
      <c r="B5" s="2306"/>
      <c r="C5" s="2307"/>
      <c r="D5" s="2307"/>
      <c r="E5" s="2307"/>
      <c r="F5" s="2307"/>
    </row>
    <row r="6" spans="1:10" ht="12" customHeight="1" x14ac:dyDescent="0.25">
      <c r="A6" s="1850"/>
      <c r="B6" s="1851"/>
      <c r="C6" s="2308" t="str">
        <f>COVER!A17</f>
        <v>Rhodes SD 84.5</v>
      </c>
      <c r="D6" s="2308"/>
      <c r="E6" s="2308"/>
      <c r="F6" s="1852"/>
    </row>
    <row r="7" spans="1:10" ht="11.25" customHeight="1" thickBot="1" x14ac:dyDescent="0.3">
      <c r="A7" s="1850"/>
      <c r="B7" s="1851"/>
      <c r="C7" s="2309">
        <f>COVER!A13</f>
        <v>6016084502</v>
      </c>
      <c r="D7" s="2309"/>
      <c r="E7" s="2309"/>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2064</v>
      </c>
      <c r="D19" s="1865" t="s">
        <v>2064</v>
      </c>
      <c r="E19" s="1868"/>
      <c r="F19" s="1867" t="s">
        <v>2086</v>
      </c>
      <c r="H19" s="1878">
        <f t="shared" si="0"/>
        <v>5</v>
      </c>
      <c r="I19" s="1878">
        <f t="shared" si="1"/>
        <v>5</v>
      </c>
      <c r="J19" s="1878">
        <f t="shared" si="2"/>
        <v>0</v>
      </c>
    </row>
    <row r="20" spans="1:12" ht="12" customHeight="1" x14ac:dyDescent="0.2">
      <c r="A20" s="1863" t="s">
        <v>1528</v>
      </c>
      <c r="B20" s="1864"/>
      <c r="C20" s="1865" t="s">
        <v>2064</v>
      </c>
      <c r="D20" s="1865" t="s">
        <v>2064</v>
      </c>
      <c r="E20" s="1868"/>
      <c r="F20" s="1867" t="s">
        <v>2087</v>
      </c>
      <c r="H20" s="1878">
        <f t="shared" si="0"/>
        <v>5</v>
      </c>
      <c r="I20" s="1878">
        <f t="shared" si="1"/>
        <v>5</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c r="F26" s="1867" t="s">
        <v>2088</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1391</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22" sqref="H2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Rhodes SD 84.5</v>
      </c>
      <c r="J6" s="2318"/>
      <c r="Q6" s="1664"/>
    </row>
    <row r="7" spans="1:17" x14ac:dyDescent="0.2">
      <c r="A7" s="2319" t="s">
        <v>869</v>
      </c>
      <c r="B7" s="2320"/>
      <c r="C7" s="2320"/>
      <c r="D7" s="2320"/>
      <c r="E7" s="2321"/>
      <c r="F7" s="1017"/>
      <c r="G7" s="1009"/>
      <c r="H7" s="1016" t="s">
        <v>372</v>
      </c>
      <c r="I7" s="2322">
        <f>COVER!A13</f>
        <v>6016084502</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306922</v>
      </c>
      <c r="F12" s="1039"/>
      <c r="G12" s="1811">
        <f t="shared" ref="G12:G18" si="0">SUM(E12:F12)</f>
        <v>306922</v>
      </c>
      <c r="H12" s="1040">
        <v>306500</v>
      </c>
      <c r="I12" s="1039"/>
      <c r="J12" s="1811">
        <f t="shared" ref="J12:J18" si="1">SUM(H12:I12)</f>
        <v>306500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29724</v>
      </c>
      <c r="F15" s="1811">
        <f>'Expenditures 15-22'!K122</f>
        <v>0</v>
      </c>
      <c r="G15" s="1811">
        <f t="shared" si="0"/>
        <v>29724</v>
      </c>
      <c r="H15" s="1040">
        <v>41000</v>
      </c>
      <c r="I15" s="1040"/>
      <c r="J15" s="1811">
        <f t="shared" si="1"/>
        <v>41000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336646</v>
      </c>
      <c r="F19" s="1813">
        <f t="shared" si="2"/>
        <v>0</v>
      </c>
      <c r="G19" s="1813">
        <f t="shared" si="2"/>
        <v>336646</v>
      </c>
      <c r="H19" s="1813">
        <f t="shared" si="2"/>
        <v>347500</v>
      </c>
      <c r="I19" s="1813">
        <f t="shared" si="2"/>
        <v>0</v>
      </c>
      <c r="J19" s="1813">
        <f t="shared" si="2"/>
        <v>347500</v>
      </c>
    </row>
    <row r="20" spans="1:10" ht="13.5" thickTop="1" x14ac:dyDescent="0.2">
      <c r="A20" s="1035">
        <v>9</v>
      </c>
      <c r="B20" s="2329" t="s">
        <v>1981</v>
      </c>
      <c r="C20" s="2329"/>
      <c r="D20" s="2330"/>
      <c r="E20" s="1046"/>
      <c r="F20" s="1046"/>
      <c r="G20" s="1046"/>
      <c r="H20" s="1046"/>
      <c r="I20" s="1046"/>
      <c r="J20" s="1814">
        <f>IF(AND(G19&gt;0,J19&gt;0),(((J19-G19)/G19)),"Enter Budget Data")</f>
        <v>3.2241583146688214E-2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1983</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1" sqref="B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2080</v>
      </c>
    </row>
    <row r="6" spans="1:2" x14ac:dyDescent="0.2">
      <c r="B6" s="329" t="s">
        <v>2081</v>
      </c>
    </row>
    <row r="7" spans="1:2" x14ac:dyDescent="0.2">
      <c r="A7" s="1068">
        <v>2</v>
      </c>
      <c r="B7" s="329" t="s">
        <v>2085</v>
      </c>
    </row>
    <row r="8" spans="1:2" x14ac:dyDescent="0.2">
      <c r="A8" s="1068">
        <v>3</v>
      </c>
    </row>
    <row r="9" spans="1:2" x14ac:dyDescent="0.2">
      <c r="A9" s="1068">
        <v>4</v>
      </c>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c r="B16" s="1937" t="s">
        <v>2133</v>
      </c>
    </row>
    <row r="17" spans="1:2" x14ac:dyDescent="0.2">
      <c r="A17" s="1069"/>
      <c r="B17" s="1937" t="s">
        <v>2134</v>
      </c>
    </row>
    <row r="18" spans="1:2" x14ac:dyDescent="0.2">
      <c r="A18" s="1069"/>
      <c r="B18" s="1937" t="s">
        <v>2135</v>
      </c>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Rhodes SD 84.5</v>
      </c>
    </row>
    <row r="65" spans="2:2" x14ac:dyDescent="0.2">
      <c r="B65" s="1070">
        <f>COVER!A13</f>
        <v>6016084502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485775</xdr:colOff>
                <xdr:row>3</xdr:row>
                <xdr:rowOff>66675</xdr:rowOff>
              </from>
              <to>
                <xdr:col>1</xdr:col>
                <xdr:colOff>1371600</xdr:colOff>
                <xdr:row>6</xdr:row>
                <xdr:rowOff>95250</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1987</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1988</v>
      </c>
      <c r="B4" s="2357"/>
      <c r="C4" s="2357"/>
      <c r="D4" s="2357"/>
      <c r="E4" s="2357"/>
      <c r="F4" s="2358"/>
      <c r="G4" s="1074"/>
      <c r="H4" s="1074"/>
    </row>
    <row r="5" spans="1:8" ht="14.25" customHeight="1" x14ac:dyDescent="0.2">
      <c r="A5" s="2359" t="s">
        <v>1984</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10494675</v>
      </c>
      <c r="C8" s="1815">
        <f>'Acct Summary 7-8'!D8</f>
        <v>997037</v>
      </c>
      <c r="D8" s="1815">
        <f>'Acct Summary 7-8'!F8</f>
        <v>612375</v>
      </c>
      <c r="E8" s="1815">
        <f>'Acct Summary 7-8'!I8</f>
        <v>65503</v>
      </c>
      <c r="F8" s="1815">
        <f>SUM(B8:E8)</f>
        <v>12169590</v>
      </c>
    </row>
    <row r="9" spans="1:8" s="1079" customFormat="1" ht="14.25" customHeight="1" thickBot="1" x14ac:dyDescent="0.25">
      <c r="A9" s="1078" t="s">
        <v>1369</v>
      </c>
      <c r="B9" s="1816">
        <f>'Acct Summary 7-8'!C17</f>
        <v>8223848</v>
      </c>
      <c r="C9" s="1816">
        <f>'Acct Summary 7-8'!D17</f>
        <v>984691</v>
      </c>
      <c r="D9" s="1816">
        <f>'Acct Summary 7-8'!F17</f>
        <v>637351</v>
      </c>
      <c r="E9" s="1815"/>
      <c r="F9" s="1815">
        <f>SUM(B9:E9)</f>
        <v>9845890</v>
      </c>
    </row>
    <row r="10" spans="1:8" s="1079" customFormat="1" ht="14.25" thickTop="1" thickBot="1" x14ac:dyDescent="0.25">
      <c r="A10" s="1080" t="s">
        <v>1370</v>
      </c>
      <c r="B10" s="1817">
        <f>(B8-B9)</f>
        <v>2270827</v>
      </c>
      <c r="C10" s="1817">
        <f>(C8-C9)</f>
        <v>12346</v>
      </c>
      <c r="D10" s="1817">
        <f>(D8-D9)</f>
        <v>-24976</v>
      </c>
      <c r="E10" s="1816">
        <f>(E8-E9)</f>
        <v>65503</v>
      </c>
      <c r="F10" s="1818">
        <f>SUM(F8-F9)</f>
        <v>2323700</v>
      </c>
    </row>
    <row r="11" spans="1:8" s="1079" customFormat="1" ht="14.25" thickTop="1" thickBot="1" x14ac:dyDescent="0.25">
      <c r="A11" s="1081" t="s">
        <v>1985</v>
      </c>
      <c r="B11" s="1819">
        <f>'Acct Summary 7-8'!C81</f>
        <v>14914869</v>
      </c>
      <c r="C11" s="1819">
        <f>'Acct Summary 7-8'!D81</f>
        <v>168234</v>
      </c>
      <c r="D11" s="1819">
        <f>'Acct Summary 7-8'!F81</f>
        <v>161230</v>
      </c>
      <c r="E11" s="1819">
        <f>'Acct Summary 7-8'!I81</f>
        <v>493012</v>
      </c>
      <c r="F11" s="1820">
        <f>SUM(B11:E11)</f>
        <v>15737345</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C84" sqref="C8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6016084502</v>
      </c>
    </row>
    <row r="3" spans="1:2" x14ac:dyDescent="0.2">
      <c r="A3" t="s">
        <v>956</v>
      </c>
      <c r="B3" s="138" t="str">
        <f>COVER!A15</f>
        <v>COOK</v>
      </c>
    </row>
    <row r="4" spans="1:2" x14ac:dyDescent="0.2">
      <c r="A4" t="s">
        <v>1007</v>
      </c>
      <c r="B4" s="138" t="str">
        <f>COVER!A17</f>
        <v>Rhodes SD 84.5</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066-003289</v>
      </c>
    </row>
    <row r="16" spans="1:2" x14ac:dyDescent="0.2">
      <c r="A16" t="s">
        <v>422</v>
      </c>
      <c r="B16" s="138" t="str">
        <f>COVER!T13</f>
        <v>EVOY, KAMSCHULTE, JACOBS &amp; CO. LLP</v>
      </c>
    </row>
    <row r="17" spans="1:2" x14ac:dyDescent="0.2">
      <c r="A17" t="s">
        <v>884</v>
      </c>
      <c r="B17" s="138" t="str">
        <f>COVER!T15</f>
        <v>JAMES HENRY, CPA</v>
      </c>
    </row>
    <row r="18" spans="1:2" x14ac:dyDescent="0.2">
      <c r="A18" t="s">
        <v>1150</v>
      </c>
      <c r="B18" s="138" t="str">
        <f>COVER!T17</f>
        <v>2122 YEOMAN STREET</v>
      </c>
    </row>
    <row r="19" spans="1:2" x14ac:dyDescent="0.2">
      <c r="A19" t="s">
        <v>886</v>
      </c>
      <c r="B19" s="138" t="str">
        <f>COVER!T25</f>
        <v>JHENRY@EKJLLP.COM</v>
      </c>
    </row>
    <row r="20" spans="1:2" x14ac:dyDescent="0.2">
      <c r="A20" t="s">
        <v>887</v>
      </c>
      <c r="B20" s="138" t="str">
        <f>COVER!T19</f>
        <v>WAUKEGAN</v>
      </c>
    </row>
    <row r="21" spans="1:2" x14ac:dyDescent="0.2">
      <c r="A21" t="s">
        <v>479</v>
      </c>
      <c r="B21" s="138" t="str">
        <f>COVER!X19</f>
        <v>IL</v>
      </c>
    </row>
    <row r="22" spans="1:2" x14ac:dyDescent="0.2">
      <c r="A22" t="s">
        <v>888</v>
      </c>
      <c r="B22" s="138">
        <f>COVER!Z19</f>
        <v>60087</v>
      </c>
    </row>
    <row r="23" spans="1:2" x14ac:dyDescent="0.2">
      <c r="A23" t="s">
        <v>1152</v>
      </c>
      <c r="B23" s="138" t="str">
        <f>COVER!T21</f>
        <v>847-662-8300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34700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14919534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4665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4665</v>
      </c>
      <c r="C91" s="2" t="s">
        <v>573</v>
      </c>
      <c r="D91" s="2" t="str">
        <f t="shared" si="0"/>
        <v>Error?</v>
      </c>
    </row>
    <row r="92" spans="1:4" x14ac:dyDescent="0.2">
      <c r="A92" s="5">
        <v>31</v>
      </c>
      <c r="B92" s="138">
        <f>'Assets-Liab 5-6'!C39</f>
        <v>14914869</v>
      </c>
      <c r="D92" s="2" t="str">
        <f t="shared" si="0"/>
        <v>Error?</v>
      </c>
    </row>
    <row r="93" spans="1:4" x14ac:dyDescent="0.2">
      <c r="A93" s="5">
        <v>32</v>
      </c>
      <c r="B93" s="138">
        <f>'Assets-Liab 5-6'!C41</f>
        <v>14919534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168234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168234</v>
      </c>
      <c r="D123" s="2" t="str">
        <f t="shared" si="0"/>
        <v>Error?</v>
      </c>
    </row>
    <row r="124" spans="1:4" x14ac:dyDescent="0.2">
      <c r="A124" s="5">
        <v>63</v>
      </c>
      <c r="B124" s="138">
        <f>'Assets-Liab 5-6'!D41</f>
        <v>168234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14</v>
      </c>
      <c r="D140" s="2" t="str">
        <f t="shared" si="1"/>
        <v>Error?</v>
      </c>
    </row>
    <row r="141" spans="1:4" x14ac:dyDescent="0.2">
      <c r="A141" s="5">
        <v>80</v>
      </c>
      <c r="B141" s="138">
        <f>'Assets-Liab 5-6'!E41</f>
        <v>14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161230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161230</v>
      </c>
      <c r="D170" s="2" t="str">
        <f t="shared" si="1"/>
        <v>Error?</v>
      </c>
    </row>
    <row r="171" spans="1:4" x14ac:dyDescent="0.2">
      <c r="A171" s="5">
        <v>110</v>
      </c>
      <c r="B171" s="138">
        <f>'Assets-Liab 5-6'!F41</f>
        <v>161230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121771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121771</v>
      </c>
      <c r="D189" s="2" t="str">
        <f t="shared" si="1"/>
        <v>Error?</v>
      </c>
    </row>
    <row r="190" spans="1:4" x14ac:dyDescent="0.2">
      <c r="A190" s="5">
        <v>129</v>
      </c>
      <c r="B190" s="138">
        <f>'Assets-Liab 5-6'!G41</f>
        <v>121771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91342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91342</v>
      </c>
      <c r="D212" s="2" t="str">
        <f t="shared" si="2"/>
        <v>Error?</v>
      </c>
    </row>
    <row r="213" spans="1:4" x14ac:dyDescent="0.2">
      <c r="A213" s="12">
        <v>152</v>
      </c>
      <c r="B213" s="138">
        <f>'Assets-Liab 5-6'!H41</f>
        <v>91342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7000</v>
      </c>
      <c r="D273" s="2" t="str">
        <f t="shared" si="3"/>
        <v>Error?</v>
      </c>
    </row>
    <row r="274" spans="1:4" x14ac:dyDescent="0.2">
      <c r="A274" s="5">
        <v>213</v>
      </c>
      <c r="B274" s="138">
        <f>'Assets-Liab 5-6'!M17</f>
        <v>14434289</v>
      </c>
      <c r="D274" s="2" t="str">
        <f t="shared" si="3"/>
        <v>Error?</v>
      </c>
    </row>
    <row r="275" spans="1:4" x14ac:dyDescent="0.2">
      <c r="A275" s="5">
        <v>214</v>
      </c>
      <c r="B275" s="138">
        <f>'Assets-Liab 5-6'!M18</f>
        <v>97719</v>
      </c>
      <c r="D275" s="2" t="str">
        <f t="shared" si="3"/>
        <v>Error?</v>
      </c>
    </row>
    <row r="276" spans="1:4" x14ac:dyDescent="0.2">
      <c r="A276" s="5">
        <v>215</v>
      </c>
      <c r="B276" s="138">
        <f>'Assets-Liab 5-6'!M19</f>
        <v>723664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15262672</v>
      </c>
      <c r="C279" s="2" t="s">
        <v>573</v>
      </c>
      <c r="D279" s="2" t="str">
        <f t="shared" si="3"/>
        <v>Error?</v>
      </c>
    </row>
    <row r="280" spans="1:4" x14ac:dyDescent="0.2">
      <c r="A280" s="5">
        <v>219</v>
      </c>
      <c r="B280" s="138">
        <f>'Assets-Liab 5-6'!M40</f>
        <v>15262672</v>
      </c>
      <c r="D280" s="2" t="str">
        <f t="shared" si="3"/>
        <v>Error?</v>
      </c>
    </row>
    <row r="281" spans="1:4" x14ac:dyDescent="0.2">
      <c r="A281" s="5">
        <v>220</v>
      </c>
      <c r="B281" s="138">
        <f>'Assets-Liab 5-6'!M41</f>
        <v>15262672</v>
      </c>
      <c r="C281" s="2" t="s">
        <v>573</v>
      </c>
      <c r="D281" s="2" t="str">
        <f t="shared" si="3"/>
        <v>Error?</v>
      </c>
    </row>
    <row r="282" spans="1:4" x14ac:dyDescent="0.2">
      <c r="A282" s="5">
        <v>221</v>
      </c>
      <c r="B282" s="138">
        <f>'Assets-Liab 5-6'!N21</f>
        <v>14</v>
      </c>
      <c r="D282" s="2" t="str">
        <f t="shared" si="3"/>
        <v>Error?</v>
      </c>
    </row>
    <row r="283" spans="1:4" x14ac:dyDescent="0.2">
      <c r="A283" s="5">
        <v>222</v>
      </c>
      <c r="B283" s="138">
        <f>'Assets-Liab 5-6'!N22</f>
        <v>5624986</v>
      </c>
      <c r="D283" s="2" t="str">
        <f t="shared" si="3"/>
        <v>Error?</v>
      </c>
    </row>
    <row r="284" spans="1:4" x14ac:dyDescent="0.2">
      <c r="A284" s="5">
        <v>223</v>
      </c>
      <c r="B284" s="138">
        <f>'Assets-Liab 5-6'!N23</f>
        <v>5625000</v>
      </c>
      <c r="C284" s="2" t="s">
        <v>573</v>
      </c>
      <c r="D284" s="2" t="str">
        <f t="shared" si="3"/>
        <v>Error?</v>
      </c>
    </row>
    <row r="285" spans="1:4" x14ac:dyDescent="0.2">
      <c r="A285" s="5">
        <v>224</v>
      </c>
      <c r="B285" s="138">
        <f>'Assets-Liab 5-6'!N36</f>
        <v>5625000</v>
      </c>
      <c r="D285" s="2" t="str">
        <f t="shared" si="3"/>
        <v>Error?</v>
      </c>
    </row>
    <row r="286" spans="1:4" x14ac:dyDescent="0.2">
      <c r="A286" s="10">
        <v>225</v>
      </c>
      <c r="D286" s="2" t="str">
        <f t="shared" si="3"/>
        <v>OK</v>
      </c>
    </row>
    <row r="287" spans="1:4" x14ac:dyDescent="0.2">
      <c r="A287" s="5">
        <v>226</v>
      </c>
      <c r="B287" s="138">
        <f>'Assets-Liab 5-6'!N37</f>
        <v>5625000</v>
      </c>
      <c r="C287" s="2" t="s">
        <v>573</v>
      </c>
      <c r="D287" s="2" t="str">
        <f t="shared" si="3"/>
        <v>Error?</v>
      </c>
    </row>
    <row r="288" spans="1:4" x14ac:dyDescent="0.2">
      <c r="A288" s="5">
        <v>227</v>
      </c>
      <c r="B288" s="138">
        <f>'Assets-Liab 5-6'!N41</f>
        <v>5625000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6135000</v>
      </c>
      <c r="D651" s="2" t="str">
        <f t="shared" si="9"/>
        <v>Error?</v>
      </c>
    </row>
    <row r="652" spans="1:4" x14ac:dyDescent="0.2">
      <c r="A652" s="5">
        <v>591</v>
      </c>
      <c r="B652" s="138">
        <f>'Acct Summary 7-8'!I34</f>
        <v>535350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2750953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136912</v>
      </c>
      <c r="D718" s="2" t="str">
        <f t="shared" si="10"/>
        <v>Error?</v>
      </c>
    </row>
    <row r="719" spans="1:4" x14ac:dyDescent="0.2">
      <c r="A719" s="5">
        <v>658</v>
      </c>
      <c r="B719" s="138">
        <f>'Expenditures 15-22'!C15</f>
        <v>12018</v>
      </c>
      <c r="D719" s="2" t="str">
        <f t="shared" si="10"/>
        <v>Error?</v>
      </c>
    </row>
    <row r="720" spans="1:4" x14ac:dyDescent="0.2">
      <c r="A720" s="5">
        <v>659</v>
      </c>
      <c r="B720" s="138">
        <f>'Expenditures 15-22'!C33</f>
        <v>4126861</v>
      </c>
      <c r="C720" s="2" t="s">
        <v>573</v>
      </c>
      <c r="D720" s="2" t="str">
        <f t="shared" si="10"/>
        <v>Error?</v>
      </c>
    </row>
    <row r="721" spans="1:4" x14ac:dyDescent="0.2">
      <c r="A721" s="5">
        <v>660</v>
      </c>
      <c r="B721" s="138">
        <f>'Expenditures 15-22'!C36</f>
        <v>126214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63452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49731</v>
      </c>
      <c r="D725" s="2" t="str">
        <f t="shared" si="10"/>
        <v>Error?</v>
      </c>
    </row>
    <row r="726" spans="1:4" x14ac:dyDescent="0.2">
      <c r="A726" s="5">
        <v>665</v>
      </c>
      <c r="B726" s="138">
        <f>'Expenditures 15-22'!C41</f>
        <v>88932</v>
      </c>
      <c r="D726" s="2" t="str">
        <f t="shared" si="10"/>
        <v>Error?</v>
      </c>
    </row>
    <row r="727" spans="1:4" x14ac:dyDescent="0.2">
      <c r="A727" s="5">
        <v>666</v>
      </c>
      <c r="B727" s="138">
        <f>'Expenditures 15-22'!C42</f>
        <v>328329</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44401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44401</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263661</v>
      </c>
      <c r="D733" s="2" t="str">
        <f t="shared" si="10"/>
        <v>Error?</v>
      </c>
    </row>
    <row r="734" spans="1:4" x14ac:dyDescent="0.2">
      <c r="A734" s="5">
        <v>673</v>
      </c>
      <c r="B734" s="138">
        <f>'Expenditures 15-22'!C53</f>
        <v>263661</v>
      </c>
      <c r="C734" s="2" t="s">
        <v>573</v>
      </c>
      <c r="D734" s="2" t="str">
        <f t="shared" si="10"/>
        <v>Error?</v>
      </c>
    </row>
    <row r="735" spans="1:4" x14ac:dyDescent="0.2">
      <c r="A735" s="5">
        <v>674</v>
      </c>
      <c r="B735" s="138">
        <f>'Expenditures 15-22'!C55</f>
        <v>418032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418032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171032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86902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257934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1312357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5439218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534450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766445</v>
      </c>
      <c r="C778" s="2" t="s">
        <v>573</v>
      </c>
      <c r="D778" s="2" t="str">
        <f t="shared" si="11"/>
        <v>Error?</v>
      </c>
    </row>
    <row r="779" spans="1:4" x14ac:dyDescent="0.2">
      <c r="A779" s="5">
        <v>718</v>
      </c>
      <c r="B779" s="138">
        <f>'Expenditures 15-22'!D36</f>
        <v>30522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9059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8437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48018</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1765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1765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34854</v>
      </c>
      <c r="D791" s="2" t="str">
        <f t="shared" si="11"/>
        <v>Error?</v>
      </c>
    </row>
    <row r="792" spans="1:4" x14ac:dyDescent="0.2">
      <c r="A792" s="5">
        <v>731</v>
      </c>
      <c r="B792" s="138">
        <f>'Expenditures 15-22'!D53</f>
        <v>34854</v>
      </c>
      <c r="C792" s="2" t="s">
        <v>573</v>
      </c>
      <c r="D792" s="2" t="str">
        <f t="shared" si="11"/>
        <v>Error?</v>
      </c>
    </row>
    <row r="793" spans="1:4" x14ac:dyDescent="0.2">
      <c r="A793" s="5">
        <v>732</v>
      </c>
      <c r="B793" s="138">
        <f>'Expenditures 15-22'!D55</f>
        <v>89801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89801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50202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9034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59236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233674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1000119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11857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4837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58002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180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16102</v>
      </c>
      <c r="D842" s="2" t="str">
        <f t="shared" si="12"/>
        <v>Error?</v>
      </c>
    </row>
    <row r="843" spans="1:4" x14ac:dyDescent="0.2">
      <c r="A843" s="5">
        <v>782</v>
      </c>
      <c r="B843" s="138">
        <f>'Expenditures 15-22'!E42</f>
        <v>16282</v>
      </c>
      <c r="C843" s="2" t="s">
        <v>573</v>
      </c>
      <c r="D843" s="2" t="str">
        <f t="shared" si="12"/>
        <v>Error?</v>
      </c>
    </row>
    <row r="844" spans="1:4" x14ac:dyDescent="0.2">
      <c r="A844" s="5">
        <v>783</v>
      </c>
      <c r="B844" s="138">
        <f>'Expenditures 15-22'!E44</f>
        <v>16537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11815</v>
      </c>
      <c r="D846" s="2" t="str">
        <f t="shared" si="12"/>
        <v>Error?</v>
      </c>
    </row>
    <row r="847" spans="1:4" x14ac:dyDescent="0.2">
      <c r="A847" s="5">
        <v>786</v>
      </c>
      <c r="B847" s="138">
        <f>'Expenditures 15-22'!E47</f>
        <v>28352</v>
      </c>
      <c r="C847" s="2" t="s">
        <v>573</v>
      </c>
      <c r="D847" s="2" t="str">
        <f t="shared" si="12"/>
        <v>Error?</v>
      </c>
    </row>
    <row r="848" spans="1:4" x14ac:dyDescent="0.2">
      <c r="A848" s="5">
        <v>787</v>
      </c>
      <c r="B848" s="138">
        <f>'Expenditures 15-22'!E49</f>
        <v>156733</v>
      </c>
      <c r="D848" s="2" t="str">
        <f t="shared" si="12"/>
        <v>Error?</v>
      </c>
    </row>
    <row r="849" spans="1:4" x14ac:dyDescent="0.2">
      <c r="A849" s="5">
        <v>788</v>
      </c>
      <c r="B849" s="138">
        <f>'Expenditures 15-22'!E50</f>
        <v>4134</v>
      </c>
      <c r="D849" s="2" t="str">
        <f t="shared" si="12"/>
        <v>Error?</v>
      </c>
    </row>
    <row r="850" spans="1:4" x14ac:dyDescent="0.2">
      <c r="A850" s="5">
        <v>789</v>
      </c>
      <c r="B850" s="138">
        <f>'Expenditures 15-22'!E53</f>
        <v>160867</v>
      </c>
      <c r="C850" s="2" t="s">
        <v>573</v>
      </c>
      <c r="D850" s="2" t="str">
        <f t="shared" si="12"/>
        <v>Error?</v>
      </c>
    </row>
    <row r="851" spans="1:4" x14ac:dyDescent="0.2">
      <c r="A851" s="5">
        <v>790</v>
      </c>
      <c r="B851" s="138">
        <f>'Expenditures 15-22'!E55</f>
        <v>1852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1852</v>
      </c>
      <c r="C853" s="2" t="s">
        <v>573</v>
      </c>
      <c r="D853" s="2" t="str">
        <f t="shared" si="12"/>
        <v>Error?</v>
      </c>
    </row>
    <row r="854" spans="1:4" x14ac:dyDescent="0.2">
      <c r="A854" s="5">
        <v>793</v>
      </c>
      <c r="B854" s="138">
        <f>'Expenditures 15-22'!E59</f>
        <v>12484</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461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12945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220298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278300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183825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20164</v>
      </c>
      <c r="D892" s="2" t="str">
        <f t="shared" si="12"/>
        <v>Error?</v>
      </c>
    </row>
    <row r="893" spans="1:4" x14ac:dyDescent="0.2">
      <c r="A893" s="5">
        <v>832</v>
      </c>
      <c r="B893" s="138">
        <f>'Expenditures 15-22'!F15</f>
        <v>4</v>
      </c>
      <c r="D893" s="2" t="str">
        <f t="shared" si="12"/>
        <v>Error?</v>
      </c>
    </row>
    <row r="894" spans="1:4" x14ac:dyDescent="0.2">
      <c r="A894" s="5">
        <v>833</v>
      </c>
      <c r="B894" s="138">
        <f>'Expenditures 15-22'!F33</f>
        <v>438465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2879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7408</v>
      </c>
      <c r="D900" s="2" t="str">
        <f t="shared" si="13"/>
        <v>Error?</v>
      </c>
    </row>
    <row r="901" spans="1:4" x14ac:dyDescent="0.2">
      <c r="A901" s="5">
        <v>840</v>
      </c>
      <c r="B901" s="138">
        <f>'Expenditures 15-22'!F42</f>
        <v>10287</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6058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6058</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11292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11292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4985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245473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250458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278095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716560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28966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81455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81455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321293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3186</v>
      </c>
      <c r="D1016" s="2" t="str">
        <f t="shared" si="14"/>
        <v>Error?</v>
      </c>
    </row>
    <row r="1017" spans="1:4" x14ac:dyDescent="0.2">
      <c r="A1017" s="5">
        <v>956</v>
      </c>
      <c r="B1017" s="138">
        <f>'Expenditures 15-22'!H42</f>
        <v>3186</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15271</v>
      </c>
      <c r="D1022" s="2" t="str">
        <f t="shared" si="14"/>
        <v>Error?</v>
      </c>
    </row>
    <row r="1023" spans="1:4" x14ac:dyDescent="0.2">
      <c r="A1023" s="5">
        <v>962</v>
      </c>
      <c r="B1023" s="138">
        <f>'Expenditures 15-22'!H50</f>
        <v>4273</v>
      </c>
      <c r="D1023" s="2" t="str">
        <f t="shared" ref="D1023:D1086" si="15">IF(ISBLANK(B1023),"OK",IF(A1023-B1023=0,"OK","Error?"))</f>
        <v>Error?</v>
      </c>
    </row>
    <row r="1024" spans="1:4" x14ac:dyDescent="0.2">
      <c r="A1024" s="5">
        <v>963</v>
      </c>
      <c r="B1024" s="138">
        <f>'Expenditures 15-22'!H53</f>
        <v>19544</v>
      </c>
      <c r="C1024" s="2" t="s">
        <v>573</v>
      </c>
      <c r="D1024" s="2" t="str">
        <f t="shared" si="15"/>
        <v>Error?</v>
      </c>
    </row>
    <row r="1025" spans="1:4" x14ac:dyDescent="0.2">
      <c r="A1025" s="5">
        <v>964</v>
      </c>
      <c r="B1025" s="138">
        <f>'Expenditures 15-22'!H55</f>
        <v>5521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5521</v>
      </c>
      <c r="C1027" s="2" t="s">
        <v>573</v>
      </c>
      <c r="D1027" s="2" t="str">
        <f t="shared" si="15"/>
        <v>Error?</v>
      </c>
    </row>
    <row r="1028" spans="1:4" x14ac:dyDescent="0.2">
      <c r="A1028" s="5">
        <v>967</v>
      </c>
      <c r="B1028" s="138">
        <f>'Expenditures 15-22'!H59</f>
        <v>17240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17240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45491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341412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708196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3510051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161913</v>
      </c>
      <c r="C1106" s="2" t="s">
        <v>573</v>
      </c>
      <c r="D1106" s="2" t="str">
        <f t="shared" si="16"/>
        <v>Error?</v>
      </c>
    </row>
    <row r="1107" spans="1:4" x14ac:dyDescent="0.2">
      <c r="A1107" s="5">
        <v>1046</v>
      </c>
      <c r="B1107" s="138">
        <f>'Expenditures 15-22'!K15</f>
        <v>12022</v>
      </c>
      <c r="C1107" s="2" t="s">
        <v>573</v>
      </c>
      <c r="D1107" s="2" t="str">
        <f t="shared" si="16"/>
        <v>Error?</v>
      </c>
    </row>
    <row r="1108" spans="1:4" x14ac:dyDescent="0.2">
      <c r="A1108" s="5">
        <v>1047</v>
      </c>
      <c r="B1108" s="138">
        <f>'Expenditures 15-22'!K33</f>
        <v>5792521</v>
      </c>
      <c r="C1108" s="2" t="s">
        <v>573</v>
      </c>
      <c r="D1108" s="2" t="str">
        <f t="shared" si="16"/>
        <v>Error?</v>
      </c>
    </row>
    <row r="1109" spans="1:4" x14ac:dyDescent="0.2">
      <c r="A1109" s="5">
        <v>1048</v>
      </c>
      <c r="B1109" s="138">
        <f>'Expenditures 15-22'!K36</f>
        <v>156736</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75570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58168</v>
      </c>
      <c r="C1113" s="2" t="s">
        <v>573</v>
      </c>
      <c r="D1113" s="2" t="str">
        <f t="shared" si="16"/>
        <v>Error?</v>
      </c>
    </row>
    <row r="1114" spans="1:4" x14ac:dyDescent="0.2">
      <c r="A1114" s="5">
        <v>1053</v>
      </c>
      <c r="B1114" s="138">
        <f>'Expenditures 15-22'!K41</f>
        <v>115628</v>
      </c>
      <c r="C1114" s="2" t="s">
        <v>573</v>
      </c>
      <c r="D1114" s="2" t="str">
        <f t="shared" si="16"/>
        <v>Error?</v>
      </c>
    </row>
    <row r="1115" spans="1:4" x14ac:dyDescent="0.2">
      <c r="A1115" s="5">
        <v>1054</v>
      </c>
      <c r="B1115" s="138">
        <f>'Expenditures 15-22'!K42</f>
        <v>406102</v>
      </c>
      <c r="C1115" s="2" t="s">
        <v>573</v>
      </c>
      <c r="D1115" s="2" t="str">
        <f t="shared" si="16"/>
        <v>Error?</v>
      </c>
    </row>
    <row r="1116" spans="1:4" x14ac:dyDescent="0.2">
      <c r="A1116" s="5">
        <v>1055</v>
      </c>
      <c r="B1116" s="138">
        <f>'Expenditures 15-22'!K44</f>
        <v>16537</v>
      </c>
      <c r="C1116" s="2" t="s">
        <v>573</v>
      </c>
      <c r="D1116" s="2" t="str">
        <f t="shared" si="16"/>
        <v>Error?</v>
      </c>
    </row>
    <row r="1117" spans="1:4" x14ac:dyDescent="0.2">
      <c r="A1117" s="5">
        <v>1056</v>
      </c>
      <c r="B1117" s="138">
        <f>'Expenditures 15-22'!K45</f>
        <v>52224</v>
      </c>
      <c r="C1117" s="2" t="s">
        <v>573</v>
      </c>
      <c r="D1117" s="2" t="str">
        <f t="shared" si="16"/>
        <v>Error?</v>
      </c>
    </row>
    <row r="1118" spans="1:4" x14ac:dyDescent="0.2">
      <c r="A1118" s="5">
        <v>1057</v>
      </c>
      <c r="B1118" s="138">
        <f>'Expenditures 15-22'!K46</f>
        <v>11815</v>
      </c>
      <c r="C1118" s="2" t="s">
        <v>573</v>
      </c>
      <c r="D1118" s="2" t="str">
        <f t="shared" si="16"/>
        <v>Error?</v>
      </c>
    </row>
    <row r="1119" spans="1:4" x14ac:dyDescent="0.2">
      <c r="A1119" s="5">
        <v>1058</v>
      </c>
      <c r="B1119" s="138">
        <f>'Expenditures 15-22'!K47</f>
        <v>80576</v>
      </c>
      <c r="C1119" s="2" t="s">
        <v>573</v>
      </c>
      <c r="D1119" s="2" t="str">
        <f t="shared" si="16"/>
        <v>Error?</v>
      </c>
    </row>
    <row r="1120" spans="1:4" x14ac:dyDescent="0.2">
      <c r="A1120" s="5">
        <v>1059</v>
      </c>
      <c r="B1120" s="138">
        <f>'Expenditures 15-22'!K49</f>
        <v>172004</v>
      </c>
      <c r="C1120" s="2" t="s">
        <v>573</v>
      </c>
      <c r="D1120" s="2" t="str">
        <f t="shared" si="16"/>
        <v>Error?</v>
      </c>
    </row>
    <row r="1121" spans="1:4" x14ac:dyDescent="0.2">
      <c r="A1121" s="5">
        <v>1060</v>
      </c>
      <c r="B1121" s="138">
        <f>'Expenditures 15-22'!K50</f>
        <v>306922</v>
      </c>
      <c r="C1121" s="2" t="s">
        <v>573</v>
      </c>
      <c r="D1121" s="2" t="str">
        <f t="shared" si="16"/>
        <v>Error?</v>
      </c>
    </row>
    <row r="1122" spans="1:4" x14ac:dyDescent="0.2">
      <c r="A1122" s="5">
        <v>1061</v>
      </c>
      <c r="B1122" s="138">
        <f>'Expenditures 15-22'!K53</f>
        <v>478926</v>
      </c>
      <c r="C1122" s="2" t="s">
        <v>573</v>
      </c>
      <c r="D1122" s="2" t="str">
        <f t="shared" si="16"/>
        <v>Error?</v>
      </c>
    </row>
    <row r="1123" spans="1:4" x14ac:dyDescent="0.2">
      <c r="A1123" s="5">
        <v>1062</v>
      </c>
      <c r="B1123" s="138">
        <f>'Expenditures 15-22'!K55</f>
        <v>526498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526498</v>
      </c>
      <c r="C1125" s="2" t="s">
        <v>573</v>
      </c>
      <c r="D1125" s="2" t="str">
        <f t="shared" si="16"/>
        <v>Error?</v>
      </c>
    </row>
    <row r="1126" spans="1:4" x14ac:dyDescent="0.2">
      <c r="A1126" s="5">
        <v>1065</v>
      </c>
      <c r="B1126" s="138">
        <f>'Expenditures 15-22'!K59</f>
        <v>29724</v>
      </c>
      <c r="C1126" s="2" t="s">
        <v>573</v>
      </c>
      <c r="D1126" s="2" t="str">
        <f t="shared" si="16"/>
        <v>Error?</v>
      </c>
    </row>
    <row r="1127" spans="1:4" x14ac:dyDescent="0.2">
      <c r="A1127" s="5">
        <v>1066</v>
      </c>
      <c r="B1127" s="138">
        <f>'Expenditures 15-22'!K60</f>
        <v>226219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341870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597813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2089915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341412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8223848</v>
      </c>
      <c r="C1152" s="2" t="s">
        <v>573</v>
      </c>
      <c r="D1152" s="2" t="str">
        <f t="shared" si="17"/>
        <v>Error?</v>
      </c>
    </row>
    <row r="1153" spans="1:4" x14ac:dyDescent="0.2">
      <c r="A1153" s="5">
        <v>1092</v>
      </c>
      <c r="B1153" s="138">
        <f>'Expenditures 15-22'!K115</f>
        <v>2270827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504967</v>
      </c>
      <c r="D1221" s="2" t="str">
        <f t="shared" si="18"/>
        <v>Error?</v>
      </c>
    </row>
    <row r="1222" spans="1:4" x14ac:dyDescent="0.2">
      <c r="A1222" s="10">
        <v>1161</v>
      </c>
      <c r="D1222" s="2" t="str">
        <f t="shared" si="18"/>
        <v>OK</v>
      </c>
    </row>
    <row r="1223" spans="1:4" x14ac:dyDescent="0.2">
      <c r="A1223" s="5">
        <v>1162</v>
      </c>
      <c r="B1223" s="138">
        <f>'Expenditures 15-22'!C127</f>
        <v>504967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504967</v>
      </c>
      <c r="C1225" s="2" t="s">
        <v>573</v>
      </c>
      <c r="D1225" s="2" t="str">
        <f t="shared" si="18"/>
        <v>Error?</v>
      </c>
    </row>
    <row r="1226" spans="1:4" x14ac:dyDescent="0.2">
      <c r="A1226" s="5">
        <v>1165</v>
      </c>
      <c r="B1226" s="138">
        <f>'Expenditures 15-22'!C151</f>
        <v>504967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101036</v>
      </c>
      <c r="D1229" s="2" t="str">
        <f t="shared" si="18"/>
        <v>Error?</v>
      </c>
    </row>
    <row r="1230" spans="1:4" x14ac:dyDescent="0.2">
      <c r="A1230" s="10">
        <v>1169</v>
      </c>
      <c r="D1230" s="2" t="str">
        <f t="shared" si="18"/>
        <v>OK</v>
      </c>
    </row>
    <row r="1231" spans="1:4" x14ac:dyDescent="0.2">
      <c r="A1231" s="5">
        <v>1170</v>
      </c>
      <c r="B1231" s="138">
        <f>'Expenditures 15-22'!D127</f>
        <v>101036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101036</v>
      </c>
      <c r="C1233" s="2" t="s">
        <v>573</v>
      </c>
      <c r="D1233" s="2" t="str">
        <f t="shared" si="18"/>
        <v>Error?</v>
      </c>
    </row>
    <row r="1234" spans="1:4" x14ac:dyDescent="0.2">
      <c r="A1234" s="5">
        <v>1173</v>
      </c>
      <c r="B1234" s="138">
        <f>'Expenditures 15-22'!D151</f>
        <v>101036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22809</v>
      </c>
      <c r="D1236" s="2" t="str">
        <f t="shared" si="18"/>
        <v>Error?</v>
      </c>
    </row>
    <row r="1237" spans="1:4" x14ac:dyDescent="0.2">
      <c r="A1237" s="5">
        <v>1176</v>
      </c>
      <c r="B1237" s="138">
        <f>'Expenditures 15-22'!E124</f>
        <v>114268</v>
      </c>
      <c r="D1237" s="2" t="str">
        <f t="shared" si="18"/>
        <v>Error?</v>
      </c>
    </row>
    <row r="1238" spans="1:4" x14ac:dyDescent="0.2">
      <c r="A1238" s="10">
        <v>1177</v>
      </c>
      <c r="D1238" s="2" t="str">
        <f t="shared" si="18"/>
        <v>OK</v>
      </c>
    </row>
    <row r="1239" spans="1:4" x14ac:dyDescent="0.2">
      <c r="A1239" s="5">
        <v>1178</v>
      </c>
      <c r="B1239" s="138">
        <f>'Expenditures 15-22'!E127</f>
        <v>137077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137077</v>
      </c>
      <c r="C1241" s="2" t="s">
        <v>573</v>
      </c>
      <c r="D1241" s="2" t="str">
        <f t="shared" si="18"/>
        <v>Error?</v>
      </c>
    </row>
    <row r="1242" spans="1:4" x14ac:dyDescent="0.2">
      <c r="A1242" s="5">
        <v>1181</v>
      </c>
      <c r="B1242" s="138">
        <f>'Expenditures 15-22'!E151</f>
        <v>137077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634</v>
      </c>
      <c r="D1244" s="2" t="str">
        <f t="shared" si="18"/>
        <v>Error?</v>
      </c>
    </row>
    <row r="1245" spans="1:4" x14ac:dyDescent="0.2">
      <c r="A1245" s="5">
        <v>1184</v>
      </c>
      <c r="B1245" s="138">
        <f>'Expenditures 15-22'!F124</f>
        <v>172243</v>
      </c>
      <c r="D1245" s="2" t="str">
        <f t="shared" si="18"/>
        <v>Error?</v>
      </c>
    </row>
    <row r="1246" spans="1:4" x14ac:dyDescent="0.2">
      <c r="A1246" s="10">
        <v>1185</v>
      </c>
      <c r="D1246" s="2" t="str">
        <f t="shared" si="18"/>
        <v>OK</v>
      </c>
    </row>
    <row r="1247" spans="1:4" x14ac:dyDescent="0.2">
      <c r="A1247" s="5">
        <v>1186</v>
      </c>
      <c r="B1247" s="138">
        <f>'Expenditures 15-22'!F127</f>
        <v>172877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172877</v>
      </c>
      <c r="C1249" s="2" t="s">
        <v>573</v>
      </c>
      <c r="D1249" s="2" t="str">
        <f t="shared" si="18"/>
        <v>Error?</v>
      </c>
    </row>
    <row r="1250" spans="1:4" x14ac:dyDescent="0.2">
      <c r="A1250" s="5">
        <v>1189</v>
      </c>
      <c r="B1250" s="138">
        <f>'Expenditures 15-22'!F151</f>
        <v>172877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19568</v>
      </c>
      <c r="D1252" s="2" t="str">
        <f t="shared" si="18"/>
        <v>Error?</v>
      </c>
    </row>
    <row r="1253" spans="1:4" x14ac:dyDescent="0.2">
      <c r="A1253" s="5">
        <v>1192</v>
      </c>
      <c r="B1253" s="138">
        <f>'Expenditures 15-22'!G124</f>
        <v>49166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68734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68734</v>
      </c>
      <c r="C1258" s="2" t="s">
        <v>573</v>
      </c>
      <c r="D1258" s="2" t="str">
        <f t="shared" si="18"/>
        <v>Error?</v>
      </c>
    </row>
    <row r="1259" spans="1:4" x14ac:dyDescent="0.2">
      <c r="A1259" s="5">
        <v>1198</v>
      </c>
      <c r="B1259" s="138">
        <f>'Expenditures 15-22'!G151</f>
        <v>68734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43011</v>
      </c>
      <c r="C1275" s="2" t="s">
        <v>573</v>
      </c>
      <c r="D1275" s="2" t="str">
        <f t="shared" si="18"/>
        <v>Error?</v>
      </c>
    </row>
    <row r="1276" spans="1:4" x14ac:dyDescent="0.2">
      <c r="A1276" s="5">
        <v>1215</v>
      </c>
      <c r="B1276" s="138">
        <f>'Expenditures 15-22'!K124</f>
        <v>941680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984691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984691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984691</v>
      </c>
      <c r="C1288" s="2" t="s">
        <v>573</v>
      </c>
      <c r="D1288" s="2" t="str">
        <f t="shared" si="19"/>
        <v>Error?</v>
      </c>
    </row>
    <row r="1289" spans="1:4" x14ac:dyDescent="0.2">
      <c r="A1289" s="5">
        <v>1228</v>
      </c>
      <c r="B1289" s="138">
        <f>'Expenditures 15-22'!K152</f>
        <v>12346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247667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510000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757667</v>
      </c>
      <c r="C1317" s="2" t="s">
        <v>573</v>
      </c>
      <c r="D1317" s="2" t="str">
        <f t="shared" si="19"/>
        <v>Error?</v>
      </c>
    </row>
    <row r="1318" spans="1:4" x14ac:dyDescent="0.2">
      <c r="A1318" s="5">
        <v>1257</v>
      </c>
      <c r="B1318" s="138">
        <f>'Expenditures 15-22'!H174</f>
        <v>757667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247667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510000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757667</v>
      </c>
      <c r="C1331" s="2" t="s">
        <v>573</v>
      </c>
      <c r="D1331" s="2" t="str">
        <f t="shared" si="19"/>
        <v>Error?</v>
      </c>
    </row>
    <row r="1332" spans="1:4" x14ac:dyDescent="0.2">
      <c r="A1332" s="5">
        <v>1271</v>
      </c>
      <c r="B1332" s="138">
        <f>'Expenditures 15-22'!K174</f>
        <v>757667</v>
      </c>
      <c r="C1332" s="2" t="s">
        <v>573</v>
      </c>
      <c r="D1332" s="2" t="str">
        <f t="shared" si="19"/>
        <v>Error?</v>
      </c>
    </row>
    <row r="1333" spans="1:4" x14ac:dyDescent="0.2">
      <c r="A1333" s="5">
        <v>1272</v>
      </c>
      <c r="B1333" s="138">
        <f>'Expenditures 15-22'!K175</f>
        <v>-309810</v>
      </c>
      <c r="C1333" s="2" t="s">
        <v>573</v>
      </c>
      <c r="D1333" s="2" t="str">
        <f t="shared" si="19"/>
        <v>Error?</v>
      </c>
    </row>
    <row r="1334" spans="1:4" x14ac:dyDescent="0.2">
      <c r="A1334" s="10">
        <v>1273</v>
      </c>
      <c r="D1334" s="2" t="str">
        <f t="shared" si="19"/>
        <v>OK</v>
      </c>
    </row>
    <row r="1335" spans="1:4" x14ac:dyDescent="0.2">
      <c r="A1335" s="5">
        <v>1274</v>
      </c>
      <c r="B1335" s="138">
        <f>'Expenditures 15-22'!C182</f>
        <v>458520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458520</v>
      </c>
      <c r="C1339" s="2" t="s">
        <v>573</v>
      </c>
      <c r="D1339" s="2" t="str">
        <f t="shared" si="19"/>
        <v>Error?</v>
      </c>
    </row>
    <row r="1340" spans="1:4" x14ac:dyDescent="0.2">
      <c r="A1340" s="5">
        <v>1279</v>
      </c>
      <c r="B1340" s="138">
        <f>'Expenditures 15-22'!C210</f>
        <v>458520</v>
      </c>
      <c r="C1340" s="2" t="s">
        <v>573</v>
      </c>
      <c r="D1340" s="2" t="str">
        <f t="shared" si="19"/>
        <v>Error?</v>
      </c>
    </row>
    <row r="1341" spans="1:4" x14ac:dyDescent="0.2">
      <c r="A1341" s="5">
        <v>1280</v>
      </c>
      <c r="B1341" s="138">
        <f>'Expenditures 15-22'!D182</f>
        <v>27512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27512</v>
      </c>
      <c r="C1345" s="2" t="s">
        <v>573</v>
      </c>
      <c r="D1345" s="2" t="str">
        <f t="shared" si="20"/>
        <v>Error?</v>
      </c>
    </row>
    <row r="1346" spans="1:4" x14ac:dyDescent="0.2">
      <c r="A1346" s="5">
        <v>1285</v>
      </c>
      <c r="B1346" s="138">
        <f>'Expenditures 15-22'!D210</f>
        <v>27512</v>
      </c>
      <c r="C1346" s="2" t="s">
        <v>573</v>
      </c>
      <c r="D1346" s="2" t="str">
        <f t="shared" si="20"/>
        <v>Error?</v>
      </c>
    </row>
    <row r="1347" spans="1:4" x14ac:dyDescent="0.2">
      <c r="A1347" s="5">
        <v>1286</v>
      </c>
      <c r="B1347" s="138">
        <f>'Expenditures 15-22'!E182</f>
        <v>48390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48390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48390</v>
      </c>
      <c r="C1353" s="2" t="s">
        <v>573</v>
      </c>
      <c r="D1353" s="2" t="str">
        <f t="shared" si="20"/>
        <v>Error?</v>
      </c>
    </row>
    <row r="1354" spans="1:4" x14ac:dyDescent="0.2">
      <c r="A1354" s="5">
        <v>1293</v>
      </c>
      <c r="B1354" s="138">
        <f>'Expenditures 15-22'!F182</f>
        <v>56001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56001</v>
      </c>
      <c r="C1358" s="2" t="s">
        <v>573</v>
      </c>
      <c r="D1358" s="2" t="str">
        <f t="shared" si="20"/>
        <v>Error?</v>
      </c>
    </row>
    <row r="1359" spans="1:4" x14ac:dyDescent="0.2">
      <c r="A1359" s="5">
        <v>1298</v>
      </c>
      <c r="B1359" s="138">
        <f>'Expenditures 15-22'!F210</f>
        <v>56001</v>
      </c>
      <c r="C1359" s="2" t="s">
        <v>573</v>
      </c>
      <c r="D1359" s="2" t="str">
        <f t="shared" si="20"/>
        <v>Error?</v>
      </c>
    </row>
    <row r="1360" spans="1:4" x14ac:dyDescent="0.2">
      <c r="A1360" s="5">
        <v>1299</v>
      </c>
      <c r="B1360" s="138">
        <f>'Expenditures 15-22'!G182</f>
        <v>46240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46240</v>
      </c>
      <c r="C1364" s="2" t="s">
        <v>573</v>
      </c>
      <c r="D1364" s="2" t="str">
        <f t="shared" si="20"/>
        <v>Error?</v>
      </c>
    </row>
    <row r="1365" spans="1:4" x14ac:dyDescent="0.2">
      <c r="A1365" s="5">
        <v>1304</v>
      </c>
      <c r="B1365" s="138">
        <f>'Expenditures 15-22'!G210</f>
        <v>46240</v>
      </c>
      <c r="C1365" s="2" t="s">
        <v>573</v>
      </c>
      <c r="D1365" s="2" t="str">
        <f t="shared" si="20"/>
        <v>Error?</v>
      </c>
    </row>
    <row r="1366" spans="1:4" x14ac:dyDescent="0.2">
      <c r="A1366" s="5">
        <v>1305</v>
      </c>
      <c r="B1366" s="138">
        <f>'Expenditures 15-22'!H182</f>
        <v>688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688</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688</v>
      </c>
      <c r="C1376" s="2" t="s">
        <v>573</v>
      </c>
      <c r="D1376" s="2" t="str">
        <f t="shared" si="20"/>
        <v>Error?</v>
      </c>
    </row>
    <row r="1377" spans="1:4" x14ac:dyDescent="0.2">
      <c r="A1377" s="5">
        <v>1316</v>
      </c>
      <c r="B1377" s="138">
        <f>'Expenditures 15-22'!K182</f>
        <v>637351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637351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637351</v>
      </c>
      <c r="C1388" s="2" t="s">
        <v>573</v>
      </c>
      <c r="D1388" s="2" t="str">
        <f t="shared" si="20"/>
        <v>Error?</v>
      </c>
    </row>
    <row r="1389" spans="1:4" x14ac:dyDescent="0.2">
      <c r="A1389" s="5">
        <v>1328</v>
      </c>
      <c r="B1389" s="138">
        <f>'Expenditures 15-22'!K211</f>
        <v>-24976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2368</v>
      </c>
      <c r="D1408" s="2" t="str">
        <f t="shared" si="21"/>
        <v>Error?</v>
      </c>
    </row>
    <row r="1409" spans="1:4" x14ac:dyDescent="0.2">
      <c r="A1409" s="5">
        <v>1348</v>
      </c>
      <c r="B1409" s="138">
        <f>'Expenditures 15-22'!D224</f>
        <v>344</v>
      </c>
      <c r="D1409" s="2" t="str">
        <f t="shared" si="21"/>
        <v>Error?</v>
      </c>
    </row>
    <row r="1410" spans="1:4" x14ac:dyDescent="0.2">
      <c r="A1410" s="5">
        <v>1349</v>
      </c>
      <c r="B1410" s="138">
        <f>'Expenditures 15-22'!D229</f>
        <v>77471</v>
      </c>
      <c r="C1410" s="2" t="s">
        <v>573</v>
      </c>
      <c r="D1410" s="2" t="str">
        <f t="shared" si="21"/>
        <v>Error?</v>
      </c>
    </row>
    <row r="1411" spans="1:4" x14ac:dyDescent="0.2">
      <c r="A1411" s="5">
        <v>1350</v>
      </c>
      <c r="B1411" s="138">
        <f>'Expenditures 15-22'!D232</f>
        <v>1721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13452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713</v>
      </c>
      <c r="D1415" s="2" t="str">
        <f t="shared" si="21"/>
        <v>Error?</v>
      </c>
    </row>
    <row r="1416" spans="1:4" x14ac:dyDescent="0.2">
      <c r="A1416" s="5">
        <v>1355</v>
      </c>
      <c r="B1416" s="138">
        <f>'Expenditures 15-22'!D237</f>
        <v>8005</v>
      </c>
      <c r="D1416" s="2" t="str">
        <f t="shared" si="21"/>
        <v>Error?</v>
      </c>
    </row>
    <row r="1417" spans="1:4" x14ac:dyDescent="0.2">
      <c r="A1417" s="5">
        <v>1356</v>
      </c>
      <c r="B1417" s="138">
        <f>'Expenditures 15-22'!D238</f>
        <v>23891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1474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1474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13664</v>
      </c>
      <c r="D1423" s="2" t="str">
        <f t="shared" si="21"/>
        <v>Error?</v>
      </c>
    </row>
    <row r="1424" spans="1:4" x14ac:dyDescent="0.2">
      <c r="A1424" s="5">
        <v>1363</v>
      </c>
      <c r="B1424" s="138">
        <f>'Expenditures 15-22'!D257</f>
        <v>13664</v>
      </c>
      <c r="C1424" s="2" t="s">
        <v>573</v>
      </c>
      <c r="D1424" s="2" t="str">
        <f t="shared" si="21"/>
        <v>Error?</v>
      </c>
    </row>
    <row r="1425" spans="1:4" x14ac:dyDescent="0.2">
      <c r="A1425" s="5">
        <v>1364</v>
      </c>
      <c r="B1425" s="138">
        <f>'Expenditures 15-22'!D259</f>
        <v>23537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23537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35357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106962</v>
      </c>
      <c r="D1431" s="2" t="str">
        <f t="shared" si="21"/>
        <v>Error?</v>
      </c>
    </row>
    <row r="1432" spans="1:4" x14ac:dyDescent="0.2">
      <c r="A1432" s="5">
        <v>1371</v>
      </c>
      <c r="B1432" s="138">
        <f>'Expenditures 15-22'!D267</f>
        <v>96953</v>
      </c>
      <c r="D1432" s="2" t="str">
        <f t="shared" si="21"/>
        <v>Error?</v>
      </c>
    </row>
    <row r="1433" spans="1:4" x14ac:dyDescent="0.2">
      <c r="A1433" s="5">
        <v>1372</v>
      </c>
      <c r="B1433" s="138">
        <f>'Expenditures 15-22'!D268</f>
        <v>18436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257708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320274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397745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2368</v>
      </c>
      <c r="C1472" s="2" t="s">
        <v>573</v>
      </c>
      <c r="D1472" s="2" t="str">
        <f t="shared" si="22"/>
        <v>Error?</v>
      </c>
    </row>
    <row r="1473" spans="1:4" x14ac:dyDescent="0.2">
      <c r="A1473" s="5">
        <v>1412</v>
      </c>
      <c r="B1473" s="138">
        <f>'Expenditures 15-22'!K224</f>
        <v>344</v>
      </c>
      <c r="C1473" s="2" t="s">
        <v>573</v>
      </c>
      <c r="D1473" s="2" t="str">
        <f t="shared" si="22"/>
        <v>Error?</v>
      </c>
    </row>
    <row r="1474" spans="1:4" x14ac:dyDescent="0.2">
      <c r="A1474" s="5">
        <v>1413</v>
      </c>
      <c r="B1474" s="138">
        <f>'Expenditures 15-22'!K229</f>
        <v>77471</v>
      </c>
      <c r="C1474" s="2" t="s">
        <v>573</v>
      </c>
      <c r="D1474" s="2" t="str">
        <f t="shared" si="22"/>
        <v>Error?</v>
      </c>
    </row>
    <row r="1475" spans="1:4" x14ac:dyDescent="0.2">
      <c r="A1475" s="5">
        <v>1414</v>
      </c>
      <c r="B1475" s="138">
        <f>'Expenditures 15-22'!K232</f>
        <v>1721</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13452</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713</v>
      </c>
      <c r="C1479" s="2" t="s">
        <v>573</v>
      </c>
      <c r="D1479" s="2" t="str">
        <f t="shared" si="22"/>
        <v>Error?</v>
      </c>
    </row>
    <row r="1480" spans="1:4" x14ac:dyDescent="0.2">
      <c r="A1480" s="5">
        <v>1419</v>
      </c>
      <c r="B1480" s="138">
        <f>'Expenditures 15-22'!K237</f>
        <v>8005</v>
      </c>
      <c r="C1480" s="2" t="s">
        <v>573</v>
      </c>
      <c r="D1480" s="2" t="str">
        <f t="shared" si="22"/>
        <v>Error?</v>
      </c>
    </row>
    <row r="1481" spans="1:4" x14ac:dyDescent="0.2">
      <c r="A1481" s="5">
        <v>1420</v>
      </c>
      <c r="B1481" s="138">
        <f>'Expenditures 15-22'!K238</f>
        <v>23891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1474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1474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13664</v>
      </c>
      <c r="C1487" s="2" t="s">
        <v>573</v>
      </c>
      <c r="D1487" s="2" t="str">
        <f t="shared" si="22"/>
        <v>Error?</v>
      </c>
    </row>
    <row r="1488" spans="1:4" x14ac:dyDescent="0.2">
      <c r="A1488" s="5">
        <v>1427</v>
      </c>
      <c r="B1488" s="138">
        <f>'Expenditures 15-22'!K257</f>
        <v>13664</v>
      </c>
      <c r="C1488" s="2" t="s">
        <v>573</v>
      </c>
      <c r="D1488" s="2" t="str">
        <f t="shared" si="22"/>
        <v>Error?</v>
      </c>
    </row>
    <row r="1489" spans="1:4" x14ac:dyDescent="0.2">
      <c r="A1489" s="5">
        <v>1428</v>
      </c>
      <c r="B1489" s="138">
        <f>'Expenditures 15-22'!K259</f>
        <v>23537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23537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35357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106962</v>
      </c>
      <c r="C1495" s="2" t="s">
        <v>573</v>
      </c>
      <c r="D1495" s="2" t="str">
        <f t="shared" si="22"/>
        <v>Error?</v>
      </c>
    </row>
    <row r="1496" spans="1:4" x14ac:dyDescent="0.2">
      <c r="A1496" s="5">
        <v>1435</v>
      </c>
      <c r="B1496" s="138">
        <f>'Expenditures 15-22'!K267</f>
        <v>96953</v>
      </c>
      <c r="C1496" s="2" t="s">
        <v>573</v>
      </c>
      <c r="D1496" s="2" t="str">
        <f t="shared" si="22"/>
        <v>Error?</v>
      </c>
    </row>
    <row r="1497" spans="1:4" x14ac:dyDescent="0.2">
      <c r="A1497" s="5">
        <v>1436</v>
      </c>
      <c r="B1497" s="138">
        <f>'Expenditures 15-22'!K268</f>
        <v>18436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257708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320274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397745</v>
      </c>
      <c r="C1517" s="2" t="s">
        <v>573</v>
      </c>
      <c r="D1517" s="2" t="str">
        <f t="shared" si="22"/>
        <v>Error?</v>
      </c>
    </row>
    <row r="1518" spans="1:4" x14ac:dyDescent="0.2">
      <c r="A1518" s="5">
        <v>1457</v>
      </c>
      <c r="B1518" s="138">
        <f>'Expenditures 15-22'!K296</f>
        <v>118529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3082911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3082911</v>
      </c>
      <c r="C1547" s="2" t="s">
        <v>573</v>
      </c>
      <c r="D1547" s="2" t="str">
        <f t="shared" si="23"/>
        <v>Error?</v>
      </c>
    </row>
    <row r="1548" spans="1:4" x14ac:dyDescent="0.2">
      <c r="A1548" s="5">
        <v>1487</v>
      </c>
      <c r="B1548" s="138">
        <f>'Expenditures 15-22'!G312</f>
        <v>3082911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3082911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3082911</v>
      </c>
      <c r="C1559" s="2" t="s">
        <v>573</v>
      </c>
      <c r="D1559" s="2" t="str">
        <f t="shared" si="23"/>
        <v>Error?</v>
      </c>
    </row>
    <row r="1560" spans="1:4" x14ac:dyDescent="0.2">
      <c r="A1560" s="5">
        <v>1499</v>
      </c>
      <c r="B1560" s="138">
        <f>'Expenditures 15-22'!K312</f>
        <v>3082911</v>
      </c>
      <c r="C1560" s="2" t="s">
        <v>573</v>
      </c>
      <c r="D1560" s="2" t="str">
        <f t="shared" si="23"/>
        <v>Error?</v>
      </c>
    </row>
    <row r="1561" spans="1:4" x14ac:dyDescent="0.2">
      <c r="A1561" s="5">
        <v>1500</v>
      </c>
      <c r="B1561" s="138">
        <f>'Expenditures 15-22'!K313</f>
        <v>-3082911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12644042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14914869</v>
      </c>
      <c r="C1630" s="2" t="s">
        <v>573</v>
      </c>
      <c r="D1630" s="2" t="str">
        <f t="shared" si="24"/>
        <v>Error?</v>
      </c>
    </row>
    <row r="1631" spans="1:4" x14ac:dyDescent="0.2">
      <c r="A1631" s="5">
        <v>1570</v>
      </c>
      <c r="B1631" s="138">
        <f>'Acct Summary 7-8'!D79</f>
        <v>155888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168234</v>
      </c>
      <c r="C1644" s="2" t="s">
        <v>573</v>
      </c>
      <c r="D1644" s="2" t="str">
        <f t="shared" si="24"/>
        <v>Error?</v>
      </c>
    </row>
    <row r="1645" spans="1:4" x14ac:dyDescent="0.2">
      <c r="A1645" s="5">
        <v>1584</v>
      </c>
      <c r="B1645" s="138">
        <f>'Acct Summary 7-8'!E79</f>
        <v>309824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v>
      </c>
      <c r="C1658" s="2" t="s">
        <v>573</v>
      </c>
      <c r="D1658" s="2" t="str">
        <f t="shared" si="24"/>
        <v>Error?</v>
      </c>
    </row>
    <row r="1659" spans="1:4" x14ac:dyDescent="0.2">
      <c r="A1659" s="5">
        <v>1598</v>
      </c>
      <c r="B1659" s="138">
        <f>'Acct Summary 7-8'!F79</f>
        <v>186206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161230</v>
      </c>
      <c r="C1672" s="2" t="s">
        <v>573</v>
      </c>
      <c r="D1672" s="2" t="str">
        <f t="shared" si="25"/>
        <v>Error?</v>
      </c>
    </row>
    <row r="1673" spans="1:4" x14ac:dyDescent="0.2">
      <c r="A1673" s="5">
        <v>1612</v>
      </c>
      <c r="B1673" s="138">
        <f>'Acct Summary 7-8'!G79</f>
        <v>3242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121771</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91342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6665939</v>
      </c>
      <c r="C1744" s="2" t="s">
        <v>573</v>
      </c>
      <c r="D1744" s="2" t="str">
        <f t="shared" si="26"/>
        <v>Error?</v>
      </c>
    </row>
    <row r="1745" spans="1:5" x14ac:dyDescent="0.2">
      <c r="A1745" s="5">
        <v>1684</v>
      </c>
      <c r="B1745" s="138">
        <f>'Tax Sched 23'!B5</f>
        <v>974033</v>
      </c>
      <c r="C1745" s="2" t="s">
        <v>573</v>
      </c>
      <c r="D1745" s="2" t="str">
        <f t="shared" si="26"/>
        <v>Error?</v>
      </c>
    </row>
    <row r="1746" spans="1:5" x14ac:dyDescent="0.2">
      <c r="A1746" s="5">
        <v>1685</v>
      </c>
      <c r="B1746" s="138">
        <f>'Tax Sched 23'!B6</f>
        <v>433795</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-8870</v>
      </c>
      <c r="C1748" s="2" t="s">
        <v>573</v>
      </c>
      <c r="D1748" s="2" t="str">
        <f t="shared" si="26"/>
        <v>Error?</v>
      </c>
    </row>
    <row r="1749" spans="1:5" x14ac:dyDescent="0.2">
      <c r="A1749" s="5">
        <v>1688</v>
      </c>
      <c r="B1749" s="138">
        <f>'Tax Sched 23'!B10</f>
        <v>65496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662275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8783798</v>
      </c>
      <c r="C1759" s="2" t="s">
        <v>573</v>
      </c>
      <c r="D1759" s="2" t="str">
        <f t="shared" si="26"/>
        <v>Error?</v>
      </c>
    </row>
    <row r="1760" spans="1:5" x14ac:dyDescent="0.2">
      <c r="A1760" s="5">
        <v>1699</v>
      </c>
      <c r="B1760" s="138">
        <f>'Tax Sched 23'!D4</f>
        <v>3069743</v>
      </c>
      <c r="C1760" s="2" t="s">
        <v>573</v>
      </c>
      <c r="D1760" s="2" t="str">
        <f t="shared" si="26"/>
        <v>Error?</v>
      </c>
    </row>
    <row r="1761" spans="1:5" x14ac:dyDescent="0.2">
      <c r="A1761" s="5">
        <v>1700</v>
      </c>
      <c r="B1761" s="138">
        <f>'Tax Sched 23'!D5</f>
        <v>453477</v>
      </c>
      <c r="C1761" s="2" t="s">
        <v>573</v>
      </c>
      <c r="D1761" s="2" t="str">
        <f t="shared" si="26"/>
        <v>Error?</v>
      </c>
    </row>
    <row r="1762" spans="1:5" s="8" customFormat="1" x14ac:dyDescent="0.2">
      <c r="A1762" s="5">
        <v>1701</v>
      </c>
      <c r="B1762" s="138">
        <f>'Tax Sched 23'!D6</f>
        <v>192403</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-8870</v>
      </c>
      <c r="C1764" s="2" t="s">
        <v>573</v>
      </c>
      <c r="D1764" s="2" t="str">
        <f t="shared" si="26"/>
        <v>Error?</v>
      </c>
    </row>
    <row r="1765" spans="1:5" x14ac:dyDescent="0.2">
      <c r="A1765" s="5">
        <v>1704</v>
      </c>
      <c r="B1765" s="138">
        <f>'Tax Sched 23'!D10</f>
        <v>18255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283895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4000033</v>
      </c>
      <c r="C1775" s="2" t="s">
        <v>573</v>
      </c>
      <c r="D1775" s="2" t="str">
        <f t="shared" si="26"/>
        <v>Error?</v>
      </c>
    </row>
    <row r="1776" spans="1:5" x14ac:dyDescent="0.2">
      <c r="A1776" s="5">
        <v>1715</v>
      </c>
      <c r="B1776" s="138">
        <f>'Tax Sched 23'!C4</f>
        <v>3596196</v>
      </c>
      <c r="D1776" s="2" t="str">
        <f t="shared" si="26"/>
        <v>Error?</v>
      </c>
    </row>
    <row r="1777" spans="1:4" x14ac:dyDescent="0.2">
      <c r="A1777" s="5">
        <v>1716</v>
      </c>
      <c r="B1777" s="138">
        <f>'Tax Sched 23'!C5</f>
        <v>520556</v>
      </c>
      <c r="D1777" s="2" t="str">
        <f t="shared" si="26"/>
        <v>Error?</v>
      </c>
    </row>
    <row r="1778" spans="1:4" x14ac:dyDescent="0.2">
      <c r="A1778" s="5">
        <v>1717</v>
      </c>
      <c r="B1778" s="138">
        <f>'Tax Sched 23'!C6</f>
        <v>241392</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47241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378380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4783765</v>
      </c>
      <c r="C1791" s="2" t="s">
        <v>573</v>
      </c>
      <c r="D1791" s="2" t="str">
        <f t="shared" ref="D1791:D1854" si="27">IF(ISBLANK(B1791),"OK",IF(A1791-B1791=0,"OK","Error?"))</f>
        <v>Error?</v>
      </c>
    </row>
    <row r="1792" spans="1:4" x14ac:dyDescent="0.2">
      <c r="A1792" s="5">
        <v>1731</v>
      </c>
      <c r="B1792" s="138">
        <f>'Tax Sched 23'!F4</f>
        <v>3552665</v>
      </c>
      <c r="C1792" s="2" t="s">
        <v>573</v>
      </c>
      <c r="D1792" s="2" t="str">
        <f t="shared" si="27"/>
        <v>Error?</v>
      </c>
    </row>
    <row r="1793" spans="1:4" x14ac:dyDescent="0.2">
      <c r="A1793" s="5">
        <v>1732</v>
      </c>
      <c r="B1793" s="138">
        <f>'Tax Sched 23'!F5</f>
        <v>513950</v>
      </c>
      <c r="C1793" s="2" t="s">
        <v>573</v>
      </c>
      <c r="D1793" s="2" t="str">
        <f t="shared" si="27"/>
        <v>Error?</v>
      </c>
    </row>
    <row r="1794" spans="1:4" x14ac:dyDescent="0.2">
      <c r="A1794" s="5">
        <v>1733</v>
      </c>
      <c r="B1794" s="138">
        <f>'Tax Sched 23'!F6</f>
        <v>229415</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46805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373988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4716823</v>
      </c>
      <c r="C1807" s="2" t="s">
        <v>573</v>
      </c>
      <c r="D1807" s="2" t="str">
        <f t="shared" si="27"/>
        <v>Error?</v>
      </c>
    </row>
    <row r="1808" spans="1:4" x14ac:dyDescent="0.2">
      <c r="A1808" s="5">
        <v>1747</v>
      </c>
      <c r="B1808" s="138">
        <f>'Tax Sched 23'!E4</f>
        <v>7148861</v>
      </c>
      <c r="D1808" s="2" t="str">
        <f t="shared" si="27"/>
        <v>Error?</v>
      </c>
    </row>
    <row r="1809" spans="1:4" x14ac:dyDescent="0.2">
      <c r="A1809" s="5">
        <v>1748</v>
      </c>
      <c r="B1809" s="138">
        <f>'Tax Sched 23'!E5</f>
        <v>1034506</v>
      </c>
      <c r="D1809" s="2" t="str">
        <f t="shared" si="27"/>
        <v>Error?</v>
      </c>
    </row>
    <row r="1810" spans="1:4" x14ac:dyDescent="0.2">
      <c r="A1810" s="5">
        <v>1749</v>
      </c>
      <c r="B1810" s="138">
        <f>'Tax Sched 23'!E6</f>
        <v>470807</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94046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752368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9500588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3255000</v>
      </c>
      <c r="C1939" s="2" t="s">
        <v>573</v>
      </c>
      <c r="D1939" s="2" t="str">
        <f t="shared" si="29"/>
        <v>Error?</v>
      </c>
    </row>
    <row r="1940" spans="1:5" x14ac:dyDescent="0.2">
      <c r="A1940" s="5">
        <v>1879</v>
      </c>
      <c r="B1940" s="138">
        <f>'Short-Term Long-Term Debt 24'!F49</f>
        <v>6135000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662275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662275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662275</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7000</v>
      </c>
      <c r="D2008" s="2" t="str">
        <f t="shared" si="30"/>
        <v>Error?</v>
      </c>
    </row>
    <row r="2009" spans="1:4" x14ac:dyDescent="0.2">
      <c r="A2009" s="5">
        <v>1948</v>
      </c>
      <c r="B2009" s="138">
        <f>'Cap Outlay Deprec 26'!C8</f>
        <v>17891994</v>
      </c>
      <c r="D2009" s="2" t="str">
        <f t="shared" si="30"/>
        <v>Error?</v>
      </c>
    </row>
    <row r="2010" spans="1:4" x14ac:dyDescent="0.2">
      <c r="A2010" s="5">
        <v>1949</v>
      </c>
      <c r="B2010" s="138">
        <f>'Cap Outlay Deprec 26'!C10</f>
        <v>285362</v>
      </c>
      <c r="D2010" s="2" t="str">
        <f t="shared" si="30"/>
        <v>Error?</v>
      </c>
    </row>
    <row r="2011" spans="1:4" x14ac:dyDescent="0.2">
      <c r="A2011" s="5">
        <v>1950</v>
      </c>
      <c r="B2011" s="138">
        <f>'Cap Outlay Deprec 26'!C12</f>
        <v>3613814</v>
      </c>
      <c r="D2011" s="2" t="str">
        <f t="shared" si="30"/>
        <v>Error?</v>
      </c>
    </row>
    <row r="2012" spans="1:4" x14ac:dyDescent="0.2">
      <c r="A2012" s="5">
        <v>1951</v>
      </c>
      <c r="B2012" s="138">
        <f>'Cap Outlay Deprec 26'!C13</f>
        <v>646703</v>
      </c>
      <c r="D2012" s="2" t="str">
        <f t="shared" si="30"/>
        <v>Error?</v>
      </c>
    </row>
    <row r="2013" spans="1:4" x14ac:dyDescent="0.2">
      <c r="A2013" s="5">
        <v>1952</v>
      </c>
      <c r="B2013" s="138">
        <f>'Cap Outlay Deprec 26'!C16</f>
        <v>22497178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3118726</v>
      </c>
      <c r="D2015" s="2" t="str">
        <f t="shared" si="30"/>
        <v>Error?</v>
      </c>
    </row>
    <row r="2016" spans="1:4" x14ac:dyDescent="0.2">
      <c r="A2016" s="5">
        <v>1955</v>
      </c>
      <c r="B2016" s="138">
        <f>'Cap Outlay Deprec 26'!D10</f>
        <v>31775</v>
      </c>
      <c r="D2016" s="2" t="str">
        <f t="shared" si="30"/>
        <v>Error?</v>
      </c>
    </row>
    <row r="2017" spans="1:4" x14ac:dyDescent="0.2">
      <c r="A2017" s="5">
        <v>1956</v>
      </c>
      <c r="B2017" s="138">
        <f>'Cap Outlay Deprec 26'!D12</f>
        <v>134904</v>
      </c>
      <c r="D2017" s="2" t="str">
        <f t="shared" si="30"/>
        <v>Error?</v>
      </c>
    </row>
    <row r="2018" spans="1:4" x14ac:dyDescent="0.2">
      <c r="A2018" s="5">
        <v>1957</v>
      </c>
      <c r="B2018" s="138">
        <f>'Cap Outlay Deprec 26'!D13</f>
        <v>46240</v>
      </c>
      <c r="D2018" s="2" t="str">
        <f t="shared" si="30"/>
        <v>Error?</v>
      </c>
    </row>
    <row r="2019" spans="1:4" x14ac:dyDescent="0.2">
      <c r="A2019" s="5">
        <v>1958</v>
      </c>
      <c r="B2019" s="138">
        <f>'Cap Outlay Deprec 26'!D16</f>
        <v>6369980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3090640</v>
      </c>
      <c r="C2025" s="2" t="s">
        <v>573</v>
      </c>
      <c r="D2025" s="2" t="str">
        <f t="shared" si="30"/>
        <v>Error?</v>
      </c>
    </row>
    <row r="2026" spans="1:4" x14ac:dyDescent="0.2">
      <c r="A2026" s="5">
        <v>1965</v>
      </c>
      <c r="B2026" s="138">
        <f>'Cap Outlay Deprec 26'!F5</f>
        <v>7000</v>
      </c>
      <c r="C2026" s="2" t="s">
        <v>573</v>
      </c>
      <c r="D2026" s="2" t="str">
        <f t="shared" si="30"/>
        <v>Error?</v>
      </c>
    </row>
    <row r="2027" spans="1:4" x14ac:dyDescent="0.2">
      <c r="A2027" s="5">
        <v>1966</v>
      </c>
      <c r="B2027" s="138">
        <f>'Cap Outlay Deprec 26'!F8</f>
        <v>21010720</v>
      </c>
      <c r="C2027" s="2" t="s">
        <v>573</v>
      </c>
      <c r="D2027" s="2" t="str">
        <f t="shared" si="30"/>
        <v>Error?</v>
      </c>
    </row>
    <row r="2028" spans="1:4" x14ac:dyDescent="0.2">
      <c r="A2028" s="5">
        <v>1967</v>
      </c>
      <c r="B2028" s="138">
        <f>'Cap Outlay Deprec 26'!F10</f>
        <v>317137</v>
      </c>
      <c r="C2028" s="2" t="s">
        <v>573</v>
      </c>
      <c r="D2028" s="2" t="str">
        <f t="shared" si="30"/>
        <v>Error?</v>
      </c>
    </row>
    <row r="2029" spans="1:4" x14ac:dyDescent="0.2">
      <c r="A2029" s="5">
        <v>1968</v>
      </c>
      <c r="B2029" s="138">
        <f>'Cap Outlay Deprec 26'!F12</f>
        <v>3748718</v>
      </c>
      <c r="C2029" s="2" t="s">
        <v>573</v>
      </c>
      <c r="D2029" s="2" t="str">
        <f t="shared" si="30"/>
        <v>Error?</v>
      </c>
    </row>
    <row r="2030" spans="1:4" x14ac:dyDescent="0.2">
      <c r="A2030" s="5">
        <v>1969</v>
      </c>
      <c r="B2030" s="138">
        <f>'Cap Outlay Deprec 26'!F13</f>
        <v>692943</v>
      </c>
      <c r="C2030" s="2" t="s">
        <v>573</v>
      </c>
      <c r="D2030" s="2" t="str">
        <f t="shared" si="30"/>
        <v>Error?</v>
      </c>
    </row>
    <row r="2031" spans="1:4" x14ac:dyDescent="0.2">
      <c r="A2031" s="5">
        <v>1970</v>
      </c>
      <c r="B2031" s="138">
        <f>'Cap Outlay Deprec 26'!F16</f>
        <v>25776518</v>
      </c>
      <c r="C2031" s="2" t="s">
        <v>573</v>
      </c>
      <c r="D2031" s="2" t="str">
        <f t="shared" si="30"/>
        <v>Error?</v>
      </c>
    </row>
    <row r="2032" spans="1:4" x14ac:dyDescent="0.2">
      <c r="A2032" s="10">
        <v>1971</v>
      </c>
      <c r="D2032" s="2" t="str">
        <f t="shared" si="30"/>
        <v>OK</v>
      </c>
    </row>
    <row r="2033" spans="1:4" x14ac:dyDescent="0.2">
      <c r="A2033" s="5">
        <v>1972</v>
      </c>
      <c r="B2033" s="138">
        <f>'Cap Outlay Deprec 26'!H8</f>
        <v>6187376</v>
      </c>
      <c r="D2033" s="2" t="str">
        <f t="shared" si="30"/>
        <v>Error?</v>
      </c>
    </row>
    <row r="2034" spans="1:4" x14ac:dyDescent="0.2">
      <c r="A2034" s="5">
        <v>1973</v>
      </c>
      <c r="B2034" s="138">
        <f>'Cap Outlay Deprec 26'!H10</f>
        <v>214516</v>
      </c>
      <c r="D2034" s="2" t="str">
        <f t="shared" si="30"/>
        <v>Error?</v>
      </c>
    </row>
    <row r="2035" spans="1:4" x14ac:dyDescent="0.2">
      <c r="A2035" s="5">
        <v>1974</v>
      </c>
      <c r="B2035" s="138">
        <f>'Cap Outlay Deprec 26'!H12</f>
        <v>2934112</v>
      </c>
      <c r="D2035" s="2" t="str">
        <f t="shared" si="30"/>
        <v>Error?</v>
      </c>
    </row>
    <row r="2036" spans="1:4" x14ac:dyDescent="0.2">
      <c r="A2036" s="5">
        <v>1975</v>
      </c>
      <c r="B2036" s="138">
        <f>'Cap Outlay Deprec 26'!H13</f>
        <v>590403</v>
      </c>
      <c r="D2036" s="2" t="str">
        <f t="shared" si="30"/>
        <v>Error?</v>
      </c>
    </row>
    <row r="2037" spans="1:4" x14ac:dyDescent="0.2">
      <c r="A2037" s="5">
        <v>1976</v>
      </c>
      <c r="B2037" s="138">
        <f>'Cap Outlay Deprec 26'!H16</f>
        <v>9926407</v>
      </c>
      <c r="C2037" s="2" t="s">
        <v>573</v>
      </c>
      <c r="D2037" s="2" t="str">
        <f t="shared" si="30"/>
        <v>Error?</v>
      </c>
    </row>
    <row r="2038" spans="1:4" x14ac:dyDescent="0.2">
      <c r="A2038" s="10">
        <v>1977</v>
      </c>
      <c r="D2038" s="2" t="str">
        <f t="shared" si="30"/>
        <v>OK</v>
      </c>
    </row>
    <row r="2039" spans="1:4" x14ac:dyDescent="0.2">
      <c r="A2039" s="5">
        <v>1978</v>
      </c>
      <c r="B2039" s="138">
        <f>'Cap Outlay Deprec 26'!I8</f>
        <v>389055</v>
      </c>
      <c r="D2039" s="2" t="str">
        <f t="shared" si="30"/>
        <v>Error?</v>
      </c>
    </row>
    <row r="2040" spans="1:4" x14ac:dyDescent="0.2">
      <c r="A2040" s="5">
        <v>1979</v>
      </c>
      <c r="B2040" s="138">
        <f>'Cap Outlay Deprec 26'!I10</f>
        <v>4902</v>
      </c>
      <c r="D2040" s="2" t="str">
        <f t="shared" si="30"/>
        <v>Error?</v>
      </c>
    </row>
    <row r="2041" spans="1:4" x14ac:dyDescent="0.2">
      <c r="A2041" s="5">
        <v>1980</v>
      </c>
      <c r="B2041" s="138">
        <f>'Cap Outlay Deprec 26'!I12</f>
        <v>160692</v>
      </c>
      <c r="D2041" s="2" t="str">
        <f t="shared" si="30"/>
        <v>Error?</v>
      </c>
    </row>
    <row r="2042" spans="1:4" x14ac:dyDescent="0.2">
      <c r="A2042" s="5">
        <v>1981</v>
      </c>
      <c r="B2042" s="138">
        <f>'Cap Outlay Deprec 26'!I13</f>
        <v>32790</v>
      </c>
      <c r="D2042" s="2" t="str">
        <f t="shared" si="30"/>
        <v>Error?</v>
      </c>
    </row>
    <row r="2043" spans="1:4" x14ac:dyDescent="0.2">
      <c r="A2043" s="5">
        <v>1982</v>
      </c>
      <c r="B2043" s="138">
        <f>'Cap Outlay Deprec 26'!I16</f>
        <v>587439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6576431</v>
      </c>
      <c r="C2051" s="2" t="s">
        <v>573</v>
      </c>
      <c r="D2051" s="2" t="str">
        <f t="shared" si="31"/>
        <v>Error?</v>
      </c>
    </row>
    <row r="2052" spans="1:4" x14ac:dyDescent="0.2">
      <c r="A2052" s="5">
        <v>1991</v>
      </c>
      <c r="B2052" s="138">
        <f>'Cap Outlay Deprec 26'!K10</f>
        <v>219418</v>
      </c>
      <c r="C2052" s="2" t="s">
        <v>573</v>
      </c>
      <c r="D2052" s="2" t="str">
        <f t="shared" si="31"/>
        <v>Error?</v>
      </c>
    </row>
    <row r="2053" spans="1:4" x14ac:dyDescent="0.2">
      <c r="A2053" s="5">
        <v>1992</v>
      </c>
      <c r="B2053" s="138">
        <f>'Cap Outlay Deprec 26'!K12</f>
        <v>3094804</v>
      </c>
      <c r="C2053" s="2" t="s">
        <v>573</v>
      </c>
      <c r="D2053" s="2" t="str">
        <f t="shared" si="31"/>
        <v>Error?</v>
      </c>
    </row>
    <row r="2054" spans="1:4" x14ac:dyDescent="0.2">
      <c r="A2054" s="5">
        <v>1993</v>
      </c>
      <c r="B2054" s="138">
        <f>'Cap Outlay Deprec 26'!K13</f>
        <v>623193</v>
      </c>
      <c r="C2054" s="2" t="s">
        <v>573</v>
      </c>
      <c r="D2054" s="2" t="str">
        <f t="shared" si="31"/>
        <v>Error?</v>
      </c>
    </row>
    <row r="2055" spans="1:4" x14ac:dyDescent="0.2">
      <c r="A2055" s="5">
        <v>1994</v>
      </c>
      <c r="B2055" s="138">
        <f>'Cap Outlay Deprec 26'!K16</f>
        <v>10513846</v>
      </c>
      <c r="C2055" s="2" t="s">
        <v>573</v>
      </c>
      <c r="D2055" s="2" t="str">
        <f t="shared" si="31"/>
        <v>Error?</v>
      </c>
    </row>
    <row r="2056" spans="1:4" x14ac:dyDescent="0.2">
      <c r="A2056" s="5">
        <v>1995</v>
      </c>
      <c r="B2056" s="138">
        <f>'Cap Outlay Deprec 26'!L5</f>
        <v>7000</v>
      </c>
      <c r="C2056" s="2" t="s">
        <v>573</v>
      </c>
      <c r="D2056" s="2" t="str">
        <f t="shared" si="31"/>
        <v>Error?</v>
      </c>
    </row>
    <row r="2057" spans="1:4" x14ac:dyDescent="0.2">
      <c r="A2057" s="5">
        <v>1996</v>
      </c>
      <c r="B2057" s="138">
        <f>'Cap Outlay Deprec 26'!L8</f>
        <v>14434289</v>
      </c>
      <c r="C2057" s="2" t="s">
        <v>573</v>
      </c>
      <c r="D2057" s="2" t="str">
        <f t="shared" si="31"/>
        <v>Error?</v>
      </c>
    </row>
    <row r="2058" spans="1:4" x14ac:dyDescent="0.2">
      <c r="A2058" s="5">
        <v>1997</v>
      </c>
      <c r="B2058" s="138">
        <f>'Cap Outlay Deprec 26'!L10</f>
        <v>97719</v>
      </c>
      <c r="C2058" s="2" t="s">
        <v>573</v>
      </c>
      <c r="D2058" s="2" t="str">
        <f t="shared" si="31"/>
        <v>Error?</v>
      </c>
    </row>
    <row r="2059" spans="1:4" x14ac:dyDescent="0.2">
      <c r="A2059" s="5">
        <v>1998</v>
      </c>
      <c r="B2059" s="138">
        <f>'Cap Outlay Deprec 26'!L12</f>
        <v>653914</v>
      </c>
      <c r="C2059" s="2" t="s">
        <v>573</v>
      </c>
      <c r="D2059" s="2" t="str">
        <f t="shared" si="31"/>
        <v>Error?</v>
      </c>
    </row>
    <row r="2060" spans="1:4" x14ac:dyDescent="0.2">
      <c r="A2060" s="5">
        <v>1999</v>
      </c>
      <c r="B2060" s="138">
        <f>'Cap Outlay Deprec 26'!L13</f>
        <v>69750</v>
      </c>
      <c r="C2060" s="2" t="s">
        <v>573</v>
      </c>
      <c r="D2060" s="2" t="str">
        <f t="shared" si="31"/>
        <v>Error?</v>
      </c>
    </row>
    <row r="2061" spans="1:4" x14ac:dyDescent="0.2">
      <c r="A2061" s="5">
        <v>2000</v>
      </c>
      <c r="B2061" s="138">
        <f>'Cap Outlay Deprec 26'!L16</f>
        <v>15262672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117011</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117011</v>
      </c>
      <c r="C2088" s="2" t="s">
        <v>573</v>
      </c>
      <c r="D2088" s="2" t="str">
        <f t="shared" si="31"/>
        <v>Error?</v>
      </c>
    </row>
    <row r="2089" spans="1:4" x14ac:dyDescent="0.2">
      <c r="A2089" s="5">
        <v>2028</v>
      </c>
      <c r="B2089" s="138">
        <f>'Expenditures 15-22'!K92</f>
        <v>224401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3174253</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7778134</v>
      </c>
      <c r="C2551" s="2" t="s">
        <v>573</v>
      </c>
      <c r="D2551" s="2" t="str">
        <f t="shared" si="38"/>
        <v>Error?</v>
      </c>
    </row>
    <row r="2552" spans="1:4" x14ac:dyDescent="0.2">
      <c r="A2552" s="10">
        <v>2491</v>
      </c>
      <c r="D2552" s="2" t="str">
        <f t="shared" si="38"/>
        <v>OK</v>
      </c>
    </row>
    <row r="2553" spans="1:4" x14ac:dyDescent="0.2">
      <c r="A2553" s="5">
        <v>2492</v>
      </c>
      <c r="B2553" s="138">
        <f>'Acct Summary 7-8'!C6</f>
        <v>1924313</v>
      </c>
      <c r="C2553" s="2" t="s">
        <v>573</v>
      </c>
      <c r="D2553" s="2" t="str">
        <f t="shared" si="38"/>
        <v>Error?</v>
      </c>
    </row>
    <row r="2554" spans="1:4" x14ac:dyDescent="0.2">
      <c r="A2554" s="5">
        <v>2493</v>
      </c>
      <c r="B2554" s="138">
        <f>'Acct Summary 7-8'!C7</f>
        <v>792228</v>
      </c>
      <c r="C2554" s="2" t="s">
        <v>573</v>
      </c>
      <c r="D2554" s="2" t="str">
        <f t="shared" si="38"/>
        <v>Error?</v>
      </c>
    </row>
    <row r="2555" spans="1:4" x14ac:dyDescent="0.2">
      <c r="A2555" s="5">
        <v>2494</v>
      </c>
      <c r="B2555" s="138">
        <f>'Acct Summary 7-8'!C8</f>
        <v>10494675</v>
      </c>
      <c r="C2555" s="2" t="s">
        <v>573</v>
      </c>
      <c r="D2555" s="2" t="str">
        <f t="shared" si="38"/>
        <v>Error?</v>
      </c>
    </row>
    <row r="2556" spans="1:4" x14ac:dyDescent="0.2">
      <c r="A2556" s="5">
        <v>2495</v>
      </c>
      <c r="B2556" s="138">
        <f>'Acct Summary 7-8'!C12</f>
        <v>5792521</v>
      </c>
      <c r="C2556" s="2" t="s">
        <v>573</v>
      </c>
      <c r="D2556" s="2" t="str">
        <f t="shared" si="38"/>
        <v>Error?</v>
      </c>
    </row>
    <row r="2557" spans="1:4" x14ac:dyDescent="0.2">
      <c r="A2557" s="5">
        <v>2496</v>
      </c>
      <c r="B2557" s="138">
        <f>'Acct Summary 7-8'!C13</f>
        <v>2089915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341412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8223848</v>
      </c>
      <c r="C2561" s="2" t="s">
        <v>573</v>
      </c>
      <c r="D2561" s="2" t="str">
        <f t="shared" si="39"/>
        <v>Error?</v>
      </c>
    </row>
    <row r="2562" spans="1:4" x14ac:dyDescent="0.2">
      <c r="A2562" s="5">
        <v>2501</v>
      </c>
      <c r="B2562" s="138">
        <f>'Acct Summary 7-8'!C20</f>
        <v>2270827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997037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997037</v>
      </c>
      <c r="C2568" s="2" t="s">
        <v>573</v>
      </c>
      <c r="D2568" s="2" t="str">
        <f t="shared" si="39"/>
        <v>Error?</v>
      </c>
    </row>
    <row r="2569" spans="1:4" x14ac:dyDescent="0.2">
      <c r="A2569" s="5">
        <v>2508</v>
      </c>
      <c r="B2569" s="138">
        <f>'Acct Summary 7-8'!D13</f>
        <v>984691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984691</v>
      </c>
      <c r="C2573" s="2" t="s">
        <v>573</v>
      </c>
      <c r="D2573" s="2" t="str">
        <f t="shared" si="39"/>
        <v>Error?</v>
      </c>
    </row>
    <row r="2574" spans="1:4" x14ac:dyDescent="0.2">
      <c r="A2574" s="5">
        <v>2513</v>
      </c>
      <c r="B2574" s="138">
        <f>'Acct Summary 7-8'!D20</f>
        <v>12346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363933</v>
      </c>
      <c r="C2591" s="2" t="s">
        <v>573</v>
      </c>
      <c r="D2591" s="2" t="str">
        <f t="shared" si="39"/>
        <v>Error?</v>
      </c>
    </row>
    <row r="2592" spans="1:4" x14ac:dyDescent="0.2">
      <c r="A2592" s="10">
        <v>2531</v>
      </c>
      <c r="D2592" s="2" t="str">
        <f t="shared" si="39"/>
        <v>OK</v>
      </c>
    </row>
    <row r="2593" spans="1:4" x14ac:dyDescent="0.2">
      <c r="A2593" s="5">
        <v>2532</v>
      </c>
      <c r="B2593" s="138">
        <f>'Acct Summary 7-8'!F6</f>
        <v>248442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612375</v>
      </c>
      <c r="C2595" s="2" t="s">
        <v>573</v>
      </c>
      <c r="D2595" s="2" t="str">
        <f t="shared" si="39"/>
        <v>Error?</v>
      </c>
    </row>
    <row r="2596" spans="1:4" x14ac:dyDescent="0.2">
      <c r="A2596" s="5">
        <v>2535</v>
      </c>
      <c r="B2596" s="138">
        <f>'Acct Summary 7-8'!F13</f>
        <v>637351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637351</v>
      </c>
      <c r="C2600" s="2" t="s">
        <v>573</v>
      </c>
      <c r="D2600" s="2" t="str">
        <f t="shared" si="39"/>
        <v>Error?</v>
      </c>
    </row>
    <row r="2601" spans="1:4" x14ac:dyDescent="0.2">
      <c r="A2601" s="5">
        <v>2540</v>
      </c>
      <c r="B2601" s="138">
        <f>'Acct Summary 7-8'!F20</f>
        <v>-24976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516274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516274</v>
      </c>
      <c r="C2606" s="2" t="s">
        <v>573</v>
      </c>
      <c r="D2606" s="2" t="str">
        <f t="shared" si="39"/>
        <v>Error?</v>
      </c>
    </row>
    <row r="2607" spans="1:4" x14ac:dyDescent="0.2">
      <c r="A2607" s="5">
        <v>2546</v>
      </c>
      <c r="B2607" s="138">
        <f>'Acct Summary 7-8'!G12</f>
        <v>77471</v>
      </c>
      <c r="C2607" s="2" t="s">
        <v>573</v>
      </c>
      <c r="D2607" s="2" t="str">
        <f t="shared" si="39"/>
        <v>Error?</v>
      </c>
    </row>
    <row r="2608" spans="1:4" x14ac:dyDescent="0.2">
      <c r="A2608" s="5">
        <v>2547</v>
      </c>
      <c r="B2608" s="138">
        <f>'Acct Summary 7-8'!G13</f>
        <v>320274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397745</v>
      </c>
      <c r="C2612" s="2" t="s">
        <v>573</v>
      </c>
      <c r="D2612" s="2" t="str">
        <f t="shared" si="39"/>
        <v>Error?</v>
      </c>
    </row>
    <row r="2613" spans="1:4" x14ac:dyDescent="0.2">
      <c r="A2613" s="5">
        <v>2552</v>
      </c>
      <c r="B2613" s="138">
        <f>'Acct Summary 7-8'!G20</f>
        <v>118529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447857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447857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757667</v>
      </c>
      <c r="C2634" s="2" t="s">
        <v>573</v>
      </c>
      <c r="D2634" s="2" t="str">
        <f t="shared" si="40"/>
        <v>Error?</v>
      </c>
    </row>
    <row r="2635" spans="1:4" x14ac:dyDescent="0.2">
      <c r="A2635" s="5">
        <v>2574</v>
      </c>
      <c r="B2635" s="138">
        <f>'Acct Summary 7-8'!E17</f>
        <v>757667</v>
      </c>
      <c r="C2635" s="2" t="s">
        <v>573</v>
      </c>
      <c r="D2635" s="2" t="str">
        <f t="shared" si="40"/>
        <v>Error?</v>
      </c>
    </row>
    <row r="2636" spans="1:4" x14ac:dyDescent="0.2">
      <c r="A2636" s="5">
        <v>2575</v>
      </c>
      <c r="B2636" s="138">
        <f>'Acct Summary 7-8'!E20</f>
        <v>-309810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3082911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3082911</v>
      </c>
      <c r="C2661" s="2" t="s">
        <v>573</v>
      </c>
      <c r="D2661" s="2" t="str">
        <f t="shared" si="40"/>
        <v>Error?</v>
      </c>
    </row>
    <row r="2662" spans="1:4" x14ac:dyDescent="0.2">
      <c r="A2662" s="5">
        <v>2601</v>
      </c>
      <c r="B2662" s="138">
        <f>'Acct Summary 7-8'!H20</f>
        <v>-3082911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493012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493012</v>
      </c>
      <c r="D2912" s="2" t="str">
        <f t="shared" si="44"/>
        <v>Error?</v>
      </c>
    </row>
    <row r="2913" spans="1:4" x14ac:dyDescent="0.2">
      <c r="A2913" s="5">
        <v>2852</v>
      </c>
      <c r="B2913" s="138">
        <f>'Assets-Liab 5-6'!I41</f>
        <v>493012</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117011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117011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108243</v>
      </c>
      <c r="D3055" s="2" t="str">
        <f t="shared" si="46"/>
        <v>Error?</v>
      </c>
    </row>
    <row r="3056" spans="1:4" x14ac:dyDescent="0.2">
      <c r="A3056" s="5">
        <v>2995</v>
      </c>
      <c r="B3056" s="138">
        <f>'Expenditures 15-22'!D10</f>
        <v>1389</v>
      </c>
      <c r="D3056" s="2" t="str">
        <f t="shared" si="46"/>
        <v>Error?</v>
      </c>
    </row>
    <row r="3057" spans="1:4" x14ac:dyDescent="0.2">
      <c r="A3057" s="5">
        <v>2996</v>
      </c>
      <c r="B3057" s="138">
        <f>'Expenditures 15-22'!E10</f>
        <v>33733</v>
      </c>
      <c r="D3057" s="2" t="str">
        <f t="shared" si="46"/>
        <v>Error?</v>
      </c>
    </row>
    <row r="3058" spans="1:4" x14ac:dyDescent="0.2">
      <c r="A3058" s="5">
        <v>2997</v>
      </c>
      <c r="B3058" s="138">
        <f>'Expenditures 15-22'!F10</f>
        <v>207061</v>
      </c>
      <c r="D3058" s="2" t="str">
        <f t="shared" si="46"/>
        <v>Error?</v>
      </c>
    </row>
    <row r="3059" spans="1:4" x14ac:dyDescent="0.2">
      <c r="A3059" s="5">
        <v>2998</v>
      </c>
      <c r="B3059" s="138">
        <f>'Expenditures 15-22'!G10</f>
        <v>11055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361481</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65503</v>
      </c>
      <c r="C3225" s="2" t="s">
        <v>573</v>
      </c>
      <c r="D3225" s="2" t="str">
        <f t="shared" si="49"/>
        <v>Error?</v>
      </c>
    </row>
    <row r="3226" spans="1:4" x14ac:dyDescent="0.2">
      <c r="A3226" s="5">
        <v>3165</v>
      </c>
      <c r="B3226" s="138">
        <f>'Acct Summary 7-8'!I8</f>
        <v>65503</v>
      </c>
      <c r="C3226" s="2" t="s">
        <v>573</v>
      </c>
      <c r="D3226" s="2" t="str">
        <f t="shared" si="49"/>
        <v>Error?</v>
      </c>
    </row>
    <row r="3227" spans="1:4" x14ac:dyDescent="0.2">
      <c r="A3227" s="5">
        <v>3166</v>
      </c>
      <c r="B3227" s="138">
        <f>'Acct Summary 7-8'!I20</f>
        <v>65503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2270827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3174253</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3174253</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12346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-24976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118529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-309810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3174253</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3174253</v>
      </c>
      <c r="C3299" s="2" t="s">
        <v>573</v>
      </c>
      <c r="D3299" s="2" t="str">
        <f t="shared" si="50"/>
        <v>Error?</v>
      </c>
    </row>
    <row r="3300" spans="1:4" x14ac:dyDescent="0.2">
      <c r="A3300" s="5">
        <v>3239</v>
      </c>
      <c r="B3300" s="138">
        <f>'Acct Summary 7-8'!H78</f>
        <v>91342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6670350</v>
      </c>
      <c r="C3317" s="2" t="s">
        <v>573</v>
      </c>
      <c r="D3317" s="2" t="str">
        <f t="shared" si="50"/>
        <v>Error?</v>
      </c>
    </row>
    <row r="3318" spans="1:4" x14ac:dyDescent="0.2">
      <c r="A3318" s="5">
        <v>3257</v>
      </c>
      <c r="B3318" s="138">
        <f>'Acct Summary 7-8'!I76</f>
        <v>6666387</v>
      </c>
      <c r="C3318" s="2" t="s">
        <v>573</v>
      </c>
      <c r="D3318" s="2" t="str">
        <f t="shared" si="50"/>
        <v>Error?</v>
      </c>
    </row>
    <row r="3319" spans="1:4" x14ac:dyDescent="0.2">
      <c r="A3319" s="5">
        <v>3258</v>
      </c>
      <c r="B3319" s="138">
        <f>'Acct Summary 7-8'!I77</f>
        <v>3963</v>
      </c>
      <c r="C3319" s="2" t="s">
        <v>573</v>
      </c>
      <c r="D3319" s="2" t="str">
        <f t="shared" si="50"/>
        <v>Error?</v>
      </c>
    </row>
    <row r="3320" spans="1:4" x14ac:dyDescent="0.2">
      <c r="A3320" s="5">
        <v>3259</v>
      </c>
      <c r="B3320" s="138">
        <f>'Acct Summary 7-8'!I78</f>
        <v>69466</v>
      </c>
      <c r="C3320" s="2" t="s">
        <v>573</v>
      </c>
      <c r="D3320" s="2" t="str">
        <f t="shared" si="50"/>
        <v>Error?</v>
      </c>
    </row>
    <row r="3321" spans="1:4" x14ac:dyDescent="0.2">
      <c r="A3321" s="5">
        <v>3260</v>
      </c>
      <c r="B3321" s="138">
        <f>'Acct Summary 7-8'!I79</f>
        <v>423546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493012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1010024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197957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4579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19899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1232459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41453</v>
      </c>
      <c r="D3387" s="2" t="str">
        <f t="shared" si="51"/>
        <v>Error?</v>
      </c>
    </row>
    <row r="3388" spans="1:4" x14ac:dyDescent="0.2">
      <c r="A3388" s="5">
        <v>3327</v>
      </c>
      <c r="B3388" s="138">
        <f>'Expenditures 15-22'!D217</f>
        <v>26762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41453</v>
      </c>
      <c r="C3390" s="2" t="s">
        <v>573</v>
      </c>
      <c r="D3390" s="2" t="str">
        <f t="shared" si="51"/>
        <v>Error?</v>
      </c>
    </row>
    <row r="3391" spans="1:4" x14ac:dyDescent="0.2">
      <c r="A3391" s="5">
        <v>3330</v>
      </c>
      <c r="B3391" s="138">
        <f>'Expenditures 15-22'!K217</f>
        <v>26762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14919534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168234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v>
      </c>
      <c r="D3417" s="2" t="str">
        <f t="shared" si="52"/>
        <v>Error?</v>
      </c>
    </row>
    <row r="3418" spans="1:4" x14ac:dyDescent="0.2">
      <c r="A3418" s="10">
        <v>3357</v>
      </c>
      <c r="D3418" s="2" t="str">
        <f t="shared" si="52"/>
        <v>OK</v>
      </c>
    </row>
    <row r="3419" spans="1:4" x14ac:dyDescent="0.2">
      <c r="A3419" s="5">
        <v>3358</v>
      </c>
      <c r="B3419" s="138">
        <f>'Assets-Liab 5-6'!F4</f>
        <v>161230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121771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91342</v>
      </c>
      <c r="D3425" s="2" t="str">
        <f t="shared" si="52"/>
        <v>Error?</v>
      </c>
    </row>
    <row r="3426" spans="1:4" x14ac:dyDescent="0.2">
      <c r="A3426" s="10">
        <v>3365</v>
      </c>
      <c r="D3426" s="2" t="str">
        <f t="shared" si="52"/>
        <v>OK</v>
      </c>
    </row>
    <row r="3427" spans="1:4" x14ac:dyDescent="0.2">
      <c r="A3427" s="5">
        <v>3366</v>
      </c>
      <c r="B3427" s="138">
        <f>'Assets-Liab 5-6'!I4</f>
        <v>493012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-8870</v>
      </c>
      <c r="C3446" s="2" t="s">
        <v>573</v>
      </c>
      <c r="D3446" s="2" t="str">
        <f t="shared" si="52"/>
        <v>Error?</v>
      </c>
    </row>
    <row r="3447" spans="1:4" x14ac:dyDescent="0.2">
      <c r="A3447" s="5">
        <v>3386</v>
      </c>
      <c r="B3447" s="138">
        <f>'Tax Sched 23'!D16</f>
        <v>-8870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52305</v>
      </c>
      <c r="D3451" s="2" t="str">
        <f t="shared" si="52"/>
        <v>Error?</v>
      </c>
    </row>
    <row r="3452" spans="1:4" x14ac:dyDescent="0.2">
      <c r="A3452" s="5">
        <v>3391</v>
      </c>
      <c r="B3452" s="138">
        <f>'Cap Outlay Deprec 26'!D15</f>
        <v>3038335</v>
      </c>
      <c r="D3452" s="2" t="str">
        <f t="shared" si="52"/>
        <v>Error?</v>
      </c>
    </row>
    <row r="3453" spans="1:4" x14ac:dyDescent="0.2">
      <c r="A3453" s="5">
        <v>3392</v>
      </c>
      <c r="B3453" s="138">
        <f>'Cap Outlay Deprec 26'!E15</f>
        <v>3090640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81168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81168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81168</v>
      </c>
      <c r="D3567" s="2" t="str">
        <f t="shared" si="54"/>
        <v>Error?</v>
      </c>
    </row>
    <row r="3568" spans="1:4" x14ac:dyDescent="0.2">
      <c r="A3568" s="5">
        <v>3507</v>
      </c>
      <c r="B3568" s="138">
        <f>'Assets-Liab 5-6'!K41</f>
        <v>81168</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81168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81168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245934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3366602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13861277</v>
      </c>
      <c r="C4122" s="2" t="s">
        <v>573</v>
      </c>
      <c r="D4122" s="2" t="str">
        <f t="shared" si="63"/>
        <v>Error?</v>
      </c>
    </row>
    <row r="4123" spans="1:4" x14ac:dyDescent="0.2">
      <c r="A4123" s="5">
        <v>4062</v>
      </c>
      <c r="B4123" s="138">
        <f>'Acct Summary 7-8'!D10</f>
        <v>997037</v>
      </c>
      <c r="C4123" s="2" t="s">
        <v>573</v>
      </c>
      <c r="D4123" s="2" t="str">
        <f t="shared" si="63"/>
        <v>Error?</v>
      </c>
    </row>
    <row r="4124" spans="1:4" x14ac:dyDescent="0.2">
      <c r="A4124" s="5">
        <v>4063</v>
      </c>
      <c r="B4124" s="138">
        <f>'Acct Summary 7-8'!E10</f>
        <v>447857</v>
      </c>
      <c r="C4124" s="2" t="s">
        <v>573</v>
      </c>
      <c r="D4124" s="2" t="str">
        <f t="shared" si="63"/>
        <v>Error?</v>
      </c>
    </row>
    <row r="4125" spans="1:4" x14ac:dyDescent="0.2">
      <c r="A4125" s="5">
        <v>4064</v>
      </c>
      <c r="B4125" s="138">
        <f>'Acct Summary 7-8'!F10</f>
        <v>612375</v>
      </c>
      <c r="C4125" s="2" t="s">
        <v>573</v>
      </c>
      <c r="D4125" s="2" t="str">
        <f t="shared" si="63"/>
        <v>Error?</v>
      </c>
    </row>
    <row r="4126" spans="1:4" x14ac:dyDescent="0.2">
      <c r="A4126" s="5">
        <v>4065</v>
      </c>
      <c r="B4126" s="138">
        <f>'Acct Summary 7-8'!G10</f>
        <v>516274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65503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3366602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11590450</v>
      </c>
      <c r="C4136" s="2" t="s">
        <v>573</v>
      </c>
      <c r="D4136" s="2" t="str">
        <f t="shared" si="63"/>
        <v>Error?</v>
      </c>
    </row>
    <row r="4137" spans="1:4" x14ac:dyDescent="0.2">
      <c r="A4137" s="5">
        <v>4076</v>
      </c>
      <c r="B4137" s="138">
        <f>'Acct Summary 7-8'!D19</f>
        <v>984691</v>
      </c>
      <c r="C4137" s="2" t="s">
        <v>573</v>
      </c>
      <c r="D4137" s="2" t="str">
        <f t="shared" si="63"/>
        <v>Error?</v>
      </c>
    </row>
    <row r="4138" spans="1:4" x14ac:dyDescent="0.2">
      <c r="A4138" s="5">
        <v>4077</v>
      </c>
      <c r="B4138" s="138">
        <f>'Acct Summary 7-8'!E19</f>
        <v>757667</v>
      </c>
      <c r="C4138" s="2" t="s">
        <v>573</v>
      </c>
      <c r="D4138" s="2" t="str">
        <f t="shared" si="63"/>
        <v>Error?</v>
      </c>
    </row>
    <row r="4139" spans="1:4" x14ac:dyDescent="0.2">
      <c r="A4139" s="5">
        <v>4078</v>
      </c>
      <c r="B4139" s="138">
        <f>'Acct Summary 7-8'!F19</f>
        <v>637351</v>
      </c>
      <c r="C4139" s="2" t="s">
        <v>573</v>
      </c>
      <c r="D4139" s="2" t="str">
        <f t="shared" si="63"/>
        <v>Error?</v>
      </c>
    </row>
    <row r="4140" spans="1:4" x14ac:dyDescent="0.2">
      <c r="A4140" s="5">
        <v>4079</v>
      </c>
      <c r="B4140" s="138">
        <f>'Acct Summary 7-8'!G19</f>
        <v>397745</v>
      </c>
      <c r="C4140" s="2" t="s">
        <v>573</v>
      </c>
      <c r="D4140" s="2" t="str">
        <f t="shared" si="63"/>
        <v>Error?</v>
      </c>
    </row>
    <row r="4141" spans="1:4" x14ac:dyDescent="0.2">
      <c r="A4141" s="5">
        <v>4080</v>
      </c>
      <c r="B4141" s="138">
        <f>'Acct Summary 7-8'!H19</f>
        <v>3082911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5625000</v>
      </c>
      <c r="C4171" s="2" t="s">
        <v>573</v>
      </c>
      <c r="D4171" s="2" t="str">
        <f t="shared" si="64"/>
        <v>Error?</v>
      </c>
    </row>
    <row r="4172" spans="1:4" x14ac:dyDescent="0.2">
      <c r="A4172" s="5">
        <v>4111</v>
      </c>
      <c r="B4172" s="138">
        <f>'Short-Term Long-Term Debt 24'!J49</f>
        <v>5624986</v>
      </c>
      <c r="C4172" s="2" t="s">
        <v>573</v>
      </c>
      <c r="D4172" s="2" t="str">
        <f t="shared" si="64"/>
        <v>Error?</v>
      </c>
    </row>
    <row r="4173" spans="1:4" x14ac:dyDescent="0.2">
      <c r="A4173" s="5">
        <v>4112</v>
      </c>
      <c r="B4173" s="138">
        <f>'Short-Term Long-Term Debt 24'!H49</f>
        <v>510000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-3255000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3671.4999999999995</v>
      </c>
      <c r="C4265" s="2" t="s">
        <v>573</v>
      </c>
      <c r="D4265" s="2" t="str">
        <f t="shared" si="65"/>
        <v>Error?</v>
      </c>
      <c r="E4265" s="128"/>
    </row>
    <row r="4266" spans="1:5" x14ac:dyDescent="0.2">
      <c r="A4266" s="12">
        <v>4205</v>
      </c>
      <c r="B4266" s="138">
        <f>('FP Info 3'!F10)*100000</f>
        <v>531.29999999999995</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4203</v>
      </c>
      <c r="C4268" s="2" t="s">
        <v>573</v>
      </c>
      <c r="D4268" s="2" t="str">
        <f t="shared" si="65"/>
        <v>Error?</v>
      </c>
    </row>
    <row r="4269" spans="1:5" x14ac:dyDescent="0.2">
      <c r="A4269" s="12">
        <v>4208</v>
      </c>
      <c r="B4269" s="138">
        <f>'FP Info 3'!J16</f>
        <v>15737345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15202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60537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25597</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34862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8574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58878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194712283</v>
      </c>
      <c r="D4995" s="2" t="str">
        <f t="shared" si="77"/>
        <v>Error?</v>
      </c>
    </row>
    <row r="4996" spans="1:4" x14ac:dyDescent="0.2">
      <c r="A4996" s="12">
        <v>4935</v>
      </c>
      <c r="B4996" s="138">
        <f>'FP Info 3'!H31</f>
        <v>13435147.527000001</v>
      </c>
      <c r="D4996" s="2" t="str">
        <f t="shared" si="77"/>
        <v>Error?</v>
      </c>
    </row>
    <row r="4997" spans="1:4" x14ac:dyDescent="0.2">
      <c r="A4997" s="12">
        <v>4936</v>
      </c>
      <c r="B4997" s="138">
        <f>'FP Info 3'!H37</f>
        <v>5625000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6665939</v>
      </c>
      <c r="D5061" s="2" t="str">
        <f t="shared" si="78"/>
        <v>Error?</v>
      </c>
    </row>
    <row r="5062" spans="1:4" x14ac:dyDescent="0.2">
      <c r="A5062" s="10">
        <v>5001</v>
      </c>
      <c r="D5062" s="2" t="str">
        <f t="shared" si="78"/>
        <v>OK</v>
      </c>
    </row>
    <row r="5063" spans="1:4" x14ac:dyDescent="0.2">
      <c r="A5063" s="5">
        <v>5002</v>
      </c>
      <c r="B5063" s="138">
        <f>'Revenues 9-14'!C7</f>
        <v>662275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7328214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289292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289292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57375</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2511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2511</v>
      </c>
      <c r="C5102" s="2" t="s">
        <v>573</v>
      </c>
      <c r="D5102" s="2" t="str">
        <f t="shared" si="78"/>
        <v>Error?</v>
      </c>
    </row>
    <row r="5103" spans="1:4" x14ac:dyDescent="0.2">
      <c r="A5103" s="5">
        <v>5042</v>
      </c>
      <c r="B5103" s="138">
        <f>'Revenues 9-14'!C84</f>
        <v>17233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17233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933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49059</v>
      </c>
      <c r="D5118" s="2" t="str">
        <f t="shared" si="78"/>
        <v>Error?</v>
      </c>
    </row>
    <row r="5119" spans="1:4" x14ac:dyDescent="0.2">
      <c r="A5119" s="5">
        <v>5058</v>
      </c>
      <c r="B5119" s="138">
        <f>'Revenues 9-14'!C107</f>
        <v>24943</v>
      </c>
      <c r="D5119" s="2" t="str">
        <f t="shared" ref="D5119:D5182" si="79">IF(ISBLANK(B5119),"OK",IF(A5119-B5119=0,"OK","Error?"))</f>
        <v>Error?</v>
      </c>
    </row>
    <row r="5120" spans="1:4" x14ac:dyDescent="0.2">
      <c r="A5120" s="5">
        <v>5059</v>
      </c>
      <c r="B5120" s="138">
        <f>'Revenues 9-14'!C108</f>
        <v>83509</v>
      </c>
      <c r="C5120" s="2" t="s">
        <v>573</v>
      </c>
      <c r="D5120" s="2" t="str">
        <f t="shared" si="79"/>
        <v>Error?</v>
      </c>
    </row>
    <row r="5121" spans="1:4" x14ac:dyDescent="0.2">
      <c r="A5121" s="5">
        <v>5060</v>
      </c>
      <c r="B5121" s="138">
        <f>'Revenues 9-14'!C109</f>
        <v>7778134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1621032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1621032</v>
      </c>
      <c r="C5132" s="2" t="s">
        <v>573</v>
      </c>
      <c r="D5132" s="2" t="str">
        <f t="shared" si="79"/>
        <v>Error?</v>
      </c>
    </row>
    <row r="5133" spans="1:4" x14ac:dyDescent="0.2">
      <c r="A5133" s="5">
        <v>5072</v>
      </c>
      <c r="B5133" s="138">
        <f>'Revenues 9-14'!C125</f>
        <v>57930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57930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4612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181861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303281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1924313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190650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57892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248542</v>
      </c>
      <c r="C5246" s="2" t="s">
        <v>573</v>
      </c>
      <c r="D5246" s="2" t="str">
        <f t="shared" si="80"/>
        <v>Error?</v>
      </c>
    </row>
    <row r="5247" spans="1:4" x14ac:dyDescent="0.2">
      <c r="A5247" s="5">
        <v>5186</v>
      </c>
      <c r="B5247" s="138">
        <f>'Revenues 9-14'!C200</f>
        <v>305185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305185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1512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92466</v>
      </c>
      <c r="D5278" s="2" t="str">
        <f t="shared" si="81"/>
        <v>Error?</v>
      </c>
    </row>
    <row r="5279" spans="1:4" x14ac:dyDescent="0.2">
      <c r="A5279" s="5">
        <v>5218</v>
      </c>
      <c r="B5279" s="138">
        <f>'Revenues 9-14'!C214</f>
        <v>8325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102303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792228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792228</v>
      </c>
      <c r="C5326" s="2" t="s">
        <v>573</v>
      </c>
      <c r="D5326" s="2" t="str">
        <f t="shared" si="82"/>
        <v>Error?</v>
      </c>
    </row>
    <row r="5327" spans="1:5" x14ac:dyDescent="0.2">
      <c r="A5327" s="5">
        <v>5266</v>
      </c>
      <c r="B5327" s="138">
        <f>'Revenues 9-14'!C268</f>
        <v>10494675</v>
      </c>
      <c r="C5327" s="2" t="s">
        <v>573</v>
      </c>
      <c r="D5327" s="2" t="str">
        <f t="shared" si="82"/>
        <v>Error?</v>
      </c>
    </row>
    <row r="5328" spans="1:5" x14ac:dyDescent="0.2">
      <c r="A5328" s="5">
        <v>5267</v>
      </c>
      <c r="B5328" s="138">
        <f>'Revenues 9-14'!D5</f>
        <v>974033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974033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82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22922</v>
      </c>
      <c r="D5354" s="2" t="str">
        <f t="shared" si="82"/>
        <v>Error?</v>
      </c>
    </row>
    <row r="5355" spans="1:4" x14ac:dyDescent="0.2">
      <c r="A5355" s="5">
        <v>5294</v>
      </c>
      <c r="B5355" s="138">
        <f>'Revenues 9-14'!D108</f>
        <v>22922</v>
      </c>
      <c r="C5355" s="2" t="s">
        <v>573</v>
      </c>
      <c r="D5355" s="2" t="str">
        <f t="shared" si="82"/>
        <v>Error?</v>
      </c>
    </row>
    <row r="5356" spans="1:4" x14ac:dyDescent="0.2">
      <c r="A5356" s="5">
        <v>5295</v>
      </c>
      <c r="B5356" s="138">
        <f>'Revenues 9-14'!D109</f>
        <v>997037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997037</v>
      </c>
      <c r="C5508" s="2" t="s">
        <v>573</v>
      </c>
      <c r="D5508" s="2" t="str">
        <f t="shared" si="85"/>
        <v>Error?</v>
      </c>
    </row>
    <row r="5509" spans="1:4" x14ac:dyDescent="0.2">
      <c r="A5509" s="5">
        <v>5448</v>
      </c>
      <c r="B5509" s="138">
        <f>'Revenues 9-14'!E5</f>
        <v>433795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433795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14062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14062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447857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447857</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281988</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81945</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363933</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363933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5920</v>
      </c>
      <c r="D5615" s="2" t="str">
        <f t="shared" si="86"/>
        <v>Error?</v>
      </c>
    </row>
    <row r="5616" spans="1:4" x14ac:dyDescent="0.2">
      <c r="A5616" s="10">
        <v>5555</v>
      </c>
      <c r="D5616" s="2" t="str">
        <f t="shared" si="86"/>
        <v>OK</v>
      </c>
    </row>
    <row r="5617" spans="1:5" x14ac:dyDescent="0.2">
      <c r="A5617" s="5">
        <v>5556</v>
      </c>
      <c r="B5617" s="138">
        <f>'Revenues 9-14'!F153</f>
        <v>242522</v>
      </c>
      <c r="D5617" s="2" t="str">
        <f t="shared" si="86"/>
        <v>Error?</v>
      </c>
    </row>
    <row r="5618" spans="1:5" x14ac:dyDescent="0.2">
      <c r="A5618" s="5">
        <v>5557</v>
      </c>
      <c r="B5618" s="138">
        <f>'Revenues 9-14'!F155</f>
        <v>248442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248442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248442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612375</v>
      </c>
      <c r="C5720" s="2" t="s">
        <v>573</v>
      </c>
      <c r="D5720" s="2" t="str">
        <f t="shared" si="88"/>
        <v>Error?</v>
      </c>
    </row>
    <row r="5721" spans="1:4" x14ac:dyDescent="0.2">
      <c r="A5721" s="5">
        <v>5660</v>
      </c>
      <c r="B5721" s="138">
        <f>'Revenues 9-14'!G5</f>
        <v>-8870</v>
      </c>
      <c r="D5721" s="2" t="str">
        <f t="shared" si="88"/>
        <v>Error?</v>
      </c>
    </row>
    <row r="5722" spans="1:4" x14ac:dyDescent="0.2">
      <c r="A5722" s="5">
        <v>5661</v>
      </c>
      <c r="B5722" s="138">
        <f>'Revenues 9-14'!G7</f>
        <v>0</v>
      </c>
      <c r="D5722" s="2" t="str">
        <f t="shared" si="88"/>
        <v>Error?</v>
      </c>
    </row>
    <row r="5723" spans="1:4" x14ac:dyDescent="0.2">
      <c r="A5723" s="5">
        <v>5662</v>
      </c>
      <c r="B5723" s="138">
        <f>'Revenues 9-14'!G8</f>
        <v>-8870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-17740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534014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534014</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516274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65496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65496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65503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516274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65503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57375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19437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569.79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669876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669876</v>
      </c>
      <c r="D6215" s="2" t="str">
        <f t="shared" si="96"/>
        <v>Error?</v>
      </c>
      <c r="E6215" s="2" t="s">
        <v>190</v>
      </c>
    </row>
    <row r="6216" spans="1:5" x14ac:dyDescent="0.2">
      <c r="A6216">
        <v>6155</v>
      </c>
      <c r="B6216" s="138">
        <f>'Assets-Liab 5-6'!J41</f>
        <v>669876</v>
      </c>
      <c r="D6216" s="2" t="str">
        <f t="shared" si="96"/>
        <v>Error?</v>
      </c>
      <c r="E6216" s="2" t="s">
        <v>190</v>
      </c>
    </row>
    <row r="6217" spans="1:5" x14ac:dyDescent="0.2">
      <c r="A6217">
        <v>6156</v>
      </c>
      <c r="B6217" s="138">
        <f>'Assets-Liab 5-6'!J4</f>
        <v>669876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8196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8196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8196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80220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80220</v>
      </c>
      <c r="D6229" s="2" t="str">
        <f t="shared" si="96"/>
        <v>Error?</v>
      </c>
      <c r="E6229" s="2" t="s">
        <v>190</v>
      </c>
    </row>
    <row r="6230" spans="1:5" x14ac:dyDescent="0.2">
      <c r="A6230">
        <v>6169</v>
      </c>
      <c r="B6230" s="138">
        <f>'Acct Summary 7-8'!J20</f>
        <v>-72024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3492134</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-72024</v>
      </c>
      <c r="D6263" s="2" t="str">
        <f t="shared" si="96"/>
        <v>Error?</v>
      </c>
      <c r="E6263" s="2" t="s">
        <v>190</v>
      </c>
    </row>
    <row r="6264" spans="1:5" x14ac:dyDescent="0.2">
      <c r="A6264">
        <v>6203</v>
      </c>
      <c r="B6264" s="138">
        <f>'Acct Summary 7-8'!J79</f>
        <v>741900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669876</v>
      </c>
      <c r="D6266" s="2" t="str">
        <f t="shared" si="96"/>
        <v>Error?</v>
      </c>
      <c r="E6266" s="2" t="s">
        <v>190</v>
      </c>
    </row>
    <row r="6267" spans="1:5" x14ac:dyDescent="0.2">
      <c r="A6267">
        <v>6206</v>
      </c>
      <c r="B6267" s="138">
        <f>'Acct Summary 7-8'!C82</f>
        <v>2270827</v>
      </c>
      <c r="D6267" s="2" t="str">
        <f t="shared" si="96"/>
        <v>Error?</v>
      </c>
      <c r="E6267" s="2" t="s">
        <v>190</v>
      </c>
    </row>
    <row r="6268" spans="1:5" x14ac:dyDescent="0.2">
      <c r="A6268">
        <v>6207</v>
      </c>
      <c r="B6268" s="138">
        <f>'Acct Summary 7-8'!D82</f>
        <v>12346</v>
      </c>
      <c r="D6268" s="2" t="str">
        <f t="shared" si="96"/>
        <v>Error?</v>
      </c>
      <c r="E6268" s="2" t="s">
        <v>190</v>
      </c>
    </row>
    <row r="6269" spans="1:5" x14ac:dyDescent="0.2">
      <c r="A6269">
        <v>6208</v>
      </c>
      <c r="B6269" s="138">
        <f>'Acct Summary 7-8'!E82</f>
        <v>-309810</v>
      </c>
      <c r="D6269" s="2" t="str">
        <f t="shared" si="96"/>
        <v>Error?</v>
      </c>
      <c r="E6269" s="2" t="s">
        <v>190</v>
      </c>
    </row>
    <row r="6270" spans="1:5" x14ac:dyDescent="0.2">
      <c r="A6270">
        <v>6209</v>
      </c>
      <c r="B6270" s="138">
        <f>'Acct Summary 7-8'!F82</f>
        <v>-24976</v>
      </c>
      <c r="D6270" s="2" t="str">
        <f t="shared" si="96"/>
        <v>Error?</v>
      </c>
      <c r="E6270" s="2" t="s">
        <v>190</v>
      </c>
    </row>
    <row r="6271" spans="1:5" x14ac:dyDescent="0.2">
      <c r="A6271">
        <v>6210</v>
      </c>
      <c r="B6271" s="138">
        <f>'Acct Summary 7-8'!G82</f>
        <v>118529</v>
      </c>
      <c r="D6271" s="2" t="str">
        <f t="shared" ref="D6271:D6334" si="97">IF(ISBLANK(B6271),"OK",IF(A6271-B6271=0,"OK","Error?"))</f>
        <v>Error?</v>
      </c>
      <c r="E6271" s="2" t="s">
        <v>190</v>
      </c>
    </row>
    <row r="6272" spans="1:5" x14ac:dyDescent="0.2">
      <c r="A6272">
        <v>6211</v>
      </c>
      <c r="B6272" s="138">
        <f>'Acct Summary 7-8'!H82</f>
        <v>91342</v>
      </c>
      <c r="D6272" s="2" t="str">
        <f t="shared" si="97"/>
        <v>Error?</v>
      </c>
      <c r="E6272" s="2" t="s">
        <v>190</v>
      </c>
    </row>
    <row r="6273" spans="1:5" x14ac:dyDescent="0.2">
      <c r="A6273">
        <v>6212</v>
      </c>
      <c r="B6273" s="138">
        <f>'Acct Summary 7-8'!I82</f>
        <v>69466</v>
      </c>
      <c r="D6273" s="2" t="str">
        <f t="shared" si="97"/>
        <v>Error?</v>
      </c>
      <c r="E6273" s="2" t="s">
        <v>190</v>
      </c>
    </row>
    <row r="6274" spans="1:5" x14ac:dyDescent="0.2">
      <c r="A6274">
        <v>6213</v>
      </c>
      <c r="B6274" s="138">
        <f>'Acct Summary 7-8'!J82</f>
        <v>-72024</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0.15225256085051769</v>
      </c>
      <c r="D6276" s="2" t="str">
        <f t="shared" si="97"/>
        <v>Error?</v>
      </c>
      <c r="E6276" s="2" t="s">
        <v>190</v>
      </c>
    </row>
    <row r="6277" spans="1:5" x14ac:dyDescent="0.2">
      <c r="A6277">
        <v>6216</v>
      </c>
      <c r="B6277" s="138">
        <f>'Acct Summary 7-8'!D83</f>
        <v>7.3385879192077702E-2</v>
      </c>
      <c r="D6277" s="2" t="str">
        <f t="shared" si="97"/>
        <v>Error?</v>
      </c>
      <c r="E6277" s="2" t="s">
        <v>190</v>
      </c>
    </row>
    <row r="6278" spans="1:5" x14ac:dyDescent="0.2">
      <c r="A6278">
        <v>6217</v>
      </c>
      <c r="B6278" s="138">
        <f>'Acct Summary 7-8'!E83</f>
        <v>-22129.285714285714</v>
      </c>
      <c r="D6278" s="2" t="str">
        <f t="shared" si="97"/>
        <v>Error?</v>
      </c>
      <c r="E6278" s="2" t="s">
        <v>190</v>
      </c>
    </row>
    <row r="6279" spans="1:5" x14ac:dyDescent="0.2">
      <c r="A6279">
        <v>6218</v>
      </c>
      <c r="B6279" s="138">
        <f>'Acct Summary 7-8'!F83</f>
        <v>-0.15490913601687031</v>
      </c>
      <c r="D6279" s="2" t="str">
        <f t="shared" si="97"/>
        <v>Error?</v>
      </c>
      <c r="E6279" s="2" t="s">
        <v>190</v>
      </c>
    </row>
    <row r="6280" spans="1:5" x14ac:dyDescent="0.2">
      <c r="A6280">
        <v>6219</v>
      </c>
      <c r="B6280" s="138">
        <f>'Acct Summary 7-8'!G83</f>
        <v>0.97337625543027484</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0.14090123566972002</v>
      </c>
      <c r="D6282" s="2" t="str">
        <f t="shared" si="97"/>
        <v>Error?</v>
      </c>
      <c r="E6282" s="2" t="s">
        <v>190</v>
      </c>
    </row>
    <row r="6283" spans="1:5" x14ac:dyDescent="0.2">
      <c r="A6283">
        <v>6222</v>
      </c>
      <c r="B6283" s="138">
        <f>'Acct Summary 7-8'!J83</f>
        <v>-0.10751840639163068</v>
      </c>
      <c r="D6283" s="2" t="str">
        <f t="shared" si="97"/>
        <v>Error?</v>
      </c>
      <c r="E6283" s="2" t="s">
        <v>190</v>
      </c>
    </row>
    <row r="6284" spans="1:5" x14ac:dyDescent="0.2">
      <c r="A6284">
        <v>6223</v>
      </c>
      <c r="B6284" s="138">
        <f>'Acct Summary 7-8'!K83</f>
        <v>0</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3174253</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8196</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8196</v>
      </c>
      <c r="D6351" s="2" t="str">
        <f t="shared" si="98"/>
        <v>Error?</v>
      </c>
      <c r="E6351" s="2" t="s">
        <v>190</v>
      </c>
    </row>
    <row r="6352" spans="1:5" x14ac:dyDescent="0.2">
      <c r="A6352">
        <v>6291</v>
      </c>
      <c r="B6352" s="138">
        <f>'Revenues 9-14'!J109</f>
        <v>8196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108711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193302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321293</v>
      </c>
      <c r="D6880" s="2" t="str">
        <f t="shared" si="106"/>
        <v>Error?</v>
      </c>
    </row>
    <row r="6881" spans="1:4" x14ac:dyDescent="0.2">
      <c r="A6881">
        <v>6820</v>
      </c>
      <c r="B6881" s="138">
        <f>'Expenditures 15-22'!K22</f>
        <v>321293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224401</v>
      </c>
      <c r="D6983" s="2" t="str">
        <f t="shared" si="108"/>
        <v>Error?</v>
      </c>
    </row>
    <row r="6984" spans="1:4" x14ac:dyDescent="0.2">
      <c r="A6984">
        <v>6923</v>
      </c>
      <c r="B6984" s="138">
        <f>'Expenditures 15-22'!K86</f>
        <v>224401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224401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80220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8196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6544</v>
      </c>
      <c r="D7073" s="2" t="str">
        <f t="shared" si="109"/>
        <v>Error?</v>
      </c>
    </row>
    <row r="7074" spans="1:4" x14ac:dyDescent="0.2">
      <c r="A7074">
        <v>7013</v>
      </c>
      <c r="B7074" s="138">
        <f>'Expenditures 15-22'!K216</f>
        <v>6544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53899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53899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26321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26321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80220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80220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80220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80220</v>
      </c>
      <c r="D7224" s="2" t="str">
        <f t="shared" si="111"/>
        <v>Error?</v>
      </c>
    </row>
    <row r="7225" spans="1:4" x14ac:dyDescent="0.2">
      <c r="A7225">
        <v>7164</v>
      </c>
      <c r="B7225" s="138">
        <f>'Expenditures 15-22'!K343</f>
        <v>-72024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32649</v>
      </c>
      <c r="D7246" s="2" t="str">
        <f t="shared" si="112"/>
        <v>Error?</v>
      </c>
    </row>
    <row r="7247" spans="1:4" x14ac:dyDescent="0.2">
      <c r="A7247">
        <f t="shared" si="113"/>
        <v>7186</v>
      </c>
      <c r="B7247" s="138">
        <f>'Expenditures 15-22'!E7</f>
        <v>2996</v>
      </c>
      <c r="D7247" s="2" t="str">
        <f t="shared" si="112"/>
        <v>Error?</v>
      </c>
    </row>
    <row r="7248" spans="1:4" x14ac:dyDescent="0.2">
      <c r="A7248">
        <f t="shared" si="113"/>
        <v>7187</v>
      </c>
      <c r="B7248" s="138">
        <f>'Expenditures 15-22'!F7</f>
        <v>7512</v>
      </c>
      <c r="D7248" s="2" t="str">
        <f t="shared" si="112"/>
        <v>Error?</v>
      </c>
    </row>
    <row r="7249" spans="1:4" x14ac:dyDescent="0.2">
      <c r="A7249">
        <f t="shared" si="113"/>
        <v>7188</v>
      </c>
      <c r="B7249" s="138">
        <f>'Expenditures 15-22'!G7</f>
        <v>41434</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587439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3174253</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662275</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3174253</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36000</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11000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1989</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4" t="str">
        <f>COVER!A17</f>
        <v>Rhodes SD 84.5</v>
      </c>
      <c r="B7" s="2385"/>
      <c r="C7" s="2385"/>
      <c r="D7" s="2422"/>
      <c r="E7" s="2423">
        <f>COVER!A13</f>
        <v>6016084502</v>
      </c>
      <c r="F7" s="2424"/>
      <c r="G7" s="2391" t="str">
        <f>COVER!T23</f>
        <v>066-003289</v>
      </c>
      <c r="H7" s="2392"/>
      <c r="I7" s="2392"/>
      <c r="J7" s="2392"/>
      <c r="K7" s="2392"/>
      <c r="L7" s="239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4"/>
      <c r="B9" s="2395"/>
      <c r="C9" s="2395"/>
      <c r="D9" s="2395"/>
      <c r="E9" s="2395"/>
      <c r="F9" s="2396"/>
      <c r="G9" s="2397" t="str">
        <f>COVER!T13</f>
        <v>EVOY, KAMSCHULTE, JACOBS &amp; CO. LLP</v>
      </c>
      <c r="H9" s="2398"/>
      <c r="I9" s="2398"/>
      <c r="J9" s="2398"/>
      <c r="K9" s="2398"/>
      <c r="L9" s="2399"/>
    </row>
    <row r="10" spans="1:29" ht="13.5" customHeight="1" x14ac:dyDescent="0.2">
      <c r="A10" s="2381">
        <f>COVER!A38</f>
        <v>0</v>
      </c>
      <c r="B10" s="2382"/>
      <c r="C10" s="2382"/>
      <c r="D10" s="2382"/>
      <c r="E10" s="2382"/>
      <c r="F10" s="2383"/>
      <c r="G10" s="2397" t="str">
        <f>COVER!T17</f>
        <v>2122 YEOMAN STREET</v>
      </c>
      <c r="H10" s="2410"/>
      <c r="I10" s="2410"/>
      <c r="J10" s="2410"/>
      <c r="K10" s="2410"/>
      <c r="L10" s="2411"/>
    </row>
    <row r="11" spans="1:29" ht="13.5" customHeight="1" x14ac:dyDescent="0.2">
      <c r="A11" s="1184" t="s">
        <v>1519</v>
      </c>
      <c r="B11" s="1185"/>
      <c r="C11" s="1186"/>
      <c r="D11" s="1191"/>
      <c r="E11" s="1186"/>
      <c r="F11" s="1190"/>
      <c r="G11" s="2397" t="str">
        <f>COVER!T19</f>
        <v>WAUKEGAN</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t="str">
        <f>COVER!T25</f>
        <v>JHENRY@EKJLLP.COM</v>
      </c>
      <c r="J13" s="2419"/>
      <c r="K13" s="2419"/>
      <c r="L13" s="2420"/>
    </row>
    <row r="14" spans="1:29" ht="13.5" customHeight="1" x14ac:dyDescent="0.2">
      <c r="A14" s="2397" t="str">
        <f>COVER!A19</f>
        <v>8931 FULLERTON AVENUE</v>
      </c>
      <c r="B14" s="2410"/>
      <c r="C14" s="2410"/>
      <c r="D14" s="2410"/>
      <c r="E14" s="2410"/>
      <c r="F14" s="2411"/>
      <c r="G14" s="1195" t="s">
        <v>1185</v>
      </c>
      <c r="H14" s="1193"/>
      <c r="I14" s="1193"/>
      <c r="J14" s="1193"/>
      <c r="K14" s="1193"/>
      <c r="L14" s="1194"/>
    </row>
    <row r="15" spans="1:29" ht="13.5" customHeight="1" x14ac:dyDescent="0.2">
      <c r="A15" s="2397" t="str">
        <f>COVER!A21</f>
        <v>RIVER GROVE</v>
      </c>
      <c r="B15" s="2410"/>
      <c r="C15" s="2410"/>
      <c r="D15" s="2410"/>
      <c r="E15" s="2410"/>
      <c r="F15" s="2411"/>
      <c r="G15" s="2407" t="str">
        <f>COVER!T15</f>
        <v>JAMES HENRY, CPA</v>
      </c>
      <c r="H15" s="2408"/>
      <c r="I15" s="2408"/>
      <c r="J15" s="2408"/>
      <c r="K15" s="2408"/>
      <c r="L15" s="2409"/>
    </row>
    <row r="16" spans="1:29" ht="12.2" customHeight="1" x14ac:dyDescent="0.2">
      <c r="A16" s="2387">
        <f>COVER!A25</f>
        <v>60717</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1184</v>
      </c>
      <c r="H17" s="1193"/>
      <c r="I17" s="1193"/>
      <c r="J17" s="1193"/>
      <c r="K17" s="1197" t="s">
        <v>1183</v>
      </c>
      <c r="L17" s="1190"/>
      <c r="M17" s="1183"/>
    </row>
    <row r="18" spans="1:13" ht="12.2" customHeight="1" x14ac:dyDescent="0.2">
      <c r="A18" s="2381"/>
      <c r="B18" s="2382"/>
      <c r="C18" s="2382"/>
      <c r="D18" s="2382"/>
      <c r="E18" s="2382"/>
      <c r="F18" s="2383"/>
      <c r="G18" s="2384" t="str">
        <f>COVER!T21</f>
        <v>847-662-8300</v>
      </c>
      <c r="H18" s="2385"/>
      <c r="I18" s="2385"/>
      <c r="J18" s="2385"/>
      <c r="K18" s="2384" t="str">
        <f>COVER!X21</f>
        <v>847-662-8305</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Rhodes SD 84.5</v>
      </c>
      <c r="B1" s="2421"/>
      <c r="C1" s="2421"/>
      <c r="D1" s="2421"/>
    </row>
    <row r="2" spans="1:11" s="1212" customFormat="1" ht="12.75" x14ac:dyDescent="0.2">
      <c r="A2" s="2426">
        <f>'Single Audit Cover'!E7</f>
        <v>6016084502</v>
      </c>
      <c r="B2" s="2427"/>
      <c r="C2" s="2427"/>
      <c r="D2" s="2427"/>
    </row>
    <row r="3" spans="1:11" s="1212" customFormat="1" ht="12.75" x14ac:dyDescent="0.2">
      <c r="A3" s="2425" t="s">
        <v>1513</v>
      </c>
      <c r="B3" s="2421"/>
      <c r="C3" s="2421"/>
      <c r="D3" s="242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Rhodes SD 84.5</v>
      </c>
      <c r="B1" s="2429"/>
      <c r="C1" s="2429"/>
      <c r="D1" s="2429"/>
      <c r="E1" s="2429"/>
    </row>
    <row r="2" spans="1:5" x14ac:dyDescent="0.2">
      <c r="A2" s="2430">
        <f>'Single Audit Cover'!E7</f>
        <v>6016084502</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792228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19437</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-60537</v>
      </c>
    </row>
    <row r="19" spans="1:4" ht="13.5" thickBot="1" x14ac:dyDescent="0.25">
      <c r="A19" s="1262" t="s">
        <v>1235</v>
      </c>
      <c r="D19" s="1263">
        <f>SUM(D10:D17)</f>
        <v>751128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751128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751128</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4" zoomScaleNormal="100" workbookViewId="0">
      <selection activeCell="I22" sqref="I2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Rhodes SD 84.5</v>
      </c>
      <c r="C1" s="2433"/>
      <c r="D1" s="2433"/>
      <c r="E1" s="2433"/>
      <c r="F1" s="2433"/>
      <c r="G1" s="2433"/>
      <c r="H1" s="2433"/>
      <c r="I1" s="2433"/>
      <c r="J1" s="2433"/>
      <c r="K1" s="2433"/>
      <c r="L1" s="2433"/>
      <c r="M1" s="2433"/>
    </row>
    <row r="2" spans="2:14" ht="15" x14ac:dyDescent="0.2">
      <c r="B2" s="2434">
        <f>'Single Audit Cover'!E7</f>
        <v>6016084502</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2089</v>
      </c>
      <c r="C11" s="1335"/>
      <c r="D11" s="1336"/>
      <c r="E11" s="1337"/>
      <c r="F11" s="1337"/>
      <c r="G11" s="1337"/>
      <c r="H11" s="1337"/>
      <c r="I11" s="1337"/>
      <c r="J11" s="1337"/>
      <c r="K11" s="1337"/>
      <c r="L11" s="1337">
        <f>+G11+I11+K11</f>
        <v>0</v>
      </c>
      <c r="M11" s="1337"/>
    </row>
    <row r="12" spans="2:14" ht="20.100000000000001" customHeight="1" x14ac:dyDescent="0.2">
      <c r="B12" s="1334" t="s">
        <v>2090</v>
      </c>
      <c r="C12" s="1338"/>
      <c r="D12" s="1339"/>
      <c r="E12" s="1340"/>
      <c r="F12" s="1340"/>
      <c r="G12" s="1340"/>
      <c r="H12" s="1340"/>
      <c r="I12" s="1340"/>
      <c r="J12" s="1340"/>
      <c r="K12" s="1340"/>
      <c r="L12" s="1337">
        <f t="shared" ref="L12:L27" si="0">+G12+I12+K12</f>
        <v>0</v>
      </c>
      <c r="M12" s="1340"/>
    </row>
    <row r="13" spans="2:14" ht="20.100000000000001" customHeight="1" x14ac:dyDescent="0.2">
      <c r="B13" s="1334" t="s">
        <v>2091</v>
      </c>
      <c r="C13" s="1338"/>
      <c r="D13" s="1339"/>
      <c r="E13" s="1340"/>
      <c r="F13" s="1340"/>
      <c r="G13" s="1340"/>
      <c r="H13" s="1340"/>
      <c r="I13" s="1340"/>
      <c r="J13" s="1340"/>
      <c r="K13" s="1340"/>
      <c r="L13" s="1337">
        <f t="shared" si="0"/>
        <v>0</v>
      </c>
      <c r="M13" s="1340"/>
    </row>
    <row r="14" spans="2:14" ht="20.100000000000001" customHeight="1" x14ac:dyDescent="0.2">
      <c r="B14" s="1334" t="s">
        <v>2092</v>
      </c>
      <c r="C14" s="1338">
        <v>10.555</v>
      </c>
      <c r="D14" s="1339" t="s">
        <v>2093</v>
      </c>
      <c r="E14" s="1340"/>
      <c r="F14" s="1340">
        <v>154030</v>
      </c>
      <c r="G14" s="1340">
        <v>0</v>
      </c>
      <c r="H14" s="1340"/>
      <c r="I14" s="1340">
        <v>154030</v>
      </c>
      <c r="J14" s="1340"/>
      <c r="K14" s="1340"/>
      <c r="L14" s="1337">
        <f t="shared" si="0"/>
        <v>154030</v>
      </c>
      <c r="M14" s="1340"/>
    </row>
    <row r="15" spans="2:14" ht="20.100000000000001" customHeight="1" x14ac:dyDescent="0.2">
      <c r="B15" s="1334" t="s">
        <v>2092</v>
      </c>
      <c r="C15" s="1338">
        <v>10.555</v>
      </c>
      <c r="D15" s="1339" t="s">
        <v>2094</v>
      </c>
      <c r="E15" s="1340">
        <v>164692</v>
      </c>
      <c r="F15" s="1340">
        <v>36620</v>
      </c>
      <c r="G15" s="1340">
        <v>164692</v>
      </c>
      <c r="H15" s="1340"/>
      <c r="I15" s="1340">
        <v>36620</v>
      </c>
      <c r="J15" s="1340"/>
      <c r="K15" s="1340"/>
      <c r="L15" s="1337">
        <f t="shared" si="0"/>
        <v>201312</v>
      </c>
      <c r="M15" s="1340"/>
    </row>
    <row r="16" spans="2:14" ht="20.100000000000001" customHeight="1" x14ac:dyDescent="0.2">
      <c r="B16" s="1334" t="s">
        <v>2095</v>
      </c>
      <c r="C16" s="1338">
        <v>10.553000000000001</v>
      </c>
      <c r="D16" s="1339" t="s">
        <v>2096</v>
      </c>
      <c r="E16" s="1340"/>
      <c r="F16" s="1340">
        <v>45964</v>
      </c>
      <c r="G16" s="1340">
        <v>0</v>
      </c>
      <c r="H16" s="1340"/>
      <c r="I16" s="1340">
        <v>45964</v>
      </c>
      <c r="J16" s="1340"/>
      <c r="K16" s="1340"/>
      <c r="L16" s="1337">
        <f t="shared" si="0"/>
        <v>45964</v>
      </c>
      <c r="M16" s="1340"/>
    </row>
    <row r="17" spans="2:14" ht="20.100000000000001" customHeight="1" x14ac:dyDescent="0.2">
      <c r="B17" s="1334" t="s">
        <v>2095</v>
      </c>
      <c r="C17" s="1338">
        <v>10.553000000000001</v>
      </c>
      <c r="D17" s="1339" t="s">
        <v>2097</v>
      </c>
      <c r="E17" s="1340">
        <v>45579</v>
      </c>
      <c r="F17" s="1340">
        <v>11928</v>
      </c>
      <c r="G17" s="1340">
        <v>45579</v>
      </c>
      <c r="H17" s="1340"/>
      <c r="I17" s="1340">
        <v>11928</v>
      </c>
      <c r="J17" s="1340"/>
      <c r="K17" s="1340"/>
      <c r="L17" s="1337">
        <f t="shared" si="0"/>
        <v>57507</v>
      </c>
      <c r="M17" s="1340"/>
    </row>
    <row r="18" spans="2:14" ht="20.100000000000001" customHeight="1" x14ac:dyDescent="0.2">
      <c r="B18" s="1334" t="s">
        <v>2098</v>
      </c>
      <c r="C18" s="1338">
        <v>10.555</v>
      </c>
      <c r="D18" s="1339" t="s">
        <v>2093</v>
      </c>
      <c r="E18" s="1340"/>
      <c r="F18" s="1340">
        <v>19437</v>
      </c>
      <c r="G18" s="1340">
        <v>0</v>
      </c>
      <c r="H18" s="1340"/>
      <c r="I18" s="1340">
        <v>19437</v>
      </c>
      <c r="J18" s="1340"/>
      <c r="K18" s="1340"/>
      <c r="L18" s="1337">
        <f t="shared" si="0"/>
        <v>19437</v>
      </c>
      <c r="M18" s="1340"/>
    </row>
    <row r="19" spans="2:14" ht="20.100000000000001" customHeight="1" x14ac:dyDescent="0.2">
      <c r="B19" s="1334" t="s">
        <v>2099</v>
      </c>
      <c r="C19" s="1338"/>
      <c r="D19" s="1339"/>
      <c r="E19" s="1340">
        <v>210271</v>
      </c>
      <c r="F19" s="1340">
        <v>267979</v>
      </c>
      <c r="G19" s="1340">
        <v>210271</v>
      </c>
      <c r="H19" s="1340"/>
      <c r="I19" s="1340">
        <v>267979</v>
      </c>
      <c r="J19" s="1340"/>
      <c r="K19" s="1340"/>
      <c r="L19" s="1337">
        <f t="shared" si="0"/>
        <v>478250</v>
      </c>
      <c r="M19" s="1340"/>
    </row>
    <row r="20" spans="2:14" ht="20.100000000000001" customHeight="1" x14ac:dyDescent="0.2">
      <c r="B20" s="1334" t="s">
        <v>2100</v>
      </c>
      <c r="C20" s="1338"/>
      <c r="D20" s="1339"/>
      <c r="E20" s="1340">
        <v>210271</v>
      </c>
      <c r="F20" s="1340">
        <v>267979</v>
      </c>
      <c r="G20" s="1340">
        <v>210271</v>
      </c>
      <c r="H20" s="1340"/>
      <c r="I20" s="1340">
        <v>267979</v>
      </c>
      <c r="J20" s="1340"/>
      <c r="K20" s="1340"/>
      <c r="L20" s="1337">
        <f t="shared" si="0"/>
        <v>478250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t="s">
        <v>2101</v>
      </c>
      <c r="C22" s="1338"/>
      <c r="D22" s="1339"/>
      <c r="E22" s="1340"/>
      <c r="F22" s="1340"/>
      <c r="G22" s="1340"/>
      <c r="H22" s="1340"/>
      <c r="I22" s="1340"/>
      <c r="J22" s="1340"/>
      <c r="K22" s="1340"/>
      <c r="L22" s="1337">
        <f t="shared" si="0"/>
        <v>0</v>
      </c>
      <c r="M22" s="1340"/>
    </row>
    <row r="23" spans="2:14" ht="20.100000000000001" customHeight="1" x14ac:dyDescent="0.2">
      <c r="B23" s="1334" t="s">
        <v>2090</v>
      </c>
      <c r="C23" s="1338"/>
      <c r="D23" s="1339"/>
      <c r="E23" s="1340"/>
      <c r="F23" s="1340"/>
      <c r="G23" s="1340"/>
      <c r="H23" s="1340"/>
      <c r="I23" s="1340"/>
      <c r="J23" s="1340"/>
      <c r="K23" s="1340"/>
      <c r="L23" s="1337">
        <f t="shared" si="0"/>
        <v>0</v>
      </c>
      <c r="M23" s="1340"/>
    </row>
    <row r="24" spans="2:14" ht="20.100000000000001" customHeight="1" x14ac:dyDescent="0.2">
      <c r="B24" s="1334" t="s">
        <v>2102</v>
      </c>
      <c r="C24" s="1338">
        <v>84.01</v>
      </c>
      <c r="D24" s="1339" t="s">
        <v>2103</v>
      </c>
      <c r="E24" s="1340"/>
      <c r="F24" s="1340">
        <v>236977</v>
      </c>
      <c r="G24" s="1340">
        <v>0</v>
      </c>
      <c r="H24" s="1340"/>
      <c r="I24" s="1340">
        <v>238778</v>
      </c>
      <c r="J24" s="1340"/>
      <c r="K24" s="1340"/>
      <c r="L24" s="1337">
        <f t="shared" si="0"/>
        <v>238778</v>
      </c>
      <c r="M24" s="1340"/>
    </row>
    <row r="25" spans="2:14" ht="20.100000000000001" customHeight="1" x14ac:dyDescent="0.2">
      <c r="B25" s="1334" t="s">
        <v>2102</v>
      </c>
      <c r="C25" s="1338">
        <v>84.01</v>
      </c>
      <c r="D25" s="1339" t="s">
        <v>2104</v>
      </c>
      <c r="E25" s="1340">
        <v>174814</v>
      </c>
      <c r="F25" s="1340">
        <v>68208</v>
      </c>
      <c r="G25" s="1340">
        <v>229732</v>
      </c>
      <c r="H25" s="1340"/>
      <c r="I25" s="1340">
        <v>13290</v>
      </c>
      <c r="J25" s="1340"/>
      <c r="K25" s="1340"/>
      <c r="L25" s="1337">
        <f t="shared" si="0"/>
        <v>243022</v>
      </c>
      <c r="M25" s="1340"/>
    </row>
    <row r="26" spans="2:14" ht="20.100000000000001" customHeight="1" x14ac:dyDescent="0.2">
      <c r="B26" s="1334" t="s">
        <v>2105</v>
      </c>
      <c r="C26" s="1338">
        <v>84.364999999999995</v>
      </c>
      <c r="D26" s="1339" t="s">
        <v>2106</v>
      </c>
      <c r="E26" s="1340"/>
      <c r="F26" s="1340">
        <v>0</v>
      </c>
      <c r="G26" s="1340">
        <v>0</v>
      </c>
      <c r="H26" s="1340"/>
      <c r="I26" s="1340">
        <v>15000</v>
      </c>
      <c r="J26" s="1340"/>
      <c r="K26" s="1340"/>
      <c r="L26" s="1337">
        <f t="shared" si="0"/>
        <v>15000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I26" sqref="I2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Rhodes SD 84.5</v>
      </c>
      <c r="C1" s="2433"/>
      <c r="D1" s="2433"/>
      <c r="E1" s="2433"/>
      <c r="F1" s="2433"/>
      <c r="G1" s="2433"/>
      <c r="H1" s="2433"/>
      <c r="I1" s="2433"/>
      <c r="J1" s="2433"/>
      <c r="K1" s="2433"/>
      <c r="L1" s="2433"/>
      <c r="M1" s="2433"/>
    </row>
    <row r="2" spans="2:14" ht="15" x14ac:dyDescent="0.2">
      <c r="B2" s="2434">
        <f>'Single Audit Cover'!E7</f>
        <v>6016084502</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2107</v>
      </c>
      <c r="C11" s="1335"/>
      <c r="D11" s="1336"/>
      <c r="E11" s="1337"/>
      <c r="F11" s="1337"/>
      <c r="G11" s="1337"/>
      <c r="H11" s="1337"/>
      <c r="I11" s="1337"/>
      <c r="J11" s="1337"/>
      <c r="K11" s="1337"/>
      <c r="L11" s="1337">
        <f>+G11+I11+K11</f>
        <v>0</v>
      </c>
      <c r="M11" s="1337"/>
    </row>
    <row r="12" spans="2:14" ht="20.100000000000001" customHeight="1" x14ac:dyDescent="0.2">
      <c r="B12" s="1334" t="s">
        <v>2090</v>
      </c>
      <c r="C12" s="1338"/>
      <c r="D12" s="1339"/>
      <c r="E12" s="1340"/>
      <c r="F12" s="1340"/>
      <c r="G12" s="1340"/>
      <c r="H12" s="1340"/>
      <c r="I12" s="1340"/>
      <c r="J12" s="1340"/>
      <c r="K12" s="1340"/>
      <c r="L12" s="1337">
        <f t="shared" ref="L12:L27" si="0">+G12+I12+K12</f>
        <v>0</v>
      </c>
      <c r="M12" s="1340"/>
    </row>
    <row r="13" spans="2:14" ht="20.100000000000001" customHeight="1" x14ac:dyDescent="0.2">
      <c r="B13" s="1334" t="s">
        <v>2108</v>
      </c>
      <c r="C13" s="1338">
        <v>84.364999999999995</v>
      </c>
      <c r="D13" s="1339" t="s">
        <v>2109</v>
      </c>
      <c r="E13" s="1340"/>
      <c r="F13" s="1340">
        <v>5888</v>
      </c>
      <c r="G13" s="1340">
        <v>0</v>
      </c>
      <c r="H13" s="1340"/>
      <c r="I13" s="1340">
        <v>6910</v>
      </c>
      <c r="J13" s="1340"/>
      <c r="K13" s="1340"/>
      <c r="L13" s="1337">
        <f t="shared" si="0"/>
        <v>6910</v>
      </c>
      <c r="M13" s="1340"/>
    </row>
    <row r="14" spans="2:14" ht="20.100000000000001" customHeight="1" x14ac:dyDescent="0.2">
      <c r="B14" s="1334" t="s">
        <v>2108</v>
      </c>
      <c r="C14" s="1338">
        <v>84.364999999999995</v>
      </c>
      <c r="D14" s="1339" t="s">
        <v>2110</v>
      </c>
      <c r="E14" s="1340">
        <v>7775</v>
      </c>
      <c r="F14" s="1340">
        <v>19709</v>
      </c>
      <c r="G14" s="1340">
        <v>16277</v>
      </c>
      <c r="H14" s="1340"/>
      <c r="I14" s="1340">
        <v>11207</v>
      </c>
      <c r="J14" s="1340"/>
      <c r="K14" s="1340"/>
      <c r="L14" s="1337">
        <f t="shared" si="0"/>
        <v>27484</v>
      </c>
      <c r="M14" s="1340"/>
    </row>
    <row r="15" spans="2:14" ht="20.100000000000001" customHeight="1" x14ac:dyDescent="0.2">
      <c r="B15" s="1334" t="s">
        <v>2111</v>
      </c>
      <c r="C15" s="1338">
        <v>84.367000000000004</v>
      </c>
      <c r="D15" s="1339" t="s">
        <v>2112</v>
      </c>
      <c r="E15" s="1340"/>
      <c r="F15" s="1340">
        <v>21442</v>
      </c>
      <c r="G15" s="1340">
        <v>0</v>
      </c>
      <c r="H15" s="1340"/>
      <c r="I15" s="1340">
        <v>38066</v>
      </c>
      <c r="J15" s="1340"/>
      <c r="K15" s="1340"/>
      <c r="L15" s="1337">
        <f t="shared" si="0"/>
        <v>38066</v>
      </c>
      <c r="M15" s="1340"/>
    </row>
    <row r="16" spans="2:14" ht="20.100000000000001" customHeight="1" x14ac:dyDescent="0.2">
      <c r="B16" s="1334" t="s">
        <v>2111</v>
      </c>
      <c r="C16" s="1338">
        <v>84.367000000000004</v>
      </c>
      <c r="D16" s="1339" t="s">
        <v>2113</v>
      </c>
      <c r="E16" s="1340">
        <v>2794</v>
      </c>
      <c r="F16" s="1340">
        <v>13420</v>
      </c>
      <c r="G16" s="1340">
        <v>16164</v>
      </c>
      <c r="H16" s="1340"/>
      <c r="I16" s="1340">
        <v>50</v>
      </c>
      <c r="J16" s="1340"/>
      <c r="K16" s="1340"/>
      <c r="L16" s="1337">
        <f t="shared" si="0"/>
        <v>16214</v>
      </c>
      <c r="M16" s="1340"/>
    </row>
    <row r="17" spans="2:14" ht="20.100000000000001" customHeight="1" x14ac:dyDescent="0.2">
      <c r="B17" s="1334" t="s">
        <v>2114</v>
      </c>
      <c r="C17" s="1338"/>
      <c r="D17" s="1339"/>
      <c r="E17" s="1340"/>
      <c r="F17" s="1340"/>
      <c r="G17" s="1340"/>
      <c r="H17" s="1340"/>
      <c r="I17" s="1340"/>
      <c r="J17" s="1340"/>
      <c r="K17" s="1340"/>
      <c r="L17" s="1337">
        <f t="shared" si="0"/>
        <v>0</v>
      </c>
      <c r="M17" s="1340"/>
    </row>
    <row r="18" spans="2:14" ht="20.100000000000001" customHeight="1" x14ac:dyDescent="0.2">
      <c r="B18" s="1334" t="s">
        <v>2115</v>
      </c>
      <c r="C18" s="1338">
        <v>84.027000000000001</v>
      </c>
      <c r="D18" s="1339" t="s">
        <v>2116</v>
      </c>
      <c r="E18" s="1340"/>
      <c r="F18" s="1340">
        <v>8325</v>
      </c>
      <c r="G18" s="1340">
        <v>8325</v>
      </c>
      <c r="H18" s="1340"/>
      <c r="I18" s="1340">
        <v>0</v>
      </c>
      <c r="J18" s="1340"/>
      <c r="K18" s="1340"/>
      <c r="L18" s="1337">
        <f t="shared" si="0"/>
        <v>8325</v>
      </c>
      <c r="M18" s="1340"/>
    </row>
    <row r="19" spans="2:14" ht="20.100000000000001" customHeight="1" x14ac:dyDescent="0.2">
      <c r="B19" s="1334" t="s">
        <v>2117</v>
      </c>
      <c r="C19" s="1338"/>
      <c r="D19" s="1339"/>
      <c r="E19" s="1340"/>
      <c r="F19" s="1340"/>
      <c r="G19" s="1340"/>
      <c r="H19" s="1340"/>
      <c r="I19" s="1340"/>
      <c r="J19" s="1340"/>
      <c r="K19" s="1340"/>
      <c r="L19" s="1337">
        <f t="shared" si="0"/>
        <v>0</v>
      </c>
      <c r="M19" s="1340"/>
    </row>
    <row r="20" spans="2:14" ht="20.100000000000001" customHeight="1" x14ac:dyDescent="0.2">
      <c r="B20" s="1334" t="s">
        <v>2118</v>
      </c>
      <c r="C20" s="1338">
        <v>84.173000000000002</v>
      </c>
      <c r="D20" s="1339" t="s">
        <v>2119</v>
      </c>
      <c r="E20" s="1340"/>
      <c r="F20" s="1340">
        <v>0</v>
      </c>
      <c r="G20" s="1340">
        <v>0</v>
      </c>
      <c r="H20" s="1340"/>
      <c r="I20" s="1340">
        <v>3525</v>
      </c>
      <c r="J20" s="1340"/>
      <c r="K20" s="1340"/>
      <c r="L20" s="1337">
        <f t="shared" si="0"/>
        <v>3525</v>
      </c>
      <c r="M20" s="1340"/>
    </row>
    <row r="21" spans="2:14" ht="20.100000000000001" customHeight="1" x14ac:dyDescent="0.2">
      <c r="B21" s="1334" t="s">
        <v>2118</v>
      </c>
      <c r="C21" s="1338">
        <v>84.173000000000002</v>
      </c>
      <c r="D21" s="1339" t="s">
        <v>2120</v>
      </c>
      <c r="E21" s="1340">
        <v>1933</v>
      </c>
      <c r="F21" s="1340">
        <v>1512</v>
      </c>
      <c r="G21" s="1340">
        <v>3445</v>
      </c>
      <c r="H21" s="1340"/>
      <c r="I21" s="1340">
        <v>0</v>
      </c>
      <c r="J21" s="1340"/>
      <c r="K21" s="1340"/>
      <c r="L21" s="1337">
        <f t="shared" si="0"/>
        <v>3445</v>
      </c>
      <c r="M21" s="1340"/>
    </row>
    <row r="22" spans="2:14" ht="20.100000000000001" customHeight="1" x14ac:dyDescent="0.2">
      <c r="B22" s="1334" t="s">
        <v>2121</v>
      </c>
      <c r="C22" s="1338">
        <v>84.027000000000001</v>
      </c>
      <c r="D22" s="1339" t="s">
        <v>2122</v>
      </c>
      <c r="E22" s="1340"/>
      <c r="F22" s="1340">
        <v>92466</v>
      </c>
      <c r="G22" s="1340">
        <v>0</v>
      </c>
      <c r="H22" s="1340"/>
      <c r="I22" s="1340">
        <v>92466</v>
      </c>
      <c r="J22" s="1340"/>
      <c r="K22" s="1340"/>
      <c r="L22" s="1337">
        <f t="shared" si="0"/>
        <v>92466</v>
      </c>
      <c r="M22" s="1340"/>
    </row>
    <row r="23" spans="2:14" ht="20.100000000000001" customHeight="1" x14ac:dyDescent="0.2">
      <c r="B23" s="1334" t="s">
        <v>2121</v>
      </c>
      <c r="C23" s="1338">
        <v>84.027000000000001</v>
      </c>
      <c r="D23" s="1339" t="s">
        <v>2123</v>
      </c>
      <c r="E23" s="1340">
        <v>93101</v>
      </c>
      <c r="F23" s="1340"/>
      <c r="G23" s="1340">
        <v>93101</v>
      </c>
      <c r="H23" s="1340"/>
      <c r="I23" s="1340">
        <v>0</v>
      </c>
      <c r="J23" s="1340"/>
      <c r="K23" s="1340"/>
      <c r="L23" s="1337">
        <f t="shared" si="0"/>
        <v>93101</v>
      </c>
      <c r="M23" s="1340"/>
    </row>
    <row r="24" spans="2:14" ht="20.100000000000001" customHeight="1" x14ac:dyDescent="0.2">
      <c r="B24" s="1334" t="s">
        <v>2124</v>
      </c>
      <c r="C24" s="1338"/>
      <c r="D24" s="1339"/>
      <c r="E24" s="1340">
        <v>95034</v>
      </c>
      <c r="F24" s="1340">
        <v>102303</v>
      </c>
      <c r="G24" s="1340">
        <v>104871</v>
      </c>
      <c r="H24" s="1340"/>
      <c r="I24" s="1340">
        <v>95991</v>
      </c>
      <c r="J24" s="1340"/>
      <c r="K24" s="1340"/>
      <c r="L24" s="1337">
        <f t="shared" si="0"/>
        <v>200862</v>
      </c>
      <c r="M24" s="1340"/>
    </row>
    <row r="25" spans="2:14" ht="20.100000000000001" customHeight="1" x14ac:dyDescent="0.2">
      <c r="B25" s="1334" t="s">
        <v>2125</v>
      </c>
      <c r="C25" s="1338"/>
      <c r="D25" s="1339"/>
      <c r="E25" s="1340">
        <v>280417</v>
      </c>
      <c r="F25" s="1340">
        <v>467947</v>
      </c>
      <c r="G25" s="1340">
        <v>367044</v>
      </c>
      <c r="H25" s="1340"/>
      <c r="I25" s="1340">
        <v>419292</v>
      </c>
      <c r="J25" s="1340"/>
      <c r="K25" s="1340"/>
      <c r="L25" s="1337">
        <f t="shared" si="0"/>
        <v>786336</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34700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2079</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I21" sqref="I2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Rhodes SD 84.5</v>
      </c>
      <c r="C1" s="2433"/>
      <c r="D1" s="2433"/>
      <c r="E1" s="2433"/>
      <c r="F1" s="2433"/>
      <c r="G1" s="2433"/>
      <c r="H1" s="2433"/>
      <c r="I1" s="2433"/>
      <c r="J1" s="2433"/>
      <c r="K1" s="2433"/>
      <c r="L1" s="2433"/>
      <c r="M1" s="2433"/>
    </row>
    <row r="2" spans="2:14" ht="15" x14ac:dyDescent="0.2">
      <c r="B2" s="2434">
        <f>'Single Audit Cover'!E7</f>
        <v>6016084502</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2126</v>
      </c>
      <c r="C11" s="1335"/>
      <c r="D11" s="1336"/>
      <c r="E11" s="1337"/>
      <c r="F11" s="1337"/>
      <c r="G11" s="1337"/>
      <c r="H11" s="1337"/>
      <c r="I11" s="1337"/>
      <c r="J11" s="1337"/>
      <c r="K11" s="1337"/>
      <c r="L11" s="1337">
        <f>+G11+I11+K11</f>
        <v>0</v>
      </c>
      <c r="M11" s="1337"/>
    </row>
    <row r="12" spans="2:14" ht="20.100000000000001" customHeight="1" x14ac:dyDescent="0.2">
      <c r="B12" s="1334" t="s">
        <v>2127</v>
      </c>
      <c r="C12" s="1338"/>
      <c r="D12" s="1339"/>
      <c r="E12" s="1340"/>
      <c r="F12" s="1340"/>
      <c r="G12" s="1340"/>
      <c r="H12" s="1340"/>
      <c r="I12" s="1340"/>
      <c r="J12" s="1340"/>
      <c r="K12" s="1340"/>
      <c r="L12" s="1337">
        <f t="shared" ref="L12:L27" si="0">+G12+I12+K12</f>
        <v>0</v>
      </c>
      <c r="M12" s="1340"/>
    </row>
    <row r="13" spans="2:14" ht="20.100000000000001" customHeight="1" x14ac:dyDescent="0.2">
      <c r="B13" s="1334" t="s">
        <v>2128</v>
      </c>
      <c r="C13" s="1338">
        <v>93.778000000000006</v>
      </c>
      <c r="D13" s="1339" t="s">
        <v>2129</v>
      </c>
      <c r="E13" s="1340"/>
      <c r="F13" s="1340">
        <v>15202</v>
      </c>
      <c r="G13" s="1340">
        <v>0</v>
      </c>
      <c r="H13" s="1340"/>
      <c r="I13" s="1340">
        <v>18742</v>
      </c>
      <c r="J13" s="1340"/>
      <c r="K13" s="1340"/>
      <c r="L13" s="1337">
        <f t="shared" si="0"/>
        <v>18742</v>
      </c>
      <c r="M13" s="1340"/>
    </row>
    <row r="14" spans="2:14" ht="20.100000000000001" customHeight="1" x14ac:dyDescent="0.2">
      <c r="B14" s="1334" t="s">
        <v>2128</v>
      </c>
      <c r="C14" s="1338">
        <v>93.778000000000006</v>
      </c>
      <c r="D14" s="1339" t="s">
        <v>2130</v>
      </c>
      <c r="E14" s="1340">
        <v>8629</v>
      </c>
      <c r="F14" s="1340"/>
      <c r="G14" s="1340">
        <v>8629</v>
      </c>
      <c r="H14" s="1340"/>
      <c r="I14" s="1340"/>
      <c r="J14" s="1340"/>
      <c r="K14" s="1340"/>
      <c r="L14" s="1337">
        <f t="shared" si="0"/>
        <v>8629</v>
      </c>
      <c r="M14" s="1340"/>
    </row>
    <row r="15" spans="2:14" ht="20.100000000000001" customHeight="1" x14ac:dyDescent="0.2">
      <c r="B15" s="1334" t="s">
        <v>2131</v>
      </c>
      <c r="C15" s="1338"/>
      <c r="D15" s="1339"/>
      <c r="E15" s="1340">
        <v>8629</v>
      </c>
      <c r="F15" s="1340">
        <v>15202</v>
      </c>
      <c r="G15" s="1340">
        <v>8629</v>
      </c>
      <c r="H15" s="1340"/>
      <c r="I15" s="1340">
        <v>18742</v>
      </c>
      <c r="J15" s="1340"/>
      <c r="K15" s="1340"/>
      <c r="L15" s="1337">
        <f t="shared" si="0"/>
        <v>27371</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2132</v>
      </c>
      <c r="C17" s="1338"/>
      <c r="D17" s="1339"/>
      <c r="E17" s="1340">
        <v>499317</v>
      </c>
      <c r="F17" s="1340">
        <v>751128</v>
      </c>
      <c r="G17" s="1340">
        <v>585944</v>
      </c>
      <c r="H17" s="1340"/>
      <c r="I17" s="1340">
        <v>706013</v>
      </c>
      <c r="J17" s="1340"/>
      <c r="K17" s="1340"/>
      <c r="L17" s="1337">
        <f t="shared" si="0"/>
        <v>1291957</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Rhodes SD 84.5</v>
      </c>
      <c r="B1" s="2438"/>
      <c r="C1" s="2438"/>
      <c r="D1" s="2438"/>
      <c r="E1" s="2438"/>
      <c r="F1" s="2438"/>
    </row>
    <row r="2" spans="1:7" ht="13.5" customHeight="1" x14ac:dyDescent="0.2">
      <c r="A2" s="2434">
        <f>'Single Audit Cover'!E7</f>
        <v>6016084502</v>
      </c>
      <c r="B2" s="2434"/>
      <c r="C2" s="2434"/>
      <c r="D2" s="2434"/>
      <c r="E2" s="2434"/>
      <c r="F2" s="2434"/>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1729</v>
      </c>
      <c r="B7" s="2437"/>
      <c r="C7" s="2437"/>
      <c r="D7" s="2437"/>
      <c r="E7" s="2437"/>
      <c r="F7" s="243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7" t="s">
        <v>1731</v>
      </c>
      <c r="B13" s="2437"/>
      <c r="C13" s="2437"/>
      <c r="D13" s="2437"/>
      <c r="E13" s="2437"/>
      <c r="F13" s="2437"/>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1732</v>
      </c>
      <c r="B32" s="2445"/>
      <c r="C32" s="2445"/>
      <c r="D32" s="2445"/>
      <c r="E32" s="2445"/>
      <c r="F32" s="2445"/>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6">
        <f>+C33+C34</f>
        <v>0</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Rhodes SD 84.5</v>
      </c>
      <c r="C1" s="2454"/>
      <c r="D1" s="2454"/>
      <c r="E1" s="2454"/>
      <c r="F1" s="2454"/>
      <c r="G1" s="2454"/>
      <c r="H1" s="2454"/>
      <c r="I1" s="2454"/>
      <c r="J1" s="1406"/>
    </row>
    <row r="2" spans="2:10" s="317" customFormat="1" ht="12.75" customHeight="1" x14ac:dyDescent="0.2">
      <c r="B2" s="2455">
        <f>'Single Audit Cover'!E7</f>
        <v>6016084502</v>
      </c>
      <c r="C2" s="2456"/>
      <c r="D2" s="2456"/>
      <c r="E2" s="2456"/>
      <c r="F2" s="2456"/>
      <c r="G2" s="2456"/>
      <c r="H2" s="2456"/>
      <c r="I2" s="2456"/>
      <c r="J2" s="1406"/>
    </row>
    <row r="3" spans="2:10" s="317" customFormat="1" ht="12.75" customHeight="1" x14ac:dyDescent="0.2">
      <c r="B3" s="2457" t="s">
        <v>1285</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1284</v>
      </c>
      <c r="C7" s="2458"/>
      <c r="D7" s="2458"/>
      <c r="E7" s="2458"/>
      <c r="F7" s="2458"/>
      <c r="G7" s="2458"/>
      <c r="H7" s="2458"/>
      <c r="I7" s="245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9"/>
      <c r="D11" s="245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0"/>
      <c r="E29" s="2460"/>
      <c r="F29" s="2460"/>
      <c r="G29" s="2460"/>
      <c r="H29" s="2460"/>
      <c r="I29" s="246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1" t="s">
        <v>1751</v>
      </c>
      <c r="D37" s="2462"/>
      <c r="E37" s="2462"/>
      <c r="F37" s="2463"/>
      <c r="G37" s="2461" t="s">
        <v>1592</v>
      </c>
      <c r="H37" s="2462"/>
      <c r="I37" s="2463"/>
    </row>
    <row r="38" spans="2:9" ht="16.5" customHeight="1" x14ac:dyDescent="0.2">
      <c r="B38" s="1428"/>
      <c r="C38" s="2449"/>
      <c r="D38" s="2450"/>
      <c r="E38" s="2450"/>
      <c r="F38" s="2451"/>
      <c r="G38" s="2464"/>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1593</v>
      </c>
      <c r="D43" s="2468"/>
      <c r="E43" s="2468"/>
      <c r="F43" s="2469"/>
      <c r="G43" s="2470">
        <f>SUM(G38:I42)</f>
        <v>0</v>
      </c>
      <c r="H43" s="2470"/>
      <c r="I43" s="2470"/>
    </row>
    <row r="44" spans="2:9" ht="12.75" customHeight="1" x14ac:dyDescent="0.2"/>
    <row r="45" spans="2:9" ht="12.75" customHeight="1" x14ac:dyDescent="0.2">
      <c r="B45" s="1419" t="s">
        <v>1841</v>
      </c>
      <c r="D45" s="2471">
        <v>0</v>
      </c>
      <c r="E45" s="247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3"/>
      <c r="F49" s="2473"/>
      <c r="G49" s="247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Rhodes SD 84.5</v>
      </c>
      <c r="C1" s="2453"/>
      <c r="D1" s="2453"/>
      <c r="E1" s="2453"/>
      <c r="F1" s="2453"/>
      <c r="G1" s="2453"/>
      <c r="H1" s="2453"/>
      <c r="I1" s="2453"/>
      <c r="J1" s="2453"/>
      <c r="K1" s="2453"/>
      <c r="L1" s="1371"/>
      <c r="M1" s="1371"/>
    </row>
    <row r="2" spans="1:13" ht="12" customHeight="1" x14ac:dyDescent="0.2">
      <c r="B2" s="2455">
        <f>'Single Audit Cover'!E7</f>
        <v>6016084502</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Rhodes SD 84.5</v>
      </c>
      <c r="C1" s="2480"/>
      <c r="D1" s="2480"/>
      <c r="E1" s="2480"/>
      <c r="F1" s="2480"/>
      <c r="G1" s="2480"/>
      <c r="H1" s="2480"/>
      <c r="I1" s="2480"/>
      <c r="J1" s="2480"/>
      <c r="K1" s="2480"/>
      <c r="L1" s="1449"/>
    </row>
    <row r="2" spans="1:12" ht="12.75" customHeight="1" x14ac:dyDescent="0.2">
      <c r="B2" s="2481">
        <f>'Single Audit Cover'!E7</f>
        <v>6016084502</v>
      </c>
      <c r="C2" s="2481"/>
      <c r="D2" s="2481"/>
      <c r="E2" s="2481"/>
      <c r="F2" s="2481"/>
      <c r="G2" s="2481"/>
      <c r="H2" s="2481"/>
      <c r="I2" s="2481"/>
      <c r="J2" s="2481"/>
      <c r="K2" s="2481"/>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Rhodes SD 84.5</v>
      </c>
      <c r="C1" s="2453"/>
      <c r="D1" s="2453"/>
      <c r="E1" s="1469"/>
    </row>
    <row r="2" spans="2:5" s="1279" customFormat="1" ht="12.75" customHeight="1" x14ac:dyDescent="0.2">
      <c r="B2" s="2455">
        <f>'Single Audit Cover'!E7</f>
        <v>6016084502</v>
      </c>
      <c r="C2" s="2455"/>
      <c r="D2" s="2455"/>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194712283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3.6714999999999998E-2</v>
      </c>
      <c r="E10" s="356" t="s">
        <v>1005</v>
      </c>
      <c r="F10" s="355">
        <v>5.313E-3</v>
      </c>
      <c r="G10" s="356" t="s">
        <v>1005</v>
      </c>
      <c r="H10" s="355">
        <v>0</v>
      </c>
      <c r="I10" s="356" t="s">
        <v>1006</v>
      </c>
      <c r="J10" s="1732">
        <f>ROUND(D10+F10+H10,5)</f>
        <v>4.2029999999999998E-2</v>
      </c>
      <c r="K10" s="222"/>
      <c r="L10" s="355">
        <v>4.8299999999999998E-4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12169590</v>
      </c>
      <c r="E16" s="356"/>
      <c r="F16" s="1733">
        <f>SUM('Acct Summary 7-8'!C17,'Acct Summary 7-8'!D17,'Acct Summary 7-8'!F17)</f>
        <v>9845890</v>
      </c>
      <c r="G16" s="356"/>
      <c r="H16" s="1733">
        <f>SUM(D16-F16)</f>
        <v>2323700</v>
      </c>
      <c r="I16" s="222"/>
      <c r="J16" s="1733">
        <f>SUM('Acct Summary 7-8'!C81,'Acct Summary 7-8'!D81,'Acct Summary 7-8'!F81,'Acct Summary 7-8'!I81)</f>
        <v>15737345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13435147.527000001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5625000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Rhodes SD 84.5</v>
      </c>
      <c r="E7" s="391"/>
      <c r="G7" s="252"/>
      <c r="H7" s="387"/>
      <c r="I7" s="387"/>
      <c r="J7" s="387"/>
      <c r="K7" s="387"/>
      <c r="L7" s="329"/>
      <c r="M7" s="329"/>
      <c r="N7" s="329"/>
      <c r="O7" s="329"/>
      <c r="P7" s="329"/>
    </row>
    <row r="8" spans="1:18" ht="12.75" x14ac:dyDescent="0.2">
      <c r="A8" s="329"/>
      <c r="B8" s="329"/>
      <c r="C8" s="389" t="s">
        <v>1125</v>
      </c>
      <c r="D8" s="392">
        <f>COVER!A13</f>
        <v>6016084502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15737345</v>
      </c>
      <c r="I12" s="404"/>
      <c r="J12" s="404"/>
      <c r="K12" s="405">
        <f>TRUNC((H12/H13*100000),5)/100000</f>
        <v>1.2931696958999999</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12169590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9845890</v>
      </c>
      <c r="I17" s="404"/>
      <c r="J17" s="416"/>
      <c r="K17" s="405">
        <f>TRUNC((H17/H18*100000),5)/100000</f>
        <v>0.80905683750000001</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12169590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15742010</v>
      </c>
      <c r="I24" s="422"/>
      <c r="J24" s="422"/>
      <c r="K24" s="423">
        <f>TRUNC(((H24/H25*100000)/100000),2)</f>
        <v>575.58000000000004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27349.694439999999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6956193.6663199998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5625000</v>
      </c>
      <c r="I32" s="420"/>
      <c r="J32" s="420"/>
      <c r="K32" s="423">
        <f>TRUNC(100-((((H32/H33*100))*100)/100),2)</f>
        <v>58.13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13435147.527000001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1" activePane="bottomLeft" state="frozen"/>
      <selection pane="bottomLeft" activeCell="M39" sqref="M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14919534</v>
      </c>
      <c r="D4" s="466">
        <v>168234</v>
      </c>
      <c r="E4" s="466">
        <v>14</v>
      </c>
      <c r="F4" s="466">
        <v>161230</v>
      </c>
      <c r="G4" s="466">
        <v>121771</v>
      </c>
      <c r="H4" s="466">
        <v>91342</v>
      </c>
      <c r="I4" s="466">
        <v>493012</v>
      </c>
      <c r="J4" s="467">
        <v>669876</v>
      </c>
      <c r="K4" s="466">
        <v>81168</v>
      </c>
      <c r="L4" s="466">
        <v>0</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14919534</v>
      </c>
      <c r="D13" s="1737">
        <f t="shared" ref="D13:L13" si="0">SUM(D4:D12)</f>
        <v>168234</v>
      </c>
      <c r="E13" s="1737">
        <f t="shared" si="0"/>
        <v>14</v>
      </c>
      <c r="F13" s="1737">
        <f t="shared" si="0"/>
        <v>161230</v>
      </c>
      <c r="G13" s="1737">
        <f t="shared" si="0"/>
        <v>121771</v>
      </c>
      <c r="H13" s="1737">
        <f t="shared" si="0"/>
        <v>91342</v>
      </c>
      <c r="I13" s="1737">
        <f t="shared" si="0"/>
        <v>493012</v>
      </c>
      <c r="J13" s="1737">
        <f t="shared" si="0"/>
        <v>669876</v>
      </c>
      <c r="K13" s="1737">
        <f t="shared" si="0"/>
        <v>81168</v>
      </c>
      <c r="L13" s="1737">
        <f t="shared" si="0"/>
        <v>0</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7000</v>
      </c>
      <c r="N16" s="484"/>
    </row>
    <row r="17" spans="1:14" s="485" customFormat="1" ht="12.75" customHeight="1" x14ac:dyDescent="0.2">
      <c r="A17" s="482" t="s">
        <v>1403</v>
      </c>
      <c r="B17" s="483">
        <v>230</v>
      </c>
      <c r="C17" s="477"/>
      <c r="D17" s="477"/>
      <c r="E17" s="477"/>
      <c r="F17" s="477"/>
      <c r="G17" s="477"/>
      <c r="H17" s="477"/>
      <c r="I17" s="477"/>
      <c r="J17" s="477"/>
      <c r="K17" s="477"/>
      <c r="L17" s="477"/>
      <c r="M17" s="467">
        <v>14434289</v>
      </c>
      <c r="N17" s="484"/>
    </row>
    <row r="18" spans="1:14" s="485" customFormat="1" ht="12.75" customHeight="1" x14ac:dyDescent="0.2">
      <c r="A18" s="482" t="s">
        <v>1404</v>
      </c>
      <c r="B18" s="483">
        <v>240</v>
      </c>
      <c r="C18" s="477"/>
      <c r="D18" s="477"/>
      <c r="E18" s="477"/>
      <c r="F18" s="477"/>
      <c r="G18" s="477"/>
      <c r="H18" s="477"/>
      <c r="I18" s="477"/>
      <c r="J18" s="477"/>
      <c r="K18" s="477"/>
      <c r="L18" s="477"/>
      <c r="M18" s="467">
        <v>97719</v>
      </c>
      <c r="N18" s="484"/>
    </row>
    <row r="19" spans="1:14" s="485" customFormat="1" ht="12.75" customHeight="1" x14ac:dyDescent="0.2">
      <c r="A19" s="482" t="s">
        <v>1405</v>
      </c>
      <c r="B19" s="483">
        <v>250</v>
      </c>
      <c r="C19" s="477"/>
      <c r="D19" s="477"/>
      <c r="E19" s="477"/>
      <c r="F19" s="477"/>
      <c r="G19" s="477"/>
      <c r="H19" s="477"/>
      <c r="I19" s="477"/>
      <c r="J19" s="477"/>
      <c r="K19" s="477"/>
      <c r="L19" s="477"/>
      <c r="M19" s="467">
        <v>723664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5624986</v>
      </c>
    </row>
    <row r="23" spans="1:14" ht="13.5" customHeight="1" thickBot="1" x14ac:dyDescent="0.25">
      <c r="A23" s="1736" t="s">
        <v>643</v>
      </c>
      <c r="B23" s="1741"/>
      <c r="C23" s="468"/>
      <c r="D23" s="468"/>
      <c r="E23" s="468"/>
      <c r="F23" s="468"/>
      <c r="G23" s="468"/>
      <c r="H23" s="468"/>
      <c r="I23" s="468"/>
      <c r="J23" s="468"/>
      <c r="K23" s="468"/>
      <c r="L23" s="468"/>
      <c r="M23" s="1688">
        <f>SUM(M15:M22)</f>
        <v>15262672</v>
      </c>
      <c r="N23" s="1688">
        <f>SUM(N21:N22)</f>
        <v>5625000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4665</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4665</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5625000</v>
      </c>
    </row>
    <row r="37" spans="1:14" ht="13.5" thickBot="1" x14ac:dyDescent="0.25">
      <c r="A37" s="1736" t="s">
        <v>653</v>
      </c>
      <c r="B37" s="1741"/>
      <c r="C37" s="477"/>
      <c r="D37" s="477"/>
      <c r="E37" s="477"/>
      <c r="F37" s="477"/>
      <c r="G37" s="477"/>
      <c r="H37" s="477"/>
      <c r="I37" s="477"/>
      <c r="J37" s="477"/>
      <c r="K37" s="477"/>
      <c r="L37" s="480"/>
      <c r="M37" s="468"/>
      <c r="N37" s="1688">
        <f>SUM(N36:N36)</f>
        <v>5625000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14914869</v>
      </c>
      <c r="D39" s="466">
        <v>168234</v>
      </c>
      <c r="E39" s="466">
        <v>14</v>
      </c>
      <c r="F39" s="466">
        <v>161230</v>
      </c>
      <c r="G39" s="466">
        <v>121771</v>
      </c>
      <c r="H39" s="466">
        <v>91342</v>
      </c>
      <c r="I39" s="466">
        <v>493012</v>
      </c>
      <c r="J39" s="467">
        <v>669876</v>
      </c>
      <c r="K39" s="466">
        <v>81168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15262672</v>
      </c>
      <c r="N40" s="497"/>
    </row>
    <row r="41" spans="1:14" ht="13.5" customHeight="1" thickBot="1" x14ac:dyDescent="0.25">
      <c r="A41" s="1736" t="s">
        <v>655</v>
      </c>
      <c r="B41" s="1706"/>
      <c r="C41" s="1688">
        <f>(SUM(C34,C37,C38,C39))</f>
        <v>14919534</v>
      </c>
      <c r="D41" s="1688">
        <f t="shared" ref="D41:L41" si="2">SUM(D34,D37,D38:D39)</f>
        <v>168234</v>
      </c>
      <c r="E41" s="1688">
        <f t="shared" si="2"/>
        <v>14</v>
      </c>
      <c r="F41" s="1688">
        <f t="shared" si="2"/>
        <v>161230</v>
      </c>
      <c r="G41" s="1688">
        <f t="shared" si="2"/>
        <v>121771</v>
      </c>
      <c r="H41" s="1688">
        <f t="shared" si="2"/>
        <v>91342</v>
      </c>
      <c r="I41" s="1688">
        <f t="shared" si="2"/>
        <v>493012</v>
      </c>
      <c r="J41" s="1688">
        <f t="shared" si="2"/>
        <v>669876</v>
      </c>
      <c r="K41" s="1688">
        <f t="shared" si="2"/>
        <v>81168</v>
      </c>
      <c r="L41" s="1688">
        <f t="shared" si="2"/>
        <v>0</v>
      </c>
      <c r="M41" s="1688">
        <f>SUM(M40)</f>
        <v>15262672</v>
      </c>
      <c r="N41" s="1688">
        <f>SUM(N37)</f>
        <v>5625000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7778134</v>
      </c>
      <c r="D4" s="1742">
        <f>'Revenues 9-14'!D109</f>
        <v>997037</v>
      </c>
      <c r="E4" s="1742">
        <f>'Revenues 9-14'!E109</f>
        <v>447857</v>
      </c>
      <c r="F4" s="1742">
        <f>'Revenues 9-14'!F109</f>
        <v>363933</v>
      </c>
      <c r="G4" s="1742">
        <f>'Revenues 9-14'!G109</f>
        <v>516274</v>
      </c>
      <c r="H4" s="1742">
        <f>'Revenues 9-14'!H109</f>
        <v>0</v>
      </c>
      <c r="I4" s="1742">
        <f>'Revenues 9-14'!I109</f>
        <v>65503</v>
      </c>
      <c r="J4" s="1742">
        <f>'Revenues 9-14'!J109</f>
        <v>8196</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1924313</v>
      </c>
      <c r="D6" s="1743">
        <f>'Revenues 9-14'!D170</f>
        <v>0</v>
      </c>
      <c r="E6" s="1743">
        <f>'Revenues 9-14'!E170</f>
        <v>0</v>
      </c>
      <c r="F6" s="1743">
        <f>'Revenues 9-14'!F170</f>
        <v>248442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792228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10494675</v>
      </c>
      <c r="D8" s="1688">
        <f t="shared" ref="D8:K8" si="0">SUM(D4:D7)</f>
        <v>997037</v>
      </c>
      <c r="E8" s="1688">
        <f t="shared" si="0"/>
        <v>447857</v>
      </c>
      <c r="F8" s="1688">
        <f t="shared" si="0"/>
        <v>612375</v>
      </c>
      <c r="G8" s="1688">
        <f t="shared" si="0"/>
        <v>516274</v>
      </c>
      <c r="H8" s="1688">
        <f t="shared" si="0"/>
        <v>0</v>
      </c>
      <c r="I8" s="1688">
        <f t="shared" si="0"/>
        <v>65503</v>
      </c>
      <c r="J8" s="1688">
        <f t="shared" si="0"/>
        <v>8196</v>
      </c>
      <c r="K8" s="1688">
        <f t="shared" si="0"/>
        <v>0</v>
      </c>
      <c r="L8" s="347"/>
    </row>
    <row r="9" spans="1:13" ht="15.75" thickTop="1" x14ac:dyDescent="0.2">
      <c r="A9" s="514" t="s">
        <v>1653</v>
      </c>
      <c r="B9" s="515">
        <v>3998</v>
      </c>
      <c r="C9" s="481">
        <v>3366602</v>
      </c>
      <c r="D9" s="516"/>
      <c r="E9" s="481"/>
      <c r="F9" s="481"/>
      <c r="G9" s="517"/>
      <c r="H9" s="481"/>
      <c r="I9" s="509" t="s">
        <v>1169</v>
      </c>
      <c r="J9" s="478"/>
      <c r="K9" s="481"/>
      <c r="L9" s="347"/>
    </row>
    <row r="10" spans="1:13" s="519" customFormat="1" ht="13.5" thickBot="1" x14ac:dyDescent="0.25">
      <c r="A10" s="1736" t="s">
        <v>1173</v>
      </c>
      <c r="B10" s="1709"/>
      <c r="C10" s="1688">
        <f>SUM(C8:C9)</f>
        <v>13861277</v>
      </c>
      <c r="D10" s="1688">
        <f t="shared" ref="D10:K10" si="1">SUM(D8:D9)</f>
        <v>997037</v>
      </c>
      <c r="E10" s="1688">
        <f t="shared" si="1"/>
        <v>447857</v>
      </c>
      <c r="F10" s="1688">
        <f t="shared" si="1"/>
        <v>612375</v>
      </c>
      <c r="G10" s="1688">
        <f t="shared" si="1"/>
        <v>516274</v>
      </c>
      <c r="H10" s="1688">
        <f t="shared" si="1"/>
        <v>0</v>
      </c>
      <c r="I10" s="1688">
        <f t="shared" si="1"/>
        <v>65503</v>
      </c>
      <c r="J10" s="1688">
        <f t="shared" si="1"/>
        <v>8196</v>
      </c>
      <c r="K10" s="1688">
        <f t="shared" si="1"/>
        <v>0</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5792521</v>
      </c>
      <c r="D12" s="520" t="s">
        <v>1169</v>
      </c>
      <c r="E12" s="468" t="s">
        <v>1169</v>
      </c>
      <c r="F12" s="468" t="s">
        <v>1169</v>
      </c>
      <c r="G12" s="1742">
        <f>'Expenditures 15-22'!K229</f>
        <v>77471</v>
      </c>
      <c r="H12" s="521"/>
      <c r="I12" s="468" t="s">
        <v>1169</v>
      </c>
      <c r="J12" s="468" t="s">
        <v>1169</v>
      </c>
      <c r="K12" s="521" t="s">
        <v>1169</v>
      </c>
      <c r="L12" s="347"/>
    </row>
    <row r="13" spans="1:13" ht="15.75" customHeight="1" x14ac:dyDescent="0.2">
      <c r="A13" s="1576" t="s">
        <v>457</v>
      </c>
      <c r="B13" s="1578">
        <v>2000</v>
      </c>
      <c r="C13" s="1743">
        <f>'Expenditures 15-22'!K74</f>
        <v>2089915</v>
      </c>
      <c r="D13" s="1743">
        <f>'Expenditures 15-22'!K129</f>
        <v>984691</v>
      </c>
      <c r="E13" s="469" t="s">
        <v>1169</v>
      </c>
      <c r="F13" s="1743">
        <f>'Expenditures 15-22'!K184</f>
        <v>637351</v>
      </c>
      <c r="G13" s="1743">
        <f>'Expenditures 15-22'!K279</f>
        <v>320274</v>
      </c>
      <c r="H13" s="1743">
        <f>'Expenditures 15-22'!K303</f>
        <v>3082911</v>
      </c>
      <c r="I13" s="468" t="s">
        <v>1169</v>
      </c>
      <c r="J13" s="1743">
        <f>'Expenditures 15-22'!K330</f>
        <v>80220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341412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757667</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8223848</v>
      </c>
      <c r="D17" s="1688">
        <f t="shared" si="2"/>
        <v>984691</v>
      </c>
      <c r="E17" s="1688">
        <f t="shared" si="2"/>
        <v>757667</v>
      </c>
      <c r="F17" s="1688">
        <f t="shared" si="2"/>
        <v>637351</v>
      </c>
      <c r="G17" s="1688">
        <f t="shared" si="2"/>
        <v>397745</v>
      </c>
      <c r="H17" s="1688">
        <f t="shared" si="2"/>
        <v>3082911</v>
      </c>
      <c r="I17" s="468"/>
      <c r="J17" s="1688">
        <f>SUM(J12:J16)</f>
        <v>80220</v>
      </c>
      <c r="K17" s="1688">
        <f>SUM(K12:K16)</f>
        <v>0</v>
      </c>
      <c r="L17" s="347"/>
    </row>
    <row r="18" spans="1:12" ht="15" customHeight="1" thickTop="1" x14ac:dyDescent="0.2">
      <c r="A18" s="1744" t="s">
        <v>1654</v>
      </c>
      <c r="B18" s="1745">
        <v>4180</v>
      </c>
      <c r="C18" s="1742">
        <f t="shared" ref="C18:H18" si="3">C9</f>
        <v>3366602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11590450</v>
      </c>
      <c r="D19" s="1688">
        <f t="shared" si="4"/>
        <v>984691</v>
      </c>
      <c r="E19" s="1688">
        <f t="shared" si="4"/>
        <v>757667</v>
      </c>
      <c r="F19" s="1688">
        <f t="shared" si="4"/>
        <v>637351</v>
      </c>
      <c r="G19" s="1688">
        <f t="shared" si="4"/>
        <v>397745</v>
      </c>
      <c r="H19" s="1688">
        <f t="shared" si="4"/>
        <v>3082911</v>
      </c>
      <c r="I19" s="468"/>
      <c r="J19" s="1688">
        <f>SUM(J17:J18)</f>
        <v>80220</v>
      </c>
      <c r="K19" s="1688">
        <f>SUM(K17:K18)</f>
        <v>0</v>
      </c>
      <c r="L19" s="347"/>
    </row>
    <row r="20" spans="1:12" ht="16.5" thickTop="1" thickBot="1" x14ac:dyDescent="0.25">
      <c r="A20" s="2126" t="s">
        <v>1655</v>
      </c>
      <c r="B20" s="2127"/>
      <c r="C20" s="1746">
        <f>C8-C17</f>
        <v>2270827</v>
      </c>
      <c r="D20" s="1746">
        <f t="shared" ref="D20:K20" si="5">D8-D17</f>
        <v>12346</v>
      </c>
      <c r="E20" s="1746">
        <f t="shared" si="5"/>
        <v>-309810</v>
      </c>
      <c r="F20" s="1746">
        <f t="shared" si="5"/>
        <v>-24976</v>
      </c>
      <c r="G20" s="1746">
        <f t="shared" si="5"/>
        <v>118529</v>
      </c>
      <c r="H20" s="1746">
        <f t="shared" si="5"/>
        <v>-3082911</v>
      </c>
      <c r="I20" s="1746">
        <f t="shared" si="5"/>
        <v>65503</v>
      </c>
      <c r="J20" s="1746">
        <f t="shared" si="5"/>
        <v>-72024</v>
      </c>
      <c r="K20" s="1746">
        <f t="shared" si="5"/>
        <v>0</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v>3174253</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v>6135000</v>
      </c>
      <c r="J33" s="467"/>
      <c r="K33" s="467"/>
      <c r="L33" s="524"/>
    </row>
    <row r="34" spans="1:12" s="485" customFormat="1" x14ac:dyDescent="0.2">
      <c r="A34" s="1489" t="s">
        <v>1001</v>
      </c>
      <c r="B34" s="525">
        <v>7220</v>
      </c>
      <c r="C34" s="467"/>
      <c r="D34" s="467"/>
      <c r="E34" s="467"/>
      <c r="F34" s="467"/>
      <c r="G34" s="477"/>
      <c r="H34" s="478"/>
      <c r="I34" s="478">
        <v>535350</v>
      </c>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3174253</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3174253</v>
      </c>
      <c r="E44" s="1703">
        <f t="shared" si="6"/>
        <v>0</v>
      </c>
      <c r="F44" s="1703">
        <f t="shared" si="6"/>
        <v>0</v>
      </c>
      <c r="G44" s="1703">
        <f t="shared" si="6"/>
        <v>0</v>
      </c>
      <c r="H44" s="1703">
        <f t="shared" si="6"/>
        <v>3174253</v>
      </c>
      <c r="I44" s="1703">
        <f t="shared" si="6"/>
        <v>6670350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3174253</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v>3174253</v>
      </c>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v>3492134</v>
      </c>
      <c r="J75" s="530"/>
      <c r="K75" s="532"/>
      <c r="L75" s="524"/>
    </row>
    <row r="76" spans="1:12" s="485" customFormat="1" ht="14.25" thickTop="1" thickBot="1" x14ac:dyDescent="0.25">
      <c r="A76" s="2116" t="s">
        <v>440</v>
      </c>
      <c r="B76" s="2117"/>
      <c r="C76" s="1703">
        <f t="shared" ref="C76:K76" si="7">SUM(C47:C75)</f>
        <v>0</v>
      </c>
      <c r="D76" s="1703">
        <f t="shared" si="7"/>
        <v>3174253</v>
      </c>
      <c r="E76" s="1703">
        <f t="shared" si="7"/>
        <v>0</v>
      </c>
      <c r="F76" s="1703">
        <f t="shared" si="7"/>
        <v>0</v>
      </c>
      <c r="G76" s="1703">
        <f t="shared" si="7"/>
        <v>0</v>
      </c>
      <c r="H76" s="1703">
        <f t="shared" si="7"/>
        <v>0</v>
      </c>
      <c r="I76" s="1703">
        <f t="shared" si="7"/>
        <v>6666387</v>
      </c>
      <c r="J76" s="1703">
        <f t="shared" si="7"/>
        <v>0</v>
      </c>
      <c r="K76" s="1703">
        <f t="shared" si="7"/>
        <v>0</v>
      </c>
      <c r="L76" s="524"/>
    </row>
    <row r="77" spans="1:12" ht="14.25" thickTop="1" thickBot="1" x14ac:dyDescent="0.25">
      <c r="A77" s="2118" t="s">
        <v>1177</v>
      </c>
      <c r="B77" s="2119"/>
      <c r="C77" s="1703">
        <f t="shared" ref="C77:K77" si="8">C44-C76</f>
        <v>0</v>
      </c>
      <c r="D77" s="1703">
        <f t="shared" si="8"/>
        <v>0</v>
      </c>
      <c r="E77" s="1703">
        <f t="shared" si="8"/>
        <v>0</v>
      </c>
      <c r="F77" s="1703">
        <f t="shared" si="8"/>
        <v>0</v>
      </c>
      <c r="G77" s="1703">
        <f t="shared" si="8"/>
        <v>0</v>
      </c>
      <c r="H77" s="1703">
        <f t="shared" si="8"/>
        <v>3174253</v>
      </c>
      <c r="I77" s="1703">
        <f t="shared" si="8"/>
        <v>3963</v>
      </c>
      <c r="J77" s="1703">
        <f t="shared" si="8"/>
        <v>0</v>
      </c>
      <c r="K77" s="1703">
        <f t="shared" si="8"/>
        <v>0</v>
      </c>
      <c r="L77" s="347"/>
    </row>
    <row r="78" spans="1:12" ht="21.75" customHeight="1" thickTop="1" thickBot="1" x14ac:dyDescent="0.25">
      <c r="A78" s="2122" t="s">
        <v>597</v>
      </c>
      <c r="B78" s="2123"/>
      <c r="C78" s="1702">
        <f t="shared" ref="C78:K78" si="9">C20+C77</f>
        <v>2270827</v>
      </c>
      <c r="D78" s="1702">
        <f t="shared" si="9"/>
        <v>12346</v>
      </c>
      <c r="E78" s="1702">
        <f t="shared" si="9"/>
        <v>-309810</v>
      </c>
      <c r="F78" s="1702">
        <f t="shared" si="9"/>
        <v>-24976</v>
      </c>
      <c r="G78" s="1702">
        <f t="shared" si="9"/>
        <v>118529</v>
      </c>
      <c r="H78" s="1702">
        <f t="shared" si="9"/>
        <v>91342</v>
      </c>
      <c r="I78" s="1702">
        <f t="shared" si="9"/>
        <v>69466</v>
      </c>
      <c r="J78" s="1702">
        <f t="shared" si="9"/>
        <v>-72024</v>
      </c>
      <c r="K78" s="1702">
        <f t="shared" si="9"/>
        <v>0</v>
      </c>
      <c r="L78" s="533"/>
    </row>
    <row r="79" spans="1:12" ht="13.5" thickTop="1" x14ac:dyDescent="0.2">
      <c r="A79" s="1494" t="s">
        <v>1949</v>
      </c>
      <c r="B79" s="534"/>
      <c r="C79" s="478">
        <v>12644042</v>
      </c>
      <c r="D79" s="535">
        <v>155888</v>
      </c>
      <c r="E79" s="535">
        <v>309824</v>
      </c>
      <c r="F79" s="535">
        <v>186206</v>
      </c>
      <c r="G79" s="535">
        <v>3242</v>
      </c>
      <c r="H79" s="535">
        <v>0</v>
      </c>
      <c r="I79" s="535">
        <v>423546</v>
      </c>
      <c r="J79" s="535">
        <v>741900</v>
      </c>
      <c r="K79" s="535">
        <v>81168</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1950</v>
      </c>
      <c r="B81" s="2121"/>
      <c r="C81" s="1688">
        <f>(SUM(C78:C80))</f>
        <v>14914869</v>
      </c>
      <c r="D81" s="1688">
        <f>SUM(D78:D80)</f>
        <v>168234</v>
      </c>
      <c r="E81" s="1688">
        <f t="shared" ref="E81:K81" si="10">SUM(E78:E80)</f>
        <v>14</v>
      </c>
      <c r="F81" s="1688">
        <f t="shared" si="10"/>
        <v>161230</v>
      </c>
      <c r="G81" s="1688">
        <f t="shared" si="10"/>
        <v>121771</v>
      </c>
      <c r="H81" s="1688">
        <f t="shared" si="10"/>
        <v>91342</v>
      </c>
      <c r="I81" s="1688">
        <f t="shared" si="10"/>
        <v>493012</v>
      </c>
      <c r="J81" s="1688">
        <f t="shared" si="10"/>
        <v>669876</v>
      </c>
      <c r="K81" s="1688">
        <f t="shared" si="10"/>
        <v>81168</v>
      </c>
      <c r="L81" s="347"/>
    </row>
    <row r="82" spans="1:12" ht="0.75" customHeight="1" thickTop="1" thickBot="1" x14ac:dyDescent="0.25">
      <c r="A82" s="536" t="s">
        <v>343</v>
      </c>
      <c r="B82" s="537"/>
      <c r="C82" s="538">
        <f>(C81-C79)</f>
        <v>2270827</v>
      </c>
      <c r="D82" s="538">
        <f t="shared" ref="D82:K82" si="11">(D81-D79)</f>
        <v>12346</v>
      </c>
      <c r="E82" s="538">
        <f t="shared" si="11"/>
        <v>-309810</v>
      </c>
      <c r="F82" s="538">
        <f t="shared" si="11"/>
        <v>-24976</v>
      </c>
      <c r="G82" s="538">
        <f t="shared" si="11"/>
        <v>118529</v>
      </c>
      <c r="H82" s="538">
        <f t="shared" si="11"/>
        <v>91342</v>
      </c>
      <c r="I82" s="538">
        <f t="shared" si="11"/>
        <v>69466</v>
      </c>
      <c r="J82" s="538">
        <f t="shared" si="11"/>
        <v>-72024</v>
      </c>
      <c r="K82" s="538">
        <f t="shared" si="11"/>
        <v>0</v>
      </c>
    </row>
    <row r="83" spans="1:12" ht="14.25" hidden="1" thickTop="1" thickBot="1" x14ac:dyDescent="0.25">
      <c r="A83" s="539" t="s">
        <v>344</v>
      </c>
      <c r="B83" s="464"/>
      <c r="C83" s="540">
        <f>C82/C81</f>
        <v>0.15225256085051769</v>
      </c>
      <c r="D83" s="540">
        <f t="shared" ref="D83:K83" si="12">D82/D81</f>
        <v>7.3385879192077702E-2</v>
      </c>
      <c r="E83" s="540">
        <f t="shared" si="12"/>
        <v>-22129.285714285714</v>
      </c>
      <c r="F83" s="540">
        <f t="shared" si="12"/>
        <v>-0.15490913601687031</v>
      </c>
      <c r="G83" s="540">
        <f t="shared" si="12"/>
        <v>0.97337625543027484</v>
      </c>
      <c r="H83" s="540">
        <f t="shared" si="12"/>
        <v>1</v>
      </c>
      <c r="I83" s="540">
        <f t="shared" si="12"/>
        <v>0.14090123566972002</v>
      </c>
      <c r="J83" s="540">
        <f t="shared" si="12"/>
        <v>-0.10751840639163068</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3" activePane="bottomLeft" state="frozen"/>
      <selection pane="bottomLeft" activeCell="C191" sqref="C19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6665939</v>
      </c>
      <c r="D5" s="481">
        <v>974033</v>
      </c>
      <c r="E5" s="466">
        <v>433795</v>
      </c>
      <c r="F5" s="548"/>
      <c r="G5" s="466">
        <v>-8870</v>
      </c>
      <c r="H5" s="466"/>
      <c r="I5" s="466">
        <v>65496</v>
      </c>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662275</v>
      </c>
      <c r="D7" s="466"/>
      <c r="E7" s="468"/>
      <c r="F7" s="467"/>
      <c r="G7" s="467"/>
      <c r="H7" s="467"/>
      <c r="I7" s="468"/>
      <c r="J7" s="468"/>
      <c r="K7" s="468"/>
    </row>
    <row r="8" spans="1:12" x14ac:dyDescent="0.2">
      <c r="A8" s="463" t="s">
        <v>413</v>
      </c>
      <c r="B8" s="470">
        <v>1150</v>
      </c>
      <c r="C8" s="475"/>
      <c r="D8" s="475"/>
      <c r="E8" s="477"/>
      <c r="F8" s="477"/>
      <c r="G8" s="481">
        <v>-8870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7328214</v>
      </c>
      <c r="D12" s="1707">
        <f t="shared" si="0"/>
        <v>974033</v>
      </c>
      <c r="E12" s="1707">
        <f t="shared" si="0"/>
        <v>433795</v>
      </c>
      <c r="F12" s="1707">
        <f t="shared" si="0"/>
        <v>0</v>
      </c>
      <c r="G12" s="1707">
        <f t="shared" si="0"/>
        <v>-17740</v>
      </c>
      <c r="H12" s="1707">
        <f t="shared" si="0"/>
        <v>0</v>
      </c>
      <c r="I12" s="1707">
        <f t="shared" si="0"/>
        <v>65496</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v>534014</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534014</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281988</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v>81945</v>
      </c>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363933</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289292</v>
      </c>
      <c r="D65" s="466">
        <v>82</v>
      </c>
      <c r="E65" s="466">
        <v>14062</v>
      </c>
      <c r="F65" s="467"/>
      <c r="G65" s="466"/>
      <c r="H65" s="466"/>
      <c r="I65" s="466">
        <v>7</v>
      </c>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289292</v>
      </c>
      <c r="D67" s="1688">
        <f t="shared" ref="D67:K67" si="2">SUM(D65:D66)</f>
        <v>82</v>
      </c>
      <c r="E67" s="1688">
        <f t="shared" si="2"/>
        <v>14062</v>
      </c>
      <c r="F67" s="1688">
        <f t="shared" si="2"/>
        <v>0</v>
      </c>
      <c r="G67" s="1688">
        <f t="shared" si="2"/>
        <v>0</v>
      </c>
      <c r="H67" s="1688">
        <f t="shared" si="2"/>
        <v>0</v>
      </c>
      <c r="I67" s="1688">
        <f t="shared" si="2"/>
        <v>7</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57375</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57375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2511</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2511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17233</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17233</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933</v>
      </c>
      <c r="D99" s="466"/>
      <c r="E99" s="466"/>
      <c r="F99" s="466"/>
      <c r="G99" s="466"/>
      <c r="H99" s="466"/>
      <c r="I99" s="468"/>
      <c r="J99" s="467">
        <v>8196</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8574</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49059</v>
      </c>
      <c r="D106" s="489"/>
      <c r="E106" s="467"/>
      <c r="F106" s="467"/>
      <c r="G106" s="467"/>
      <c r="H106" s="467"/>
      <c r="I106" s="521"/>
      <c r="J106" s="467"/>
      <c r="K106" s="467"/>
    </row>
    <row r="107" spans="1:12" ht="12.75" customHeight="1" x14ac:dyDescent="0.2">
      <c r="A107" s="463" t="s">
        <v>78</v>
      </c>
      <c r="B107" s="470">
        <v>1999</v>
      </c>
      <c r="C107" s="551">
        <v>24943</v>
      </c>
      <c r="D107" s="466">
        <v>22922</v>
      </c>
      <c r="E107" s="466"/>
      <c r="F107" s="466"/>
      <c r="G107" s="466"/>
      <c r="H107" s="466"/>
      <c r="I107" s="466"/>
      <c r="J107" s="467"/>
      <c r="K107" s="466"/>
    </row>
    <row r="108" spans="1:12" ht="12.75" customHeight="1" thickBot="1" x14ac:dyDescent="0.25">
      <c r="A108" s="1708" t="s">
        <v>487</v>
      </c>
      <c r="B108" s="1712"/>
      <c r="C108" s="1707">
        <f>SUM(C95:C107)</f>
        <v>83509</v>
      </c>
      <c r="D108" s="1707">
        <f t="shared" ref="D108:K108" si="3">SUM(D95:D107)</f>
        <v>22922</v>
      </c>
      <c r="E108" s="1707">
        <f t="shared" si="3"/>
        <v>0</v>
      </c>
      <c r="F108" s="1707">
        <f t="shared" si="3"/>
        <v>0</v>
      </c>
      <c r="G108" s="1707">
        <f t="shared" si="3"/>
        <v>0</v>
      </c>
      <c r="H108" s="1707">
        <f t="shared" si="3"/>
        <v>0</v>
      </c>
      <c r="I108" s="1707">
        <f t="shared" si="3"/>
        <v>0</v>
      </c>
      <c r="J108" s="1707">
        <f t="shared" si="3"/>
        <v>8196</v>
      </c>
      <c r="K108" s="1688">
        <f t="shared" si="3"/>
        <v>0</v>
      </c>
    </row>
    <row r="109" spans="1:12" ht="14.25" thickTop="1" thickBot="1" x14ac:dyDescent="0.25">
      <c r="A109" s="1713" t="s">
        <v>248</v>
      </c>
      <c r="B109" s="1714" t="s">
        <v>570</v>
      </c>
      <c r="C109" s="1715">
        <f t="shared" ref="C109:K109" si="4">SUM(C12,C18,C40,C63,C67,C75,C82,C93,C108,)</f>
        <v>7778134</v>
      </c>
      <c r="D109" s="1715">
        <f t="shared" si="4"/>
        <v>997037</v>
      </c>
      <c r="E109" s="1715">
        <f t="shared" si="4"/>
        <v>447857</v>
      </c>
      <c r="F109" s="1715">
        <f t="shared" si="4"/>
        <v>363933</v>
      </c>
      <c r="G109" s="1715">
        <f t="shared" si="4"/>
        <v>516274</v>
      </c>
      <c r="H109" s="1715">
        <f t="shared" si="4"/>
        <v>0</v>
      </c>
      <c r="I109" s="1715">
        <f t="shared" si="4"/>
        <v>65503</v>
      </c>
      <c r="J109" s="1715">
        <f t="shared" si="4"/>
        <v>8196</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1621032</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1621032</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57930</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57930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4612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5920</v>
      </c>
      <c r="G152" s="467"/>
      <c r="H152" s="468"/>
      <c r="I152" s="468"/>
      <c r="J152" s="468"/>
      <c r="K152" s="468"/>
    </row>
    <row r="153" spans="1:11" ht="12.75" customHeight="1" x14ac:dyDescent="0.2">
      <c r="A153" s="463" t="s">
        <v>1057</v>
      </c>
      <c r="B153" s="562">
        <v>3510</v>
      </c>
      <c r="C153" s="551"/>
      <c r="D153" s="466"/>
      <c r="E153" s="561"/>
      <c r="F153" s="466">
        <v>242522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248442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181861</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58878</v>
      </c>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303281</v>
      </c>
      <c r="D169" s="1722">
        <f t="shared" si="6"/>
        <v>0</v>
      </c>
      <c r="E169" s="1722">
        <f t="shared" si="6"/>
        <v>0</v>
      </c>
      <c r="F169" s="1722">
        <f t="shared" si="6"/>
        <v>248442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1924313</v>
      </c>
      <c r="D170" s="1715">
        <f t="shared" si="7"/>
        <v>0</v>
      </c>
      <c r="E170" s="1715">
        <f t="shared" si="7"/>
        <v>0</v>
      </c>
      <c r="F170" s="1715">
        <f t="shared" si="7"/>
        <v>248442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190650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57892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248542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305185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305185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1512</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92466</v>
      </c>
      <c r="D213" s="466"/>
      <c r="E213" s="468"/>
      <c r="F213" s="466"/>
      <c r="G213" s="466"/>
      <c r="H213" s="468"/>
      <c r="I213" s="468"/>
      <c r="J213" s="468"/>
      <c r="K213" s="468"/>
    </row>
    <row r="214" spans="1:11" ht="12.75" customHeight="1" x14ac:dyDescent="0.2">
      <c r="A214" s="463" t="s">
        <v>1054</v>
      </c>
      <c r="B214" s="470">
        <v>4625</v>
      </c>
      <c r="C214" s="551">
        <v>8325</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102303</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25597</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34862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15202</v>
      </c>
      <c r="D263" s="576"/>
      <c r="E263" s="468"/>
      <c r="F263" s="576"/>
      <c r="G263" s="576"/>
      <c r="H263" s="468"/>
      <c r="I263" s="468"/>
      <c r="J263" s="468"/>
      <c r="K263" s="468"/>
    </row>
    <row r="264" spans="1:11" ht="12.75" customHeight="1" thickTop="1" thickBot="1" x14ac:dyDescent="0.25">
      <c r="A264" s="463" t="s">
        <v>377</v>
      </c>
      <c r="B264" s="470">
        <v>4992</v>
      </c>
      <c r="C264" s="575">
        <v>60537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792228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792228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10494675</v>
      </c>
      <c r="D268" s="1715">
        <f t="shared" si="12"/>
        <v>997037</v>
      </c>
      <c r="E268" s="1715">
        <f t="shared" si="12"/>
        <v>447857</v>
      </c>
      <c r="F268" s="1715">
        <f t="shared" si="12"/>
        <v>612375</v>
      </c>
      <c r="G268" s="1715">
        <f t="shared" si="12"/>
        <v>516274</v>
      </c>
      <c r="H268" s="1715">
        <f t="shared" si="12"/>
        <v>0</v>
      </c>
      <c r="I268" s="1715">
        <f t="shared" si="12"/>
        <v>65503</v>
      </c>
      <c r="J268" s="1715">
        <f t="shared" si="12"/>
        <v>8196</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3" activePane="bottomLeft" state="frozen"/>
      <selection pane="bottomLeft" activeCell="E65" sqref="E6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2750953</v>
      </c>
      <c r="D5" s="466">
        <v>534450</v>
      </c>
      <c r="E5" s="466">
        <v>11857</v>
      </c>
      <c r="F5" s="466">
        <v>183825</v>
      </c>
      <c r="G5" s="466">
        <v>28966</v>
      </c>
      <c r="H5" s="466"/>
      <c r="I5" s="467"/>
      <c r="J5" s="467"/>
      <c r="K5" s="1671">
        <f>SUM(C5:J5)</f>
        <v>3510051</v>
      </c>
      <c r="L5" s="466">
        <v>4107000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108711</v>
      </c>
      <c r="D7" s="467">
        <v>32649</v>
      </c>
      <c r="E7" s="467">
        <v>2996</v>
      </c>
      <c r="F7" s="467">
        <v>7512</v>
      </c>
      <c r="G7" s="467">
        <v>41434</v>
      </c>
      <c r="H7" s="467"/>
      <c r="I7" s="467"/>
      <c r="J7" s="467"/>
      <c r="K7" s="1671">
        <f t="shared" ref="K7:K32" si="0">SUM(C7:J7)</f>
        <v>193302</v>
      </c>
      <c r="L7" s="466">
        <v>178750</v>
      </c>
    </row>
    <row r="8" spans="1:14" x14ac:dyDescent="0.2">
      <c r="A8" s="1504" t="s">
        <v>164</v>
      </c>
      <c r="B8" s="614">
        <v>1200</v>
      </c>
      <c r="C8" s="466">
        <v>1010024</v>
      </c>
      <c r="D8" s="466">
        <v>197957</v>
      </c>
      <c r="E8" s="466">
        <v>4579</v>
      </c>
      <c r="F8" s="466">
        <v>19899</v>
      </c>
      <c r="G8" s="466"/>
      <c r="H8" s="466"/>
      <c r="I8" s="467"/>
      <c r="J8" s="467"/>
      <c r="K8" s="1671">
        <f t="shared" si="0"/>
        <v>1232459</v>
      </c>
      <c r="L8" s="466">
        <v>1322300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108243</v>
      </c>
      <c r="D10" s="466">
        <v>1389</v>
      </c>
      <c r="E10" s="466">
        <v>33733</v>
      </c>
      <c r="F10" s="466">
        <v>207061</v>
      </c>
      <c r="G10" s="466">
        <v>11055</v>
      </c>
      <c r="H10" s="466"/>
      <c r="I10" s="467"/>
      <c r="J10" s="467"/>
      <c r="K10" s="1671">
        <f t="shared" si="0"/>
        <v>361481</v>
      </c>
      <c r="L10" s="466">
        <v>382000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136912</v>
      </c>
      <c r="D14" s="466"/>
      <c r="E14" s="466">
        <v>4837</v>
      </c>
      <c r="F14" s="466">
        <v>20164</v>
      </c>
      <c r="G14" s="466"/>
      <c r="H14" s="466"/>
      <c r="I14" s="467"/>
      <c r="J14" s="467"/>
      <c r="K14" s="1671">
        <f t="shared" si="0"/>
        <v>161913</v>
      </c>
      <c r="L14" s="466">
        <v>176500</v>
      </c>
    </row>
    <row r="15" spans="1:14" x14ac:dyDescent="0.2">
      <c r="A15" s="1504" t="s">
        <v>964</v>
      </c>
      <c r="B15" s="614">
        <v>1600</v>
      </c>
      <c r="C15" s="466">
        <v>12018</v>
      </c>
      <c r="D15" s="466"/>
      <c r="E15" s="466"/>
      <c r="F15" s="466">
        <v>4</v>
      </c>
      <c r="G15" s="466"/>
      <c r="H15" s="466"/>
      <c r="I15" s="467"/>
      <c r="J15" s="467"/>
      <c r="K15" s="1671">
        <f t="shared" si="0"/>
        <v>12022</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321293</v>
      </c>
      <c r="I22" s="616"/>
      <c r="J22" s="477"/>
      <c r="K22" s="1671">
        <f t="shared" si="0"/>
        <v>321293</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4126861</v>
      </c>
      <c r="D33" s="1670">
        <f t="shared" ref="D33:L33" si="1">SUM(D5:D32)</f>
        <v>766445</v>
      </c>
      <c r="E33" s="1670">
        <f t="shared" si="1"/>
        <v>58002</v>
      </c>
      <c r="F33" s="1670">
        <f t="shared" si="1"/>
        <v>438465</v>
      </c>
      <c r="G33" s="1670">
        <f t="shared" si="1"/>
        <v>81455</v>
      </c>
      <c r="H33" s="1670">
        <f t="shared" si="1"/>
        <v>321293</v>
      </c>
      <c r="I33" s="1670">
        <f t="shared" si="1"/>
        <v>0</v>
      </c>
      <c r="J33" s="1670">
        <f t="shared" si="1"/>
        <v>0</v>
      </c>
      <c r="K33" s="1670">
        <f t="shared" si="1"/>
        <v>5792521</v>
      </c>
      <c r="L33" s="1670">
        <f t="shared" si="1"/>
        <v>6166550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126214</v>
      </c>
      <c r="D36" s="481">
        <v>30522</v>
      </c>
      <c r="E36" s="481"/>
      <c r="F36" s="481"/>
      <c r="G36" s="481"/>
      <c r="H36" s="481"/>
      <c r="I36" s="467"/>
      <c r="J36" s="467"/>
      <c r="K36" s="1671">
        <f t="shared" ref="K36:K41" si="2">SUM(C36:J36)</f>
        <v>156736</v>
      </c>
      <c r="L36" s="466">
        <v>176000</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63452</v>
      </c>
      <c r="D38" s="466">
        <v>9059</v>
      </c>
      <c r="E38" s="466">
        <v>180</v>
      </c>
      <c r="F38" s="466">
        <v>2879</v>
      </c>
      <c r="G38" s="466"/>
      <c r="H38" s="466"/>
      <c r="I38" s="467"/>
      <c r="J38" s="467"/>
      <c r="K38" s="1671">
        <f t="shared" si="2"/>
        <v>75570</v>
      </c>
      <c r="L38" s="466">
        <v>84000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49731</v>
      </c>
      <c r="D40" s="466">
        <v>8437</v>
      </c>
      <c r="E40" s="466"/>
      <c r="F40" s="466"/>
      <c r="G40" s="466"/>
      <c r="H40" s="466"/>
      <c r="I40" s="467"/>
      <c r="J40" s="467"/>
      <c r="K40" s="1671">
        <f t="shared" si="2"/>
        <v>58168</v>
      </c>
      <c r="L40" s="466">
        <v>64250</v>
      </c>
    </row>
    <row r="41" spans="1:14" x14ac:dyDescent="0.2">
      <c r="A41" s="1504" t="s">
        <v>1669</v>
      </c>
      <c r="B41" s="614">
        <v>2190</v>
      </c>
      <c r="C41" s="466">
        <v>88932</v>
      </c>
      <c r="D41" s="466"/>
      <c r="E41" s="466">
        <v>16102</v>
      </c>
      <c r="F41" s="466">
        <v>7408</v>
      </c>
      <c r="G41" s="466"/>
      <c r="H41" s="466">
        <v>3186</v>
      </c>
      <c r="I41" s="467"/>
      <c r="J41" s="467"/>
      <c r="K41" s="1671">
        <f t="shared" si="2"/>
        <v>115628</v>
      </c>
      <c r="L41" s="466">
        <v>134000</v>
      </c>
    </row>
    <row r="42" spans="1:14" ht="12.75" customHeight="1" thickBot="1" x14ac:dyDescent="0.25">
      <c r="A42" s="1668" t="s">
        <v>560</v>
      </c>
      <c r="B42" s="1669" t="s">
        <v>716</v>
      </c>
      <c r="C42" s="1670">
        <f>SUM(C36:C41)</f>
        <v>328329</v>
      </c>
      <c r="D42" s="1670">
        <f t="shared" ref="D42:L42" si="3">SUM(D36:D41)</f>
        <v>48018</v>
      </c>
      <c r="E42" s="1670">
        <f t="shared" si="3"/>
        <v>16282</v>
      </c>
      <c r="F42" s="1670">
        <f t="shared" si="3"/>
        <v>10287</v>
      </c>
      <c r="G42" s="1670">
        <f t="shared" si="3"/>
        <v>0</v>
      </c>
      <c r="H42" s="1670">
        <f t="shared" si="3"/>
        <v>3186</v>
      </c>
      <c r="I42" s="1670">
        <f t="shared" si="3"/>
        <v>0</v>
      </c>
      <c r="J42" s="1670">
        <f t="shared" si="3"/>
        <v>0</v>
      </c>
      <c r="K42" s="1670">
        <f t="shared" si="3"/>
        <v>406102</v>
      </c>
      <c r="L42" s="1670">
        <f t="shared" si="3"/>
        <v>458250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16537</v>
      </c>
      <c r="F44" s="481"/>
      <c r="G44" s="481"/>
      <c r="H44" s="481"/>
      <c r="I44" s="467"/>
      <c r="J44" s="467"/>
      <c r="K44" s="1672">
        <f>SUM(C44:J44)</f>
        <v>16537</v>
      </c>
      <c r="L44" s="481">
        <v>25000</v>
      </c>
    </row>
    <row r="45" spans="1:14" x14ac:dyDescent="0.2">
      <c r="A45" s="1504" t="s">
        <v>815</v>
      </c>
      <c r="B45" s="614">
        <v>2220</v>
      </c>
      <c r="C45" s="466">
        <v>44401</v>
      </c>
      <c r="D45" s="466">
        <v>1765</v>
      </c>
      <c r="E45" s="466"/>
      <c r="F45" s="466">
        <v>6058</v>
      </c>
      <c r="G45" s="466"/>
      <c r="H45" s="466"/>
      <c r="I45" s="467"/>
      <c r="J45" s="467"/>
      <c r="K45" s="1672">
        <f>SUM(C45:J45)</f>
        <v>52224</v>
      </c>
      <c r="L45" s="466">
        <v>88250</v>
      </c>
    </row>
    <row r="46" spans="1:14" x14ac:dyDescent="0.2">
      <c r="A46" s="1504" t="s">
        <v>816</v>
      </c>
      <c r="B46" s="614">
        <v>2230</v>
      </c>
      <c r="C46" s="466"/>
      <c r="D46" s="466"/>
      <c r="E46" s="466">
        <v>11815</v>
      </c>
      <c r="F46" s="466"/>
      <c r="G46" s="466"/>
      <c r="H46" s="466"/>
      <c r="I46" s="467"/>
      <c r="J46" s="467"/>
      <c r="K46" s="1672">
        <f>SUM(C46:J46)</f>
        <v>11815</v>
      </c>
      <c r="L46" s="466">
        <v>31000</v>
      </c>
    </row>
    <row r="47" spans="1:14" ht="12.75" customHeight="1" thickBot="1" x14ac:dyDescent="0.25">
      <c r="A47" s="1668" t="s">
        <v>561</v>
      </c>
      <c r="B47" s="1669" t="s">
        <v>32</v>
      </c>
      <c r="C47" s="1670">
        <f>SUM(C44:C46)</f>
        <v>44401</v>
      </c>
      <c r="D47" s="1670">
        <f t="shared" ref="D47:K47" si="4">SUM(D44:D46)</f>
        <v>1765</v>
      </c>
      <c r="E47" s="1670">
        <f t="shared" si="4"/>
        <v>28352</v>
      </c>
      <c r="F47" s="1670">
        <f t="shared" si="4"/>
        <v>6058</v>
      </c>
      <c r="G47" s="1670">
        <f t="shared" si="4"/>
        <v>0</v>
      </c>
      <c r="H47" s="1670">
        <f t="shared" si="4"/>
        <v>0</v>
      </c>
      <c r="I47" s="1670">
        <f t="shared" si="4"/>
        <v>0</v>
      </c>
      <c r="J47" s="1670">
        <f t="shared" si="4"/>
        <v>0</v>
      </c>
      <c r="K47" s="1670">
        <f t="shared" si="4"/>
        <v>80576</v>
      </c>
      <c r="L47" s="1670">
        <f>SUM(L44:L46)</f>
        <v>144250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156733</v>
      </c>
      <c r="F49" s="481"/>
      <c r="G49" s="481"/>
      <c r="H49" s="481">
        <v>15271</v>
      </c>
      <c r="I49" s="467"/>
      <c r="J49" s="467"/>
      <c r="K49" s="1672">
        <f>SUM(C49:J49)</f>
        <v>172004</v>
      </c>
      <c r="L49" s="481">
        <v>257750</v>
      </c>
    </row>
    <row r="50" spans="1:14" x14ac:dyDescent="0.2">
      <c r="A50" s="1504" t="s">
        <v>818</v>
      </c>
      <c r="B50" s="614">
        <v>2320</v>
      </c>
      <c r="C50" s="466">
        <v>263661</v>
      </c>
      <c r="D50" s="466">
        <v>34854</v>
      </c>
      <c r="E50" s="466">
        <v>4134</v>
      </c>
      <c r="F50" s="466"/>
      <c r="G50" s="466"/>
      <c r="H50" s="466">
        <v>4273</v>
      </c>
      <c r="I50" s="467"/>
      <c r="J50" s="467"/>
      <c r="K50" s="1672">
        <f>SUM(C50:J50)</f>
        <v>306922</v>
      </c>
      <c r="L50" s="466">
        <v>294700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263661</v>
      </c>
      <c r="D53" s="1670">
        <f t="shared" ref="D53:L53" si="5">SUM(D49:D52)</f>
        <v>34854</v>
      </c>
      <c r="E53" s="1670">
        <f t="shared" si="5"/>
        <v>160867</v>
      </c>
      <c r="F53" s="1670">
        <f t="shared" si="5"/>
        <v>0</v>
      </c>
      <c r="G53" s="1670">
        <f t="shared" si="5"/>
        <v>0</v>
      </c>
      <c r="H53" s="1670">
        <f t="shared" si="5"/>
        <v>19544</v>
      </c>
      <c r="I53" s="1670">
        <f t="shared" si="5"/>
        <v>0</v>
      </c>
      <c r="J53" s="1670">
        <f t="shared" si="5"/>
        <v>0</v>
      </c>
      <c r="K53" s="1670">
        <f t="shared" si="5"/>
        <v>478926</v>
      </c>
      <c r="L53" s="1670">
        <f t="shared" si="5"/>
        <v>552450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418032</v>
      </c>
      <c r="D55" s="481">
        <v>89801</v>
      </c>
      <c r="E55" s="481">
        <v>1852</v>
      </c>
      <c r="F55" s="481">
        <v>11292</v>
      </c>
      <c r="G55" s="481"/>
      <c r="H55" s="481">
        <v>5521</v>
      </c>
      <c r="I55" s="467"/>
      <c r="J55" s="467"/>
      <c r="K55" s="1672">
        <f>SUM(C55:J55)</f>
        <v>526498</v>
      </c>
      <c r="L55" s="481">
        <v>545500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418032</v>
      </c>
      <c r="D57" s="1674">
        <f t="shared" ref="D57:K57" si="6">SUM(D55:D56)</f>
        <v>89801</v>
      </c>
      <c r="E57" s="1674">
        <f t="shared" si="6"/>
        <v>1852</v>
      </c>
      <c r="F57" s="1674">
        <f t="shared" si="6"/>
        <v>11292</v>
      </c>
      <c r="G57" s="1674">
        <f t="shared" si="6"/>
        <v>0</v>
      </c>
      <c r="H57" s="1674">
        <f t="shared" si="6"/>
        <v>5521</v>
      </c>
      <c r="I57" s="1674">
        <f t="shared" si="6"/>
        <v>0</v>
      </c>
      <c r="J57" s="1674">
        <f t="shared" si="6"/>
        <v>0</v>
      </c>
      <c r="K57" s="1674">
        <f t="shared" si="6"/>
        <v>526498</v>
      </c>
      <c r="L57" s="1670">
        <f>SUM(L55:L56)</f>
        <v>545500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v>12484</v>
      </c>
      <c r="F59" s="481"/>
      <c r="G59" s="481"/>
      <c r="H59" s="481">
        <v>17240</v>
      </c>
      <c r="I59" s="467"/>
      <c r="J59" s="467"/>
      <c r="K59" s="1672">
        <f t="shared" ref="K59:K64" si="7">SUM(C59:J59)</f>
        <v>29724</v>
      </c>
      <c r="L59" s="481">
        <v>41000</v>
      </c>
      <c r="M59" s="609"/>
      <c r="N59" s="609"/>
    </row>
    <row r="60" spans="1:14" s="343" customFormat="1" x14ac:dyDescent="0.2">
      <c r="A60" s="1504" t="s">
        <v>463</v>
      </c>
      <c r="B60" s="614">
        <v>2520</v>
      </c>
      <c r="C60" s="466">
        <v>171032</v>
      </c>
      <c r="D60" s="466">
        <v>50202</v>
      </c>
      <c r="E60" s="466"/>
      <c r="F60" s="466">
        <v>4985</v>
      </c>
      <c r="G60" s="466"/>
      <c r="H60" s="466"/>
      <c r="I60" s="467"/>
      <c r="J60" s="467"/>
      <c r="K60" s="1672">
        <f t="shared" si="7"/>
        <v>226219</v>
      </c>
      <c r="L60" s="466">
        <v>232500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86902</v>
      </c>
      <c r="D63" s="466">
        <v>9034</v>
      </c>
      <c r="E63" s="466">
        <v>461</v>
      </c>
      <c r="F63" s="466">
        <v>245473</v>
      </c>
      <c r="G63" s="466"/>
      <c r="H63" s="466"/>
      <c r="I63" s="467"/>
      <c r="J63" s="467"/>
      <c r="K63" s="1672">
        <f t="shared" si="7"/>
        <v>341870</v>
      </c>
      <c r="L63" s="466">
        <v>417500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257934</v>
      </c>
      <c r="D65" s="1670">
        <f t="shared" ref="D65:L65" si="8">SUM(D59:D64)</f>
        <v>59236</v>
      </c>
      <c r="E65" s="1670">
        <f t="shared" si="8"/>
        <v>12945</v>
      </c>
      <c r="F65" s="1670">
        <f t="shared" si="8"/>
        <v>250458</v>
      </c>
      <c r="G65" s="1670">
        <f t="shared" si="8"/>
        <v>0</v>
      </c>
      <c r="H65" s="1670">
        <f t="shared" si="8"/>
        <v>17240</v>
      </c>
      <c r="I65" s="1670">
        <f t="shared" si="8"/>
        <v>0</v>
      </c>
      <c r="J65" s="1670">
        <f t="shared" si="8"/>
        <v>0</v>
      </c>
      <c r="K65" s="1670">
        <f t="shared" si="8"/>
        <v>597813</v>
      </c>
      <c r="L65" s="1670">
        <f t="shared" si="8"/>
        <v>691000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1312357</v>
      </c>
      <c r="D74" s="1677">
        <f t="shared" ref="D74:K74" si="10">SUM(D42,D47,D53,D57,D65,D72,D73)</f>
        <v>233674</v>
      </c>
      <c r="E74" s="1677">
        <f t="shared" si="10"/>
        <v>220298</v>
      </c>
      <c r="F74" s="1677">
        <f t="shared" si="10"/>
        <v>278095</v>
      </c>
      <c r="G74" s="1677">
        <f t="shared" si="10"/>
        <v>0</v>
      </c>
      <c r="H74" s="1677">
        <f t="shared" si="10"/>
        <v>45491</v>
      </c>
      <c r="I74" s="1677">
        <f t="shared" si="10"/>
        <v>0</v>
      </c>
      <c r="J74" s="1677">
        <f t="shared" si="10"/>
        <v>0</v>
      </c>
      <c r="K74" s="1677">
        <f t="shared" si="10"/>
        <v>2089915</v>
      </c>
      <c r="L74" s="1677">
        <f>SUM(L42,L47,L53,L57,L65,L72,L73)</f>
        <v>2391450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117011</v>
      </c>
      <c r="I79" s="477"/>
      <c r="J79" s="477"/>
      <c r="K79" s="1671">
        <f t="shared" si="11"/>
        <v>117011</v>
      </c>
      <c r="L79" s="466">
        <v>120000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117011</v>
      </c>
      <c r="I84" s="477"/>
      <c r="J84" s="477"/>
      <c r="K84" s="1670">
        <f>SUM(K78:K83)</f>
        <v>117011</v>
      </c>
      <c r="L84" s="1670">
        <f>SUM(L78:L83)</f>
        <v>120000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224401</v>
      </c>
      <c r="I86" s="477"/>
      <c r="J86" s="477"/>
      <c r="K86" s="1677">
        <f t="shared" ref="K86:K98" si="12">H86</f>
        <v>224401</v>
      </c>
      <c r="L86" s="530">
        <v>600000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224401</v>
      </c>
      <c r="I92" s="477"/>
      <c r="J92" s="477"/>
      <c r="K92" s="1677">
        <f t="shared" si="12"/>
        <v>224401</v>
      </c>
      <c r="L92" s="1670">
        <f>SUM(L85:L91)</f>
        <v>600000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341412</v>
      </c>
      <c r="I102" s="477"/>
      <c r="J102" s="477"/>
      <c r="K102" s="1677">
        <f>SUM(K84,K92,K100,K101)</f>
        <v>341412</v>
      </c>
      <c r="L102" s="1677">
        <f>SUM(L84,L92,L100,L101)</f>
        <v>720000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84500</v>
      </c>
      <c r="M113" s="613"/>
      <c r="N113" s="613"/>
    </row>
    <row r="114" spans="1:14" ht="12.75" customHeight="1" thickTop="1" thickBot="1" x14ac:dyDescent="0.25">
      <c r="A114" s="1668" t="s">
        <v>48</v>
      </c>
      <c r="B114" s="1682"/>
      <c r="C114" s="1670">
        <f>SUM(C33,C74,C75,C102,C112,C113)</f>
        <v>5439218</v>
      </c>
      <c r="D114" s="1670">
        <f t="shared" ref="D114:K114" si="13">SUM(D33,D74,D75,D102,D112,D113)</f>
        <v>1000119</v>
      </c>
      <c r="E114" s="1670">
        <f t="shared" si="13"/>
        <v>278300</v>
      </c>
      <c r="F114" s="1670">
        <f t="shared" si="13"/>
        <v>716560</v>
      </c>
      <c r="G114" s="1670">
        <f t="shared" si="13"/>
        <v>81455</v>
      </c>
      <c r="H114" s="1670">
        <f>SUM(H33,H74,H75,H102,H112,H113)</f>
        <v>708196</v>
      </c>
      <c r="I114" s="1670">
        <f t="shared" si="13"/>
        <v>0</v>
      </c>
      <c r="J114" s="1670">
        <f t="shared" si="13"/>
        <v>0</v>
      </c>
      <c r="K114" s="1670">
        <f t="shared" si="13"/>
        <v>8223848</v>
      </c>
      <c r="L114" s="1670">
        <f>SUM(L33,L74,L75,L102,L112,L113)</f>
        <v>9362500</v>
      </c>
    </row>
    <row r="115" spans="1:14" ht="13.5" thickTop="1" x14ac:dyDescent="0.2">
      <c r="A115" s="2156" t="s">
        <v>996</v>
      </c>
      <c r="B115" s="2157"/>
      <c r="C115" s="618"/>
      <c r="D115" s="618"/>
      <c r="E115" s="618"/>
      <c r="F115" s="618"/>
      <c r="G115" s="618"/>
      <c r="H115" s="618"/>
      <c r="I115" s="618"/>
      <c r="J115" s="618"/>
      <c r="K115" s="1684">
        <f>'Revenues 9-14'!C268-'Expenditures 15-22'!K114</f>
        <v>2270827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v>22809</v>
      </c>
      <c r="F123" s="466">
        <v>634</v>
      </c>
      <c r="G123" s="466">
        <v>19568</v>
      </c>
      <c r="H123" s="466"/>
      <c r="I123" s="467"/>
      <c r="J123" s="467"/>
      <c r="K123" s="1670">
        <f>SUM(C123:J123)</f>
        <v>43011</v>
      </c>
      <c r="L123" s="466">
        <v>131000</v>
      </c>
    </row>
    <row r="124" spans="1:14" ht="14.25" thickTop="1" thickBot="1" x14ac:dyDescent="0.25">
      <c r="A124" s="1504" t="s">
        <v>197</v>
      </c>
      <c r="B124" s="614">
        <v>2540</v>
      </c>
      <c r="C124" s="466">
        <v>504967</v>
      </c>
      <c r="D124" s="466">
        <v>101036</v>
      </c>
      <c r="E124" s="466">
        <v>114268</v>
      </c>
      <c r="F124" s="466">
        <v>172243</v>
      </c>
      <c r="G124" s="466">
        <v>49166</v>
      </c>
      <c r="H124" s="466"/>
      <c r="I124" s="467"/>
      <c r="J124" s="467"/>
      <c r="K124" s="1670">
        <f>SUM(C124:J124)</f>
        <v>941680</v>
      </c>
      <c r="L124" s="466">
        <v>1160150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504967</v>
      </c>
      <c r="D127" s="1670">
        <f t="shared" ref="D127:L127" si="14">SUM(D122:D126)</f>
        <v>101036</v>
      </c>
      <c r="E127" s="1670">
        <f t="shared" si="14"/>
        <v>137077</v>
      </c>
      <c r="F127" s="1670">
        <f t="shared" si="14"/>
        <v>172877</v>
      </c>
      <c r="G127" s="1670">
        <f t="shared" si="14"/>
        <v>68734</v>
      </c>
      <c r="H127" s="1670">
        <f t="shared" si="14"/>
        <v>0</v>
      </c>
      <c r="I127" s="1670">
        <f t="shared" si="14"/>
        <v>0</v>
      </c>
      <c r="J127" s="1670">
        <f t="shared" si="14"/>
        <v>0</v>
      </c>
      <c r="K127" s="1670">
        <f t="shared" si="14"/>
        <v>984691</v>
      </c>
      <c r="L127" s="1670">
        <f t="shared" si="14"/>
        <v>1291150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504967</v>
      </c>
      <c r="D129" s="1677">
        <f t="shared" ref="D129:L129" si="15">SUM(D120,D127,D128)</f>
        <v>101036</v>
      </c>
      <c r="E129" s="1677">
        <f t="shared" si="15"/>
        <v>137077</v>
      </c>
      <c r="F129" s="1677">
        <f t="shared" si="15"/>
        <v>172877</v>
      </c>
      <c r="G129" s="1677">
        <f t="shared" si="15"/>
        <v>68734</v>
      </c>
      <c r="H129" s="1677">
        <f t="shared" si="15"/>
        <v>0</v>
      </c>
      <c r="I129" s="1677">
        <f t="shared" si="15"/>
        <v>0</v>
      </c>
      <c r="J129" s="1677">
        <f t="shared" si="15"/>
        <v>0</v>
      </c>
      <c r="K129" s="1677">
        <f t="shared" si="15"/>
        <v>984691</v>
      </c>
      <c r="L129" s="1677">
        <f t="shared" si="15"/>
        <v>1291150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3"/>
      <c r="C151" s="1670">
        <f>SUM(C129,C130,C139,C149,C150)</f>
        <v>504967</v>
      </c>
      <c r="D151" s="1670">
        <f t="shared" ref="D151:K151" si="16">SUM(D129,D130,D139,D149,D150)</f>
        <v>101036</v>
      </c>
      <c r="E151" s="1670">
        <f t="shared" si="16"/>
        <v>137077</v>
      </c>
      <c r="F151" s="1670">
        <f t="shared" si="16"/>
        <v>172877</v>
      </c>
      <c r="G151" s="1670">
        <f t="shared" si="16"/>
        <v>68734</v>
      </c>
      <c r="H151" s="1670">
        <f t="shared" si="16"/>
        <v>0</v>
      </c>
      <c r="I151" s="1670">
        <f t="shared" si="16"/>
        <v>0</v>
      </c>
      <c r="J151" s="1670">
        <f t="shared" si="16"/>
        <v>0</v>
      </c>
      <c r="K151" s="1670">
        <f t="shared" si="16"/>
        <v>984691</v>
      </c>
      <c r="L151" s="1670">
        <f>SUM(L129,L130,L139,L149,L150)</f>
        <v>1291150</v>
      </c>
    </row>
    <row r="152" spans="1:14" ht="12.75" customHeight="1" thickTop="1" x14ac:dyDescent="0.2">
      <c r="A152" s="2176" t="s">
        <v>1178</v>
      </c>
      <c r="B152" s="2177"/>
      <c r="C152" s="618"/>
      <c r="D152" s="618"/>
      <c r="E152" s="618"/>
      <c r="F152" s="618"/>
      <c r="G152" s="618"/>
      <c r="H152" s="618"/>
      <c r="I152" s="618"/>
      <c r="J152" s="616"/>
      <c r="K152" s="1684">
        <f>'Revenues 9-14'!D268-'Expenditures 15-22'!K151</f>
        <v>12346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247667</v>
      </c>
      <c r="I169" s="616"/>
      <c r="J169" s="616"/>
      <c r="K169" s="1671">
        <f>SUM(C169:H169)</f>
        <v>247667</v>
      </c>
      <c r="L169" s="656">
        <v>200000</v>
      </c>
    </row>
    <row r="170" spans="1:14" ht="33.75" customHeight="1" x14ac:dyDescent="0.2">
      <c r="A170" s="669" t="s">
        <v>1670</v>
      </c>
      <c r="B170" s="671" t="s">
        <v>31</v>
      </c>
      <c r="C170" s="616"/>
      <c r="D170" s="616"/>
      <c r="E170" s="616"/>
      <c r="F170" s="616"/>
      <c r="G170" s="616"/>
      <c r="H170" s="569">
        <v>510000</v>
      </c>
      <c r="I170" s="616"/>
      <c r="J170" s="616"/>
      <c r="K170" s="1671">
        <f>SUM(C170:J170)</f>
        <v>510000</v>
      </c>
      <c r="L170" s="569">
        <v>250000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757667</v>
      </c>
      <c r="I172" s="638"/>
      <c r="J172" s="616"/>
      <c r="K172" s="1677">
        <f>SUM(K168,K169,K170,K171)</f>
        <v>757667</v>
      </c>
      <c r="L172" s="1677">
        <f>SUM(L168,L169,L170,L171)</f>
        <v>450000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757667</v>
      </c>
      <c r="I174" s="638"/>
      <c r="J174" s="616"/>
      <c r="K174" s="1677">
        <f>SUM(K160,K172,K173)</f>
        <v>757667</v>
      </c>
      <c r="L174" s="1677">
        <f>SUM(L160,L172,L173)</f>
        <v>450000</v>
      </c>
    </row>
    <row r="175" spans="1:14" ht="13.5" thickTop="1" x14ac:dyDescent="0.2">
      <c r="A175" s="2156" t="s">
        <v>996</v>
      </c>
      <c r="B175" s="2157"/>
      <c r="C175" s="616"/>
      <c r="D175" s="616"/>
      <c r="E175" s="616"/>
      <c r="F175" s="616"/>
      <c r="G175" s="616"/>
      <c r="H175" s="618"/>
      <c r="I175" s="616"/>
      <c r="J175" s="616"/>
      <c r="K175" s="1684">
        <f>'Revenues 9-14'!E268-'Expenditures 15-22'!K174</f>
        <v>-309810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458520</v>
      </c>
      <c r="D182" s="466">
        <v>27512</v>
      </c>
      <c r="E182" s="466">
        <v>48390</v>
      </c>
      <c r="F182" s="466">
        <v>56001</v>
      </c>
      <c r="G182" s="466">
        <v>46240</v>
      </c>
      <c r="H182" s="466">
        <v>688</v>
      </c>
      <c r="I182" s="467"/>
      <c r="J182" s="467"/>
      <c r="K182" s="1671">
        <f>SUM(C182:J182)</f>
        <v>637351</v>
      </c>
      <c r="L182" s="466">
        <v>803750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458520</v>
      </c>
      <c r="D184" s="1677">
        <f t="shared" ref="D184:J184" si="17">SUM(D180,D182,D183)</f>
        <v>27512</v>
      </c>
      <c r="E184" s="1677">
        <f t="shared" si="17"/>
        <v>48390</v>
      </c>
      <c r="F184" s="1677">
        <f t="shared" si="17"/>
        <v>56001</v>
      </c>
      <c r="G184" s="1677">
        <f t="shared" si="17"/>
        <v>46240</v>
      </c>
      <c r="H184" s="1677">
        <f t="shared" si="17"/>
        <v>688</v>
      </c>
      <c r="I184" s="1677">
        <f t="shared" si="17"/>
        <v>0</v>
      </c>
      <c r="J184" s="1677">
        <f t="shared" si="17"/>
        <v>0</v>
      </c>
      <c r="K184" s="1677">
        <f>SUM(K180,K182,K183)</f>
        <v>637351</v>
      </c>
      <c r="L184" s="1677">
        <f>SUM(L180, L182:L183)</f>
        <v>803750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458520</v>
      </c>
      <c r="D210" s="1670">
        <f>SUM(D184,D185)</f>
        <v>27512</v>
      </c>
      <c r="E210" s="1670">
        <f>SUM(E184,E185,E196)</f>
        <v>48390</v>
      </c>
      <c r="F210" s="1670">
        <f>SUM(F184,F185)</f>
        <v>56001</v>
      </c>
      <c r="G210" s="1670">
        <f>SUM(G184,G185)</f>
        <v>46240</v>
      </c>
      <c r="H210" s="1670">
        <f>SUM(H184,H185,H196,H208,H209)</f>
        <v>688</v>
      </c>
      <c r="I210" s="1670">
        <f>SUM(I184,I185)</f>
        <v>0</v>
      </c>
      <c r="J210" s="1670">
        <f>SUM(J184,J185)</f>
        <v>0</v>
      </c>
      <c r="K210" s="1671">
        <f>SUM(K184,K185,K196,K208,K209)</f>
        <v>637351</v>
      </c>
      <c r="L210" s="1670">
        <f>SUM(L184,L185,L196,L208,L209)</f>
        <v>803750</v>
      </c>
    </row>
    <row r="211" spans="1:14" ht="13.5" thickTop="1" x14ac:dyDescent="0.2">
      <c r="A211" s="2156" t="s">
        <v>996</v>
      </c>
      <c r="B211" s="2157"/>
      <c r="C211" s="618"/>
      <c r="D211" s="618"/>
      <c r="E211" s="618"/>
      <c r="F211" s="618"/>
      <c r="G211" s="618"/>
      <c r="H211" s="618"/>
      <c r="I211" s="616"/>
      <c r="J211" s="616"/>
      <c r="K211" s="1684">
        <f>'Revenues 9-14'!F268-'Expenditures 15-22'!K210</f>
        <v>-24976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41453</v>
      </c>
      <c r="E215" s="616"/>
      <c r="F215" s="616"/>
      <c r="G215" s="616"/>
      <c r="H215" s="616"/>
      <c r="I215" s="616"/>
      <c r="J215" s="616"/>
      <c r="K215" s="1671">
        <f>D215</f>
        <v>41453</v>
      </c>
      <c r="L215" s="466">
        <v>47000</v>
      </c>
    </row>
    <row r="216" spans="1:14" x14ac:dyDescent="0.2">
      <c r="A216" s="1504" t="s">
        <v>163</v>
      </c>
      <c r="B216" s="614" t="s">
        <v>967</v>
      </c>
      <c r="C216" s="616"/>
      <c r="D216" s="467">
        <v>6544</v>
      </c>
      <c r="E216" s="616"/>
      <c r="F216" s="616"/>
      <c r="G216" s="616"/>
      <c r="H216" s="616"/>
      <c r="I216" s="616"/>
      <c r="J216" s="616"/>
      <c r="K216" s="1671">
        <f t="shared" ref="K216:K228" si="19">D216</f>
        <v>6544</v>
      </c>
      <c r="L216" s="466">
        <v>6500</v>
      </c>
    </row>
    <row r="217" spans="1:14" x14ac:dyDescent="0.2">
      <c r="A217" s="1504" t="s">
        <v>164</v>
      </c>
      <c r="B217" s="614">
        <v>1200</v>
      </c>
      <c r="C217" s="616"/>
      <c r="D217" s="466">
        <v>26762</v>
      </c>
      <c r="E217" s="616"/>
      <c r="F217" s="616"/>
      <c r="G217" s="616"/>
      <c r="H217" s="616"/>
      <c r="I217" s="616"/>
      <c r="J217" s="616"/>
      <c r="K217" s="1671">
        <f t="shared" si="19"/>
        <v>26762</v>
      </c>
      <c r="L217" s="466">
        <v>31500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v>500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2368</v>
      </c>
      <c r="E223" s="616"/>
      <c r="F223" s="616"/>
      <c r="G223" s="616"/>
      <c r="H223" s="616"/>
      <c r="I223" s="616"/>
      <c r="J223" s="616"/>
      <c r="K223" s="1671">
        <f t="shared" si="19"/>
        <v>2368</v>
      </c>
      <c r="L223" s="466">
        <v>2500</v>
      </c>
    </row>
    <row r="224" spans="1:14" x14ac:dyDescent="0.2">
      <c r="A224" s="1504" t="s">
        <v>964</v>
      </c>
      <c r="B224" s="614">
        <v>1600</v>
      </c>
      <c r="C224" s="616"/>
      <c r="D224" s="466">
        <v>344</v>
      </c>
      <c r="E224" s="616"/>
      <c r="F224" s="616"/>
      <c r="G224" s="616"/>
      <c r="H224" s="616"/>
      <c r="I224" s="616"/>
      <c r="J224" s="616"/>
      <c r="K224" s="1671">
        <f t="shared" si="19"/>
        <v>344</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77471</v>
      </c>
      <c r="E229" s="616"/>
      <c r="F229" s="616"/>
      <c r="G229" s="616"/>
      <c r="H229" s="616"/>
      <c r="I229" s="616"/>
      <c r="J229" s="616"/>
      <c r="K229" s="1670">
        <f>SUM(K215:K228)</f>
        <v>77471</v>
      </c>
      <c r="L229" s="1670">
        <f>SUM(L215:L228)</f>
        <v>88000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1721</v>
      </c>
      <c r="E232" s="616"/>
      <c r="F232" s="616"/>
      <c r="G232" s="616"/>
      <c r="H232" s="616"/>
      <c r="I232" s="616"/>
      <c r="J232" s="616"/>
      <c r="K232" s="1671">
        <f t="shared" ref="K232:K237" si="20">D232</f>
        <v>1721</v>
      </c>
      <c r="L232" s="466">
        <v>2500</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13452</v>
      </c>
      <c r="E234" s="616"/>
      <c r="F234" s="616"/>
      <c r="G234" s="616"/>
      <c r="H234" s="616"/>
      <c r="I234" s="616"/>
      <c r="J234" s="616"/>
      <c r="K234" s="1671">
        <f t="shared" si="20"/>
        <v>13452</v>
      </c>
      <c r="L234" s="466">
        <v>15000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713</v>
      </c>
      <c r="E236" s="616"/>
      <c r="F236" s="616"/>
      <c r="G236" s="616"/>
      <c r="H236" s="616"/>
      <c r="I236" s="616"/>
      <c r="J236" s="616"/>
      <c r="K236" s="1671">
        <f t="shared" si="20"/>
        <v>713</v>
      </c>
      <c r="L236" s="466">
        <v>1000</v>
      </c>
    </row>
    <row r="237" spans="1:12" x14ac:dyDescent="0.2">
      <c r="A237" s="1504" t="s">
        <v>165</v>
      </c>
      <c r="B237" s="614">
        <v>2190</v>
      </c>
      <c r="C237" s="616"/>
      <c r="D237" s="466">
        <v>8005</v>
      </c>
      <c r="E237" s="616"/>
      <c r="F237" s="616"/>
      <c r="G237" s="616"/>
      <c r="H237" s="616"/>
      <c r="I237" s="616"/>
      <c r="J237" s="616"/>
      <c r="K237" s="1671">
        <f t="shared" si="20"/>
        <v>8005</v>
      </c>
      <c r="L237" s="466">
        <v>8500</v>
      </c>
    </row>
    <row r="238" spans="1:12" ht="12.75" customHeight="1" thickBot="1" x14ac:dyDescent="0.25">
      <c r="A238" s="1668" t="s">
        <v>560</v>
      </c>
      <c r="B238" s="1675" t="s">
        <v>716</v>
      </c>
      <c r="C238" s="616"/>
      <c r="D238" s="1670">
        <f>SUM(D232:D237)</f>
        <v>23891</v>
      </c>
      <c r="E238" s="616"/>
      <c r="F238" s="616"/>
      <c r="G238" s="616"/>
      <c r="H238" s="616"/>
      <c r="I238" s="616"/>
      <c r="J238" s="616"/>
      <c r="K238" s="1670">
        <f>SUM(K232:K237)</f>
        <v>23891</v>
      </c>
      <c r="L238" s="1670">
        <f>SUM(L232:L237)</f>
        <v>27000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1474</v>
      </c>
      <c r="E241" s="616"/>
      <c r="F241" s="616"/>
      <c r="G241" s="616"/>
      <c r="H241" s="616"/>
      <c r="I241" s="616"/>
      <c r="J241" s="616"/>
      <c r="K241" s="1672">
        <f>D241</f>
        <v>1474</v>
      </c>
      <c r="L241" s="466">
        <v>2000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1474</v>
      </c>
      <c r="E243" s="616"/>
      <c r="F243" s="616"/>
      <c r="G243" s="616"/>
      <c r="H243" s="616"/>
      <c r="I243" s="616"/>
      <c r="J243" s="616"/>
      <c r="K243" s="1670">
        <f>SUM(K240:K242)</f>
        <v>1474</v>
      </c>
      <c r="L243" s="1670">
        <f>SUM(L240:L242)</f>
        <v>2000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13664</v>
      </c>
      <c r="E246" s="616"/>
      <c r="F246" s="616"/>
      <c r="G246" s="616"/>
      <c r="H246" s="616"/>
      <c r="I246" s="616"/>
      <c r="J246" s="616"/>
      <c r="K246" s="1672">
        <f t="shared" ref="K246:K256" si="21">D246</f>
        <v>13664</v>
      </c>
      <c r="L246" s="466">
        <v>15500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13664</v>
      </c>
      <c r="E257" s="616"/>
      <c r="F257" s="616"/>
      <c r="G257" s="616"/>
      <c r="H257" s="616"/>
      <c r="I257" s="616"/>
      <c r="J257" s="616"/>
      <c r="K257" s="1670">
        <f>SUM(K245:K256)</f>
        <v>13664</v>
      </c>
      <c r="L257" s="1670">
        <f>SUM(L245:L256)</f>
        <v>15500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23537</v>
      </c>
      <c r="E259" s="616"/>
      <c r="F259" s="616"/>
      <c r="G259" s="616"/>
      <c r="H259" s="616"/>
      <c r="I259" s="616"/>
      <c r="J259" s="616"/>
      <c r="K259" s="1672">
        <f>D259</f>
        <v>23537</v>
      </c>
      <c r="L259" s="481">
        <v>27000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23537</v>
      </c>
      <c r="E261" s="616"/>
      <c r="F261" s="616"/>
      <c r="G261" s="616"/>
      <c r="H261" s="616"/>
      <c r="I261" s="616"/>
      <c r="J261" s="616"/>
      <c r="K261" s="1670">
        <f>SUM(K259:K260)</f>
        <v>23537</v>
      </c>
      <c r="L261" s="1670">
        <f>SUM(L259:L260)</f>
        <v>27000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35357</v>
      </c>
      <c r="E264" s="616"/>
      <c r="F264" s="616"/>
      <c r="G264" s="616"/>
      <c r="H264" s="616"/>
      <c r="I264" s="616"/>
      <c r="J264" s="616"/>
      <c r="K264" s="1672">
        <f t="shared" ref="K264:K269" si="22">D264</f>
        <v>35357</v>
      </c>
      <c r="L264" s="466">
        <v>39000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106962</v>
      </c>
      <c r="E266" s="616"/>
      <c r="F266" s="616"/>
      <c r="G266" s="616"/>
      <c r="H266" s="616"/>
      <c r="I266" s="616"/>
      <c r="J266" s="616"/>
      <c r="K266" s="1672">
        <f t="shared" si="22"/>
        <v>106962</v>
      </c>
      <c r="L266" s="466">
        <v>117500</v>
      </c>
    </row>
    <row r="267" spans="1:14" x14ac:dyDescent="0.2">
      <c r="A267" s="1504" t="s">
        <v>953</v>
      </c>
      <c r="B267" s="614">
        <v>2550</v>
      </c>
      <c r="C267" s="616"/>
      <c r="D267" s="466">
        <v>96953</v>
      </c>
      <c r="E267" s="616"/>
      <c r="F267" s="616"/>
      <c r="G267" s="616"/>
      <c r="H267" s="616"/>
      <c r="I267" s="616"/>
      <c r="J267" s="616"/>
      <c r="K267" s="1672">
        <f t="shared" si="22"/>
        <v>96953</v>
      </c>
      <c r="L267" s="466">
        <v>109000</v>
      </c>
    </row>
    <row r="268" spans="1:14" x14ac:dyDescent="0.2">
      <c r="A268" s="1504" t="s">
        <v>100</v>
      </c>
      <c r="B268" s="614">
        <v>2560</v>
      </c>
      <c r="C268" s="616"/>
      <c r="D268" s="466">
        <v>18436</v>
      </c>
      <c r="E268" s="616"/>
      <c r="F268" s="616"/>
      <c r="G268" s="616"/>
      <c r="H268" s="616"/>
      <c r="I268" s="616"/>
      <c r="J268" s="616"/>
      <c r="K268" s="1672">
        <f t="shared" si="22"/>
        <v>18436</v>
      </c>
      <c r="L268" s="466">
        <v>23000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257708</v>
      </c>
      <c r="E270" s="616"/>
      <c r="F270" s="616"/>
      <c r="G270" s="616"/>
      <c r="H270" s="616"/>
      <c r="I270" s="616"/>
      <c r="J270" s="616"/>
      <c r="K270" s="1670">
        <f>SUM(K263:K269)</f>
        <v>257708</v>
      </c>
      <c r="L270" s="1670">
        <f>SUM(L263:L269)</f>
        <v>288500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320274</v>
      </c>
      <c r="E279" s="616"/>
      <c r="F279" s="616"/>
      <c r="G279" s="616"/>
      <c r="H279" s="616"/>
      <c r="I279" s="616"/>
      <c r="J279" s="616"/>
      <c r="K279" s="1677">
        <f>SUM(K238,K243,K257,K261,K270,K277,K278)</f>
        <v>320274</v>
      </c>
      <c r="L279" s="1677">
        <f>SUM(L238,L243,L257,L261,L270,L277,L278)</f>
        <v>360000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70">
        <f>SUM(D229,D279,D280,D285)</f>
        <v>397745</v>
      </c>
      <c r="E295" s="616"/>
      <c r="F295" s="616"/>
      <c r="G295" s="616"/>
      <c r="H295" s="1670">
        <f>H293</f>
        <v>0</v>
      </c>
      <c r="I295" s="616"/>
      <c r="J295" s="616"/>
      <c r="K295" s="1670">
        <f>SUM(K229,K279,K280,K285,K293,K294)</f>
        <v>397745</v>
      </c>
      <c r="L295" s="1670">
        <f>SUM(L229,L279,L280,L285,L293,L294)</f>
        <v>448000</v>
      </c>
    </row>
    <row r="296" spans="1:14" ht="13.5" thickTop="1" x14ac:dyDescent="0.2">
      <c r="A296" s="2156" t="s">
        <v>996</v>
      </c>
      <c r="B296" s="2157"/>
      <c r="C296" s="616"/>
      <c r="D296" s="618"/>
      <c r="E296" s="616"/>
      <c r="F296" s="616"/>
      <c r="G296" s="616"/>
      <c r="H296" s="687"/>
      <c r="I296" s="616"/>
      <c r="J296" s="616"/>
      <c r="K296" s="1684">
        <f>'Revenues 9-14'!G268-'Expenditures 15-22'!K295</f>
        <v>118529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3082911</v>
      </c>
      <c r="H301" s="466"/>
      <c r="I301" s="467"/>
      <c r="J301" s="467"/>
      <c r="K301" s="1671">
        <f>SUM(C301:J301)</f>
        <v>3082911</v>
      </c>
      <c r="L301" s="467">
        <v>2980000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3082911</v>
      </c>
      <c r="H303" s="1677">
        <f t="shared" si="23"/>
        <v>0</v>
      </c>
      <c r="I303" s="1677">
        <f t="shared" si="23"/>
        <v>0</v>
      </c>
      <c r="J303" s="1677">
        <f t="shared" si="23"/>
        <v>0</v>
      </c>
      <c r="K303" s="1677">
        <f t="shared" si="23"/>
        <v>3082911</v>
      </c>
      <c r="L303" s="1677">
        <f t="shared" si="23"/>
        <v>2980000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3082911</v>
      </c>
      <c r="H312" s="1670">
        <f>SUM(H303,H310)</f>
        <v>0</v>
      </c>
      <c r="I312" s="1670">
        <f>SUM(I303)</f>
        <v>0</v>
      </c>
      <c r="J312" s="1670">
        <f>SUM(J303)</f>
        <v>0</v>
      </c>
      <c r="K312" s="1670">
        <f>SUM(K303,K310,K311)</f>
        <v>3082911</v>
      </c>
      <c r="L312" s="1670">
        <f>SUM(L303,L310,L311)</f>
        <v>2980000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-3082911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53899</v>
      </c>
      <c r="F320" s="467"/>
      <c r="G320" s="467"/>
      <c r="H320" s="467"/>
      <c r="I320" s="467"/>
      <c r="J320" s="467"/>
      <c r="K320" s="1671">
        <f t="shared" ref="K320:K327" si="24">SUM(C320:J320)</f>
        <v>53899</v>
      </c>
      <c r="L320" s="467">
        <v>70000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26321</v>
      </c>
      <c r="F322" s="467"/>
      <c r="G322" s="467"/>
      <c r="H322" s="467"/>
      <c r="I322" s="467"/>
      <c r="J322" s="467"/>
      <c r="K322" s="1671">
        <f t="shared" si="24"/>
        <v>26321</v>
      </c>
      <c r="L322" s="467">
        <v>5000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9000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13100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4000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80220</v>
      </c>
      <c r="F330" s="1670">
        <f t="shared" si="25"/>
        <v>0</v>
      </c>
      <c r="G330" s="1670">
        <f t="shared" si="25"/>
        <v>0</v>
      </c>
      <c r="H330" s="1670">
        <f t="shared" si="25"/>
        <v>0</v>
      </c>
      <c r="I330" s="1670">
        <f t="shared" si="25"/>
        <v>0</v>
      </c>
      <c r="J330" s="1670">
        <f t="shared" si="25"/>
        <v>0</v>
      </c>
      <c r="K330" s="1670">
        <f>SUM(K319:K329)</f>
        <v>80220</v>
      </c>
      <c r="L330" s="1670">
        <f>SUM(L319:L329)</f>
        <v>101100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80220</v>
      </c>
      <c r="F342" s="1670">
        <f>SUM(F330)</f>
        <v>0</v>
      </c>
      <c r="G342" s="1670">
        <f>SUM(G330)</f>
        <v>0</v>
      </c>
      <c r="H342" s="1670">
        <f>SUM(H330,H334,H340)</f>
        <v>0</v>
      </c>
      <c r="I342" s="1670">
        <f>SUM(I330)</f>
        <v>0</v>
      </c>
      <c r="J342" s="1670">
        <f>SUM(J330)</f>
        <v>0</v>
      </c>
      <c r="K342" s="1670">
        <f>SUM(K330,K334,K340)</f>
        <v>80220</v>
      </c>
      <c r="L342" s="1677">
        <f>SUM(L330,L340,L341)</f>
        <v>101100</v>
      </c>
    </row>
    <row r="343" spans="1:14" ht="12.75" customHeight="1" thickTop="1" x14ac:dyDescent="0.2">
      <c r="A343" s="2169" t="s">
        <v>996</v>
      </c>
      <c r="B343" s="2170"/>
      <c r="C343" s="616"/>
      <c r="D343" s="616"/>
      <c r="E343" s="616"/>
      <c r="F343" s="616"/>
      <c r="G343" s="616"/>
      <c r="H343" s="616"/>
      <c r="I343" s="616"/>
      <c r="J343" s="616"/>
      <c r="K343" s="1684">
        <f>'Revenues 9-14'!J268-'Expenditures 15-22'!K342</f>
        <v>-72024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v>10000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10000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10000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10000</v>
      </c>
    </row>
    <row r="368" spans="1:14" ht="13.5" thickTop="1" x14ac:dyDescent="0.2">
      <c r="A368" s="2156" t="s">
        <v>996</v>
      </c>
      <c r="B368" s="2157"/>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purl.org/dc/dcmitype/"/>
    <ds:schemaRef ds:uri="http://www.w3.org/XML/1998/namespace"/>
    <ds:schemaRef ds:uri="http://schemas.openxmlformats.org/package/2006/metadata/core-properties"/>
    <ds:schemaRef ds:uri="http://schemas.microsoft.com/office/infopath/2007/PartnerControls"/>
    <ds:schemaRef ds:uri="http://schemas.microsoft.com/office/2006/documentManagement/types"/>
    <ds:schemaRef ds:uri="6ce3111e-7420-4802-b50a-75d4e9a0b980"/>
    <ds:schemaRef ds:uri="4d435f69-8686-490b-bd6d-b153bf22ab50"/>
    <ds:schemaRef ds:uri="http://schemas.microsoft.com/office/2006/metadata/properties"/>
    <ds:schemaRef ds:uri="d21dc803-237d-4c68-8692-8d731fd29118"/>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2019-10-04T18:12:03Z</cp:lastPrinted>
  <dcterms:created xsi:type="dcterms:W3CDTF">2003-10-29T19:06:34Z</dcterms:created>
  <dcterms:modified xsi:type="dcterms:W3CDTF">2019-12-30T17:26:04Z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