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5"/>
  <c r="B2" i="184"/>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F52" i="34" s="1"/>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D27" i="108"/>
  <c r="E27" i="108"/>
  <c r="F27" i="108"/>
  <c r="G27" i="108"/>
  <c r="F31" i="108"/>
  <c r="F36" i="108"/>
  <c r="F37" i="108"/>
  <c r="G28" i="108"/>
  <c r="E30" i="108"/>
  <c r="D31" i="108"/>
  <c r="D36" i="108"/>
  <c r="D37"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D17" i="7"/>
  <c r="B4104" i="106" s="1"/>
  <c r="D4104" i="106" s="1"/>
  <c r="G26" i="108" l="1"/>
  <c r="I24" i="12"/>
  <c r="B1308" i="106"/>
  <c r="D1308" i="106" s="1"/>
  <c r="E174" i="29"/>
  <c r="B1309" i="106" s="1"/>
  <c r="D1309" i="106" s="1"/>
  <c r="L342" i="29"/>
  <c r="J352" i="29"/>
  <c r="H365" i="29"/>
  <c r="B7242" i="106" s="1"/>
  <c r="D7242" i="106" s="1"/>
  <c r="K41" i="3"/>
  <c r="B3568" i="106" s="1"/>
  <c r="D3568" i="106" s="1"/>
  <c r="F38" i="34"/>
  <c r="B3254" i="106"/>
  <c r="D3254" i="106" s="1"/>
  <c r="G15" i="145"/>
  <c r="H342" i="29"/>
  <c r="J129" i="29"/>
  <c r="B7038" i="106" s="1"/>
  <c r="D7038" i="106" s="1"/>
  <c r="D6103" i="106"/>
  <c r="B7047" i="106"/>
  <c r="D7047" i="106" s="1"/>
  <c r="L15" i="11"/>
  <c r="B3459" i="106" s="1"/>
  <c r="D3459" i="106" s="1"/>
  <c r="B1274" i="106"/>
  <c r="D1274" i="106" s="1"/>
  <c r="L13" i="11"/>
  <c r="B2060" i="106" s="1"/>
  <c r="D2060" i="106" s="1"/>
  <c r="G30" i="108"/>
  <c r="D69" i="36"/>
  <c r="B3647" i="106"/>
  <c r="D3647" i="106" s="1"/>
  <c r="F65" i="34"/>
  <c r="K184" i="29"/>
  <c r="F13" i="4" s="1"/>
  <c r="B2596" i="106" s="1"/>
  <c r="D2596" i="106" s="1"/>
  <c r="E29" i="108"/>
  <c r="G29" i="108"/>
  <c r="B6289" i="106"/>
  <c r="D6289" i="106" s="1"/>
  <c r="G39" i="108"/>
  <c r="C14" i="4"/>
  <c r="B2558" i="106" s="1"/>
  <c r="D2558" i="106" s="1"/>
  <c r="B1126" i="106"/>
  <c r="D1126" i="106" s="1"/>
  <c r="F26" i="108"/>
  <c r="D26" i="108"/>
  <c r="D41" i="108" s="1"/>
  <c r="E43" i="108" s="1"/>
  <c r="F28" i="108"/>
  <c r="E28" i="108"/>
  <c r="F19" i="7"/>
  <c r="B1807" i="106" s="1"/>
  <c r="D1807" i="106" s="1"/>
  <c r="D11" i="37"/>
  <c r="D31" i="36"/>
  <c r="H29" i="118"/>
  <c r="K28" i="118" s="1"/>
  <c r="O27" i="118" s="1"/>
  <c r="O29" i="118" s="1"/>
  <c r="H33" i="118"/>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52" i="36" l="1"/>
  <c r="J367" i="29"/>
  <c r="B7245" i="106" s="1"/>
  <c r="D7245" i="106" s="1"/>
  <c r="B7235" i="106"/>
  <c r="D7235" i="106" s="1"/>
  <c r="K342" i="29"/>
  <c r="F13" i="34" s="1"/>
  <c r="D7254" i="106"/>
  <c r="D7255" i="106"/>
  <c r="D7256" i="106"/>
  <c r="D7251" i="106"/>
  <c r="I26" i="12"/>
  <c r="B7741" i="106" s="1"/>
  <c r="D7741" i="106" s="1"/>
  <c r="B1996" i="106"/>
  <c r="D1996" i="106" s="1"/>
  <c r="B1328" i="106"/>
  <c r="D1328" i="106" s="1"/>
  <c r="B1381" i="106"/>
  <c r="D1381" i="106" s="1"/>
  <c r="D7253" i="106"/>
  <c r="G6" i="4"/>
  <c r="B2604" i="106" s="1"/>
  <c r="D2604" i="106" s="1"/>
  <c r="B5527" i="106"/>
  <c r="D5527" i="106" s="1"/>
  <c r="F41" i="108"/>
  <c r="G43" i="108" s="1"/>
  <c r="C114" i="29"/>
  <c r="B757" i="106" s="1"/>
  <c r="D757" i="106" s="1"/>
  <c r="F174" i="34"/>
  <c r="D44" i="36"/>
  <c r="H151" i="29"/>
  <c r="B1273" i="106" s="1"/>
  <c r="D1273" i="106" s="1"/>
  <c r="L114" i="29"/>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B3575" i="106" s="1"/>
  <c r="D3575" i="106" s="1"/>
  <c r="J19" i="4"/>
  <c r="B6229" i="106" s="1"/>
  <c r="D6229" i="106" s="1"/>
  <c r="J20" i="4"/>
  <c r="B6223" i="106"/>
  <c r="D6223" i="106"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<sst xmlns="http://schemas.openxmlformats.org/spreadsheetml/2006/main" count="5334" uniqueCount="2170">
  <si>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</si>
  <si>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</si>
  <si>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</si>
  <si>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</si>
  <si>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</si>
  <si>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</si>
  <si>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</si>
  <si>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</si>
  <si>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</si>
  <si>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</si>
  <si>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</si>
  <si>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</si>
  <si>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</si>
  <si>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</si>
  <si>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</si>
  <si>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</si>
  <si>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</si>
  <si>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</si>
  <si>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</si>
  <si>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</si>
  <si>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</si>
  <si>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</si>
  <si>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</si>
  <si>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</si>
  <si>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</si>
  <si>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</si>
  <si>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</si>
  <si>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</si>
  <si>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</si>
  <si>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</si>
  <si>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</si>
  <si>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</si>
  <si>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</si>
  <si>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</si>
  <si>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</si>
  <si>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</si>
  <si>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</si>
  <si>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</si>
  <si>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</si>
  <si>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</si>
  <si>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</si>
  <si>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</si>
  <si>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</si>
  <si>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</si>
  <si>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</si>
  <si>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</si>
  <si>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</si>
  <si>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</si>
  <si>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</si>
  <si>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</si>
  <si>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</si>
  <si>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</si>
  <si>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</si>
  <si>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</si>
  <si>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</si>
  <si>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</si>
  <si>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</si>
  <si>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</si>
  <si>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</si>
  <si>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</si>
  <si>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</si>
  <si>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</si>
  <si>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</si>
  <si>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</si>
  <si>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</si>
  <si>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</si>
  <si>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</si>
  <si>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</si>
  <si>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</si>
  <si>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</si>
  <si>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</si>
  <si>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</si>
  <si>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</si>
  <si>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</si>
  <si>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</si>
  <si>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</si>
  <si>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</si>
  <si>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</si>
  <si>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</si>
  <si>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</si>
  <si>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</si>
  <si>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</si>
  <si>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</si>
  <si>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</si>
  <si>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</si>
  <si>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</si>
  <si>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</si>
  <si>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</si>
  <si>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</si>
  <si>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</si>
  <si>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</si>
  <si>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</si>
  <si>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</si>
  <si>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</si>
  <si>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</si>
  <si>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</si>
  <si>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</si>
  <si>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</si>
  <si>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</si>
  <si>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</si>
  <si>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</si>
  <si>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</si>
  <si>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</si>
  <si>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</si>
  <si>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</si>
  <si>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</si>
  <si>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</si>
  <si>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</si>
  <si>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</si>
  <si>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</si>
  <si>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</si>
  <si>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</si>
  <si>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</si>
  <si>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</si>
  <si>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</si>
  <si>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</si>
  <si>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</si>
  <si>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</si>
  <si>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</si>
  <si>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</si>
  <si>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</si>
  <si>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</si>
  <si>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</si>
  <si>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</si>
  <si>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</si>
  <si>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</si>
  <si>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</si>
  <si>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</si>
  <si>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</si>
  <si>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</si>
  <si>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</si>
  <si>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</si>
  <si>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</si>
  <si>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</si>
  <si>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</si>
  <si>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</si>
  <si>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</si>
  <si>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</si>
  <si>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</si>
  <si>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</si>
  <si>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</si>
  <si>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</si>
  <si>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</si>
  <si>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</si>
  <si>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</si>
  <si>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</si>
  <si>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</si>
  <si>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</si>
  <si>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</si>
  <si>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</si>
  <si>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</si>
  <si>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</si>
  <si>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</si>
  <si>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</si>
  <si>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</si>
  <si>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</si>
  <si>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</si>
  <si>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</si>
  <si>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</si>
  <si>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</si>
  <si>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</si>
  <si>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</si>
  <si>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</si>
  <si>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</si>
  <si>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</si>
  <si>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</si>
  <si>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</si>
  <si>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</si>
  <si>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</si>
  <si>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</si>
  <si>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</si>
  <si>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</si>
  <si>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</si>
  <si>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</si>
  <si>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</si>
  <si>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</si>
  <si>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</si>
  <si>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</si>
  <si>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</si>
  <si>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</si>
  <si>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</si>
  <si>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</si>
  <si>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</si>
  <si>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</si>
  <si>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</si>
  <si>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</si>
  <si>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</si>
  <si>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</si>
  <si>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</si>
  <si>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</si>
  <si>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</si>
  <si>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</si>
  <si>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</si>
  <si>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</si>
  <si>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</si>
  <si>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</si>
  <si>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</si>
  <si>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</si>
  <si>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</si>
  <si>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</si>
  <si>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</si>
  <si>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</si>
  <si>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</si>
  <si>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</si>
  <si>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</si>
  <si>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</si>
  <si>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</si>
  <si>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</si>
  <si>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</si>
  <si>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</si>
  <si>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</si>
  <si>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</si>
  <si>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</si>
  <si>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</si>
  <si>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</si>
  <si>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</si>
  <si>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</si>
  <si>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</si>
  <si>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</si>
  <si>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</si>
  <si>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</si>
  <si>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</si>
  <si>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</si>
  <si>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</si>
  <si>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</si>
  <si>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</si>
  <si>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</si>
  <si>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</si>
  <si>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</si>
  <si>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</si>
  <si>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</si>
  <si>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</si>
  <si>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</si>
  <si>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</si>
  <si>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</si>
  <si>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</si>
  <si>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</si>
  <si>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</si>
  <si>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</si>
  <si>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</si>
  <si>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</si>
  <si>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</si>
  <si>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</si>
  <si>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</si>
  <si>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</si>
  <si>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</si>
  <si>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</si>
  <si>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</si>
  <si>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</si>
  <si>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</si>
  <si>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</si>
  <si>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</si>
  <si>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</si>
  <si>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</si>
  <si>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</si>
  <si>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</si>
  <si>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</si>
  <si>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</si>
  <si>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</si>
  <si>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</si>
  <si>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</si>
  <si>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</si>
  <si>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</si>
  <si>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</si>
  <si>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</si>
  <si>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</si>
  <si>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</si>
  <si>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</si>
  <si>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</si>
  <si>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</si>
  <si>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</si>
  <si>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</si>
  <si>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</si>
  <si>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</si>
  <si>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</si>
  <si>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</si>
  <si>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</si>
  <si>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</si>
  <si>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</si>
  <si>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</si>
  <si>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</si>
  <si>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</si>
  <si>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</si>
  <si>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</si>
  <si>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</si>
  <si>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</si>
  <si>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</si>
  <si>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</si>
  <si>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</si>
  <si>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</si>
  <si>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</si>
  <si>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</si>
  <si>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</si>
  <si>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</si>
  <si>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</si>
  <si>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</si>
  <si>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</si>
  <si>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</si>
  <si>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</si>
  <si>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</si>
  <si>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</si>
  <si>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</si>
  <si>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</si>
  <si>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</si>
  <si>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</si>
  <si>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</si>
  <si>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</si>
  <si>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</si>
  <si>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</si>
  <si>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</si>
  <si>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</si>
  <si>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</si>
  <si>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</si>
  <si>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</si>
  <si>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</si>
  <si>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</si>
  <si>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</si>
  <si>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</si>
  <si>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</si>
  <si>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</si>
  <si>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</si>
  <si>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</si>
  <si>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</si>
  <si>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</si>
  <si>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</si>
  <si>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</si>
  <si>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</si>
  <si>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</si>
  <si>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</si>
  <si>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</si>
  <si>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</si>
  <si>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</si>
  <si>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</si>
  <si>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</si>
  <si>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</si>
  <si>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</si>
  <si>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</si>
  <si>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</si>
  <si>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</si>
  <si>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</si>
  <si>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</si>
  <si>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</si>
  <si>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</si>
  <si>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</si>
  <si>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</si>
  <si>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</si>
  <si>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</si>
  <si>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</si>
  <si>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</si>
  <si>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</si>
  <si>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</si>
  <si>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</si>
  <si>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</si>
  <si>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</si>
  <si>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</si>
  <si>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</si>
  <si>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</si>
  <si>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</si>
  <si>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</si>
  <si>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</si>
  <si>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</si>
  <si>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</si>
  <si>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</si>
  <si>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</si>
  <si>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</si>
  <si>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</si>
  <si>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</si>
  <si>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</si>
  <si>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</si>
  <si>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</si>
  <si>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</si>
  <si>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</si>
  <si>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</si>
  <si>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</si>
  <si>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</si>
  <si>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</si>
  <si>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</si>
  <si>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</si>
  <si>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</si>
  <si>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</si>
  <si>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</si>
  <si>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</si>
  <si>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</si>
  <si>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</si>
  <si>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</si>
  <si>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</si>
  <si>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</si>
  <si>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</si>
  <si>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</si>
  <si>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</si>
  <si>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</si>
  <si>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</si>
  <si>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</si>
  <si>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</si>
  <si>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</si>
  <si>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</si>
  <si>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</si>
  <si>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</si>
  <si>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</si>
  <si>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</si>
  <si>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</si>
  <si>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</si>
  <si>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</si>
  <si>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</si>
  <si>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</si>
  <si>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</si>
  <si>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</si>
  <si>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</si>
  <si>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</si>
  <si>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</si>
  <si>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</si>
  <si>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</si>
  <si>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</si>
  <si>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</si>
  <si>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</si>
  <si>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</si>
  <si>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</si>
  <si>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</si>
  <si>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</si>
  <si>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</si>
  <si>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</si>
  <si>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</si>
  <si>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</si>
  <si>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</si>
  <si>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</si>
  <si>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</si>
  <si>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</si>
  <si>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</si>
  <si>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</si>
  <si>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</si>
  <si>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</si>
  <si>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</si>
  <si>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</si>
  <si>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</si>
  <si>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</si>
  <si>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</si>
  <si>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</si>
  <si>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</si>
  <si>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</si>
  <si>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</si>
  <si>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</si>
  <si>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</si>
  <si>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</si>
  <si>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</si>
  <si>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</si>
  <si>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</si>
  <si>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</si>
  <si>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</si>
  <si>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</si>
  <si>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</si>
  <si>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</si>
  <si>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</si>
  <si>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</si>
  <si>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</si>
  <si>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</si>
  <si>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</si>
  <si>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</si>
  <si>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</si>
  <si>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</si>
  <si>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</si>
  <si>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</si>
  <si>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</si>
  <si>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</si>
  <si>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</si>
  <si>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</si>
  <si>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</si>
  <si>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</si>
  <si>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</si>
  <si>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</si>
  <si>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</si>
  <si>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</si>
  <si>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</si>
  <si>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</si>
  <si>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</si>
  <si>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</si>
  <si>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</si>
  <si>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</si>
  <si>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</si>
  <si>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</si>
  <si>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</si>
  <si>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</si>
  <si>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</si>
  <si>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</si>
  <si>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</si>
  <si>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</si>
  <si>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</si>
  <si>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</si>
  <si>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</si>
  <si>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</si>
  <si>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</si>
  <si>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</si>
  <si>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</si>
  <si>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</si>
  <si>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</si>
  <si>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</si>
  <si>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</si>
  <si>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</si>
  <si>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</si>
  <si>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</si>
  <si>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</si>
  <si>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</si>
  <si>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</si>
  <si>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</si>
  <si>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</si>
  <si>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</si>
  <si>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</si>
  <si>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</si>
  <si>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</si>
  <si>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</si>
  <si>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</si>
  <si>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</si>
  <si>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</si>
  <si>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</si>
  <si>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</si>
  <si>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</si>
  <si>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</si>
  <si>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</si>
  <si>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</si>
  <si>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</si>
  <si>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</si>
  <si>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</si>
  <si>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</si>
  <si>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</si>
  <si>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</si>
  <si>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</si>
  <si>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</si>
  <si>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</si>
  <si>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</si>
  <si>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</si>
  <si>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</si>
  <si>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</si>
  <si>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</si>
  <si>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</si>
  <si>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</si>
  <si>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</si>
  <si>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</si>
  <si>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</si>
  <si>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</si>
  <si>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</si>
  <si>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</si>
  <si>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</si>
  <si>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</si>
  <si>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</si>
  <si>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</si>
  <si>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</si>
  <si>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</si>
  <si>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</si>
  <si>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</si>
  <si>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</si>
  <si>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</si>
  <si>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</si>
  <si>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</si>
  <si>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</si>
  <si>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</si>
  <si>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</si>
  <si>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</si>
  <si>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</si>
  <si>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</si>
  <si>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</si>
  <si>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</si>
  <si>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</si>
  <si>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</si>
  <si>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</si>
  <si>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</si>
  <si>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</si>
  <si>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</si>
  <si>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</si>
  <si>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</si>
  <si>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</si>
  <si>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</si>
  <si>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</si>
  <si>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</si>
  <si>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</si>
  <si>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</si>
  <si>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</si>
  <si>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</si>
  <si>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</si>
  <si>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</si>
  <si>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</si>
  <si>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</si>
  <si>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</si>
  <si>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</si>
  <si>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</si>
  <si>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</si>
  <si>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</si>
  <si>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</si>
  <si>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</si>
  <si>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</si>
  <si>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</si>
  <si>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</si>
  <si>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</si>
  <si>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</si>
  <si>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</si>
  <si>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</si>
  <si>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</si>
  <si>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</si>
  <si>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</si>
  <si>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</si>
  <si>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</si>
  <si>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</si>
  <si>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</si>
  <si>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</si>
  <si>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</si>
  <si>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</si>
  <si>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</si>
  <si>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</si>
  <si>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</si>
  <si>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</si>
  <si>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</si>
  <si>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</si>
  <si>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</si>
  <si>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</si>
  <si>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</si>
  <si>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</si>
  <si>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</si>
  <si>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</si>
  <si>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</si>
  <si>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</si>
  <si>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</si>
  <si>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</si>
  <si>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</si>
  <si>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</si>
  <si>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</si>
  <si>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</si>
  <si>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</si>
  <si>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</si>
  <si>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</si>
  <si>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</si>
  <si>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</si>
  <si>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</si>
  <si>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</si>
  <si>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</si>
  <si>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</si>
  <si>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</si>
  <si>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</si>
  <si>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</si>
  <si>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</si>
  <si>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</si>
  <si>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</si>
  <si>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</si>
  <si>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</si>
  <si>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</si>
  <si>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</si>
  <si>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</si>
  <si>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</si>
  <si>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</si>
  <si>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</si>
  <si>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</si>
  <si>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</si>
  <si>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</si>
  <si>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</si>
  <si>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</si>
  <si>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</si>
  <si>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</si>
  <si>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</si>
  <si>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</si>
  <si>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</si>
  <si>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</si>
  <si>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</si>
  <si>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</si>
  <si>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</si>
  <si>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</si>
  <si>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</si>
  <si>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</si>
  <si>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</si>
  <si>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</si>
  <si>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</si>
  <si>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</si>
  <si>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</si>
  <si>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</si>
  <si>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</si>
  <si>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</si>
  <si>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</si>
  <si>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</si>
  <si>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</si>
  <si>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</si>
  <si>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</si>
  <si>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</si>
  <si>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</si>
  <si>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</si>
  <si>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</si>
  <si>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</si>
  <si>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</si>
  <si>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</si>
  <si>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</si>
  <si>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</si>
  <si>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</si>
  <si>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</si>
  <si>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</si>
  <si>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</si>
  <si>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</si>
  <si>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</si>
  <si>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</si>
  <si>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</si>
  <si>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</si>
  <si>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</si>
  <si>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</si>
  <si>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</si>
  <si>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</si>
  <si>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</si>
  <si>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</si>
  <si>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</si>
  <si>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</si>
  <si>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</si>
  <si>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</si>
  <si>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</si>
  <si>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</si>
  <si>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</si>
  <si>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</si>
  <si>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</si>
  <si>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</si>
  <si>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</si>
  <si>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</si>
  <si>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</si>
  <si>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</si>
  <si>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</si>
  <si>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</si>
  <si>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</si>
  <si>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</si>
  <si>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</si>
  <si>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</si>
  <si>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</si>
  <si>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</si>
  <si>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</si>
  <si>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</si>
  <si>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</si>
  <si>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</si>
  <si>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</si>
  <si>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</si>
  <si>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</si>
  <si>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</si>
  <si>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</si>
  <si>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</si>
  <si>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</si>
  <si>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</si>
  <si>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</si>
  <si>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</si>
  <si>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</si>
  <si>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</si>
  <si>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</si>
  <si>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</si>
  <si>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</si>
  <si>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</si>
  <si>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</si>
  <si>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</si>
  <si>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</si>
  <si>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</si>
  <si>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</si>
  <si>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</si>
  <si>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</si>
  <si>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</si>
  <si>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</si>
  <si>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</si>
  <si>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</si>
  <si>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</si>
  <si>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</si>
  <si>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</si>
  <si>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</si>
  <si>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</si>
  <si>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</si>
  <si>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</si>
  <si>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</si>
  <si>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</si>
  <si>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</si>
  <si>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</si>
  <si>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</si>
  <si>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</si>
  <si>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</si>
  <si>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</si>
  <si>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</si>
  <si>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</si>
  <si>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</si>
  <si>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</si>
  <si>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</si>
  <si>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</si>
  <si>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</si>
  <si>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</si>
  <si>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</si>
  <si>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</si>
  <si>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</si>
  <si>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</si>
  <si>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</si>
  <si>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</si>
  <si>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</si>
  <si>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</si>
  <si>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</si>
  <si>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</si>
  <si>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</si>
  <si>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</si>
  <si>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</si>
  <si>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</si>
  <si>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</si>
  <si>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</si>
  <si>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</si>
  <si>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</si>
  <si>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</si>
  <si>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</si>
  <si>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</si>
  <si>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</si>
  <si>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</si>
  <si>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</si>
  <si>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</si>
  <si>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</si>
  <si>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</si>
  <si>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</si>
  <si>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</si>
  <si>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</si>
  <si>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</si>
  <si>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</si>
  <si>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</si>
  <si>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</si>
  <si>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</si>
  <si>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</si>
  <si>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</si>
  <si>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</si>
  <si>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</si>
  <si>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</si>
  <si>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</si>
  <si>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</si>
  <si>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</si>
  <si>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</si>
  <si>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</si>
  <si>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</si>
  <si>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</si>
  <si>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</si>
  <si>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</si>
  <si>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</si>
  <si>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</si>
  <si>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</si>
  <si>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</si>
  <si>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</si>
  <si>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</si>
  <si>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</si>
  <si>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</si>
  <si>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</si>
  <si>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</si>
  <si>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</si>
  <si>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</si>
  <si>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</si>
  <si>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</si>
  <si>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</si>
  <si>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</si>
  <si>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</si>
  <si>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</si>
  <si>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</si>
  <si>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</si>
  <si>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</si>
  <si>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</si>
  <si>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</si>
  <si>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</si>
  <si>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</si>
  <si>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</si>
  <si>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</si>
  <si>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</si>
  <si>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</si>
  <si>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</si>
  <si>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</si>
  <si>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</si>
  <si>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</si>
  <si>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</si>
  <si>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</si>
  <si>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</si>
  <si>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</si>
  <si>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</si>
  <si>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</si>
  <si>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</si>
  <si>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</si>
  <si>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</si>
  <si>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</si>
  <si>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</si>
  <si>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</si>
  <si>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</si>
  <si>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</si>
  <si>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</si>
  <si>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</si>
  <si>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</si>
  <si>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</si>
  <si>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</si>
  <si>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</si>
  <si>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</si>
  <si>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</si>
  <si>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</si>
  <si>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</si>
  <si>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</si>
  <si>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</si>
  <si>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</si>
  <si>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</si>
  <si>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</si>
  <si>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</si>
  <si>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</si>
  <si>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</si>
  <si>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</si>
  <si>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</si>
  <si>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</si>
  <si>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</si>
  <si>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</si>
  <si>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</si>
  <si>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</si>
  <si>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</si>
  <si>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</si>
  <si>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</si>
  <si>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</si>
  <si>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</si>
  <si>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</si>
  <si>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</si>
  <si>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</si>
  <si>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</si>
  <si>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</si>
  <si>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</si>
  <si>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</si>
  <si>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</si>
  <si>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</si>
  <si>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</si>
  <si>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</si>
  <si>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</si>
  <si>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</si>
  <si>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</si>
  <si>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</si>
  <si>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</si>
  <si>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</si>
  <si>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</si>
  <si>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</si>
  <si>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</si>
  <si>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</si>
  <si>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</si>
  <si>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</si>
  <si>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</si>
  <si>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</si>
  <si>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</si>
  <si>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</si>
  <si>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</si>
  <si>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</si>
  <si>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</si>
  <si>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</si>
  <si>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</si>
  <si>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</si>
  <si>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</si>
  <si>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</si>
  <si>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</si>
  <si>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</si>
  <si>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</si>
  <si>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</si>
  <si>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</si>
  <si>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</si>
  <si>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</si>
  <si>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</si>
  <si>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</si>
  <si>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</si>
  <si>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</si>
  <si>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</si>
  <si>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</si>
  <si>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</si>
  <si>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</si>
  <si>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</si>
  <si>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</si>
  <si>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</si>
  <si>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</si>
  <si>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</si>
  <si>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</si>
  <si>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</si>
  <si>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</si>
  <si>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</si>
  <si>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</si>
  <si>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</si>
  <si>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</si>
  <si>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</si>
  <si>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</si>
  <si>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</si>
  <si>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</si>
  <si>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</si>
  <si>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</si>
  <si>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</si>
  <si>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</si>
  <si>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</si>
  <si>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</si>
  <si>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</si>
  <si>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</si>
  <si>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</si>
  <si>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</si>
  <si>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</si>
  <si>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</si>
  <si>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</si>
  <si>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</si>
  <si>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</si>
  <si>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</si>
  <si>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</si>
  <si>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</si>
  <si>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</si>
  <si>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</si>
  <si>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</si>
  <si>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</si>
  <si>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</si>
  <si>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</si>
  <si>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</si>
  <si>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</si>
  <si>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</si>
  <si>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</si>
  <si>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</si>
  <si>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</si>
  <si>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</si>
  <si>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</si>
  <si>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</si>
  <si>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</si>
  <si>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</si>
  <si>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</si>
  <si>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</si>
  <si>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</si>
  <si>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</si>
  <si>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</si>
  <si>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</si>
  <si>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</si>
  <si>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</si>
  <si>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</si>
  <si>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</si>
  <si>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</si>
  <si>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</si>
  <si>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</si>
  <si>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</si>
  <si>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</si>
  <si>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</si>
  <si>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</si>
  <si>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</si>
  <si>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</si>
  <si>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</si>
  <si>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</si>
  <si>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</si>
  <si>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</si>
  <si>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</si>
  <si>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</si>
  <si>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</si>
  <si>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</si>
  <si>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</si>
  <si>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</si>
  <si>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</si>
  <si>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</si>
  <si>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</si>
  <si>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</si>
  <si>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</si>
  <si>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</si>
  <si>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</si>
  <si>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</si>
  <si>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</si>
  <si>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</si>
  <si>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</si>
  <si>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</si>
  <si>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</si>
  <si>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</si>
  <si>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</si>
  <si>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</si>
  <si>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</si>
  <si>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</si>
  <si>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</si>
  <si>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</si>
  <si>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</si>
  <si>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</si>
  <si>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</si>
  <si>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</si>
  <si>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</si>
  <si>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</si>
  <si>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</si>
  <si>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</si>
  <si>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</si>
  <si>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</si>
  <si>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</si>
  <si>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</si>
  <si>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</si>
  <si>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</si>
  <si>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</si>
  <si>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</si>
  <si>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</si>
  <si>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</si>
  <si>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</si>
  <si>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</si>
  <si>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</si>
  <si>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</si>
  <si>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</si>
  <si>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</si>
  <si>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</si>
  <si>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</si>
  <si>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</si>
  <si>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</si>
  <si>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</si>
  <si>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</si>
  <si>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</si>
  <si>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</si>
  <si>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</si>
  <si>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</si>
  <si>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</si>
  <si>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</si>
  <si>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</si>
  <si>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</si>
  <si>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</si>
  <si>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</si>
  <si>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</si>
  <si>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</si>
  <si>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</si>
  <si>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</si>
  <si>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</si>
  <si>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</si>
  <si>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</si>
  <si>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</si>
  <si>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</si>
  <si>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</si>
  <si>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</si>
  <si>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</si>
  <si>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</si>
  <si>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</si>
  <si>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</si>
  <si>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</si>
  <si>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</si>
  <si>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</si>
  <si>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</si>
  <si>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</si>
  <si>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</si>
  <si>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</si>
  <si>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</si>
  <si>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</si>
  <si>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</si>
  <si>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</si>
  <si>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</si>
  <si>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</si>
  <si>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</si>
  <si>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</si>
  <si>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</si>
  <si>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</si>
  <si>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</si>
  <si>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</si>
  <si>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</si>
  <si>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</si>
  <si>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</si>
  <si>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</si>
  <si>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</si>
  <si>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</si>
  <si>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</si>
  <si>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</si>
  <si>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</si>
  <si>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</si>
  <si>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</si>
  <si>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</si>
  <si>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</si>
  <si>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</si>
  <si>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</si>
  <si>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</si>
  <si>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</si>
  <si>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</si>
  <si>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</si>
  <si>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</si>
  <si>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</si>
  <si>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</si>
  <si>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</si>
  <si>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</si>
  <si>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</si>
  <si>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</si>
  <si>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</si>
  <si>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</si>
  <si>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</si>
  <si>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</si>
  <si>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</si>
  <si>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</si>
  <si>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</si>
  <si>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</si>
  <si>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</si>
  <si>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</si>
  <si>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</si>
  <si>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</si>
  <si>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</si>
  <si>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</si>
  <si>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</si>
  <si>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</si>
  <si>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</si>
  <si>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</si>
  <si>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</si>
  <si>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</si>
  <si>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</si>
  <si>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</si>
  <si>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</si>
  <si>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</si>
  <si>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</si>
  <si>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</si>
  <si>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</si>
  <si>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</si>
  <si>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</si>
  <si>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</si>
  <si>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</si>
  <si>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</si>
  <si>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</si>
  <si>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</si>
  <si>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</si>
  <si>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</si>
  <si>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</si>
  <si>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</si>
  <si>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</si>
  <si>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</si>
  <si>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</si>
  <si>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</si>
  <si>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</si>
  <si>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</si>
  <si>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</si>
  <si>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</si>
  <si>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</si>
  <si>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</si>
  <si>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</si>
  <si>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</si>
  <si>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</si>
  <si>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</si>
  <si>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</si>
  <si>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</si>
  <si>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</si>
  <si>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</si>
  <si>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</si>
  <si>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</si>
  <si>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</si>
  <si>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</si>
  <si>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</si>
  <si>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</si>
  <si>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</si>
  <si>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</si>
  <si>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</si>
  <si>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</si>
  <si>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</si>
  <si>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</si>
  <si>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</si>
  <si>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</si>
  <si>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</si>
  <si>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</si>
  <si>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</si>
  <si>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</si>
  <si>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</si>
  <si>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</si>
  <si>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</si>
  <si>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</si>
  <si>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</si>
  <si>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</si>
  <si>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</si>
  <si>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</si>
  <si>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</si>
  <si>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</si>
  <si>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</si>
  <si>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</si>
  <si>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</si>
  <si>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</si>
  <si>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</si>
  <si>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</si>
  <si>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</si>
  <si>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</si>
  <si>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</si>
  <si>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</si>
  <si>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</si>
  <si>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</si>
  <si>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</si>
  <si>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</si>
  <si>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</si>
  <si>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</si>
  <si>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</si>
  <si>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</si>
  <si>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</si>
  <si>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</si>
  <si>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</si>
  <si>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</si>
  <si>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</si>
  <si>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</si>
  <si>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</si>
  <si>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</si>
  <si>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</si>
  <si>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</si>
  <si>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</si>
  <si>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</si>
  <si>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</si>
  <si>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</si>
  <si>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</si>
  <si>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</si>
  <si>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</si>
  <si>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</si>
  <si>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</si>
  <si>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</si>
  <si>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</si>
  <si>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</si>
  <si>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</si>
  <si>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</si>
  <si>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</si>
  <si>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</si>
  <si>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</si>
  <si>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</si>
  <si>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</si>
  <si>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</si>
  <si>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</si>
  <si>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</si>
  <si>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</si>
  <si>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</si>
  <si>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</si>
  <si>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</si>
  <si>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</si>
  <si>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</si>
  <si>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</si>
  <si>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</si>
  <si>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</si>
  <si>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</si>
  <si>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</si>
  <si>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</si>
  <si>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</si>
  <si>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</si>
  <si>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</si>
  <si>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</si>
  <si>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</si>
  <si>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</si>
  <si>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</si>
  <si>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</si>
  <si>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</si>
  <si>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</si>
  <si>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</si>
  <si>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</si>
  <si>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</si>
  <si>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</si>
  <si>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</si>
  <si>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</si>
  <si>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</si>
  <si>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</si>
  <si>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</si>
  <si>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</si>
  <si>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</si>
  <si>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</si>
  <si>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</si>
  <si>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</si>
  <si>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</si>
  <si>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</si>
  <si>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</si>
  <si>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</si>
  <si>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</si>
  <si>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</si>
  <si>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</si>
  <si>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</si>
  <si>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</si>
  <si>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</si>
  <si>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</si>
  <si>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</si>
  <si>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</si>
  <si>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</si>
  <si>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</si>
  <si>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</si>
  <si>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</si>
  <si>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</si>
  <si>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</si>
  <si>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</si>
  <si>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</si>
  <si>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</si>
  <si>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</si>
  <si>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</si>
  <si>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</si>
  <si>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</si>
  <si>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</si>
  <si>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</si>
  <si>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</si>
  <si>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</si>
  <si>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</si>
  <si>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</si>
  <si>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</si>
  <si>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</si>
  <si>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</si>
  <si>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</si>
  <si>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</si>
  <si>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</si>
  <si>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</si>
  <si>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</si>
  <si>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</si>
  <si>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</si>
  <si>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</si>
  <si>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</si>
  <si>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</si>
  <si>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</si>
  <si>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</si>
  <si>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</si>
  <si>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</si>
  <si>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</si>
  <si>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</si>
  <si>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</si>
  <si>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</si>
  <si>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</si>
  <si>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</si>
  <si>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</si>
  <si>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</si>
  <si>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</si>
  <si>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</si>
  <si>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</si>
  <si>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</si>
  <si>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</si>
  <si>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</si>
  <si>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</si>
  <si>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</si>
  <si>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</si>
  <si>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</si>
  <si>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</si>
  <si>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</si>
  <si>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</si>
  <si>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</si>
  <si>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</si>
  <si>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</si>
  <si>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</si>
  <si>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</si>
  <si>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</si>
  <si>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</si>
  <si>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</si>
  <si>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</si>
  <si>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</si>
  <si>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</si>
  <si>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</si>
  <si>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</si>
  <si>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</si>
  <si>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</si>
  <si>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</si>
  <si>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</si>
  <si>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</si>
  <si>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</si>
  <si>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</si>
  <si>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</si>
  <si>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</si>
  <si>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</si>
  <si>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</si>
  <si>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</si>
  <si>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</si>
  <si>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</si>
  <si>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</si>
  <si>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</si>
  <si>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</si>
  <si>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</si>
  <si>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</si>
  <si>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</si>
  <si>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</si>
  <si>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</si>
  <si>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</si>
  <si>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</si>
  <si>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</si>
  <si>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</si>
  <si>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</si>
  <si>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</si>
  <si>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</si>
  <si>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</si>
  <si>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</si>
  <si>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</si>
  <si>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</si>
  <si>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</si>
  <si>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</si>
  <si>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</si>
  <si>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</si>
  <si>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</si>
  <si>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</si>
  <si>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</si>
  <si>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</si>
  <si>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</si>
  <si>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</si>
  <si>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</si>
  <si>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</si>
  <si>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</si>
  <si>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</si>
  <si>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</si>
  <si>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</si>
  <si>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</si>
  <si>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</si>
  <si>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</si>
  <si>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</si>
  <si>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</si>
  <si>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</si>
  <si>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</si>
  <si>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</si>
  <si>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</si>
  <si>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</si>
  <si>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</si>
  <si>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</si>
  <si>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</si>
  <si>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</si>
  <si>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</si>
  <si>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</si>
  <si>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</si>
  <si>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</si>
  <si>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</si>
  <si>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</si>
  <si>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</si>
  <si>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</si>
  <si>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</si>
  <si>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</si>
  <si>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</si>
  <si>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</si>
  <si>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</si>
  <si>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</si>
  <si>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</si>
  <si>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</si>
  <si>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</si>
  <si>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</si>
  <si>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</si>
  <si>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</si>
  <si>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</si>
  <si>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</si>
  <si>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</si>
  <si>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</si>
  <si>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</si>
  <si>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</si>
  <si>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</si>
  <si>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</si>
  <si>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</si>
  <si>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</si>
  <si>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</si>
  <si>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</si>
  <si>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</si>
  <si>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</si>
  <si>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</si>
  <si>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</si>
  <si>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</si>
  <si>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</si>
  <si>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</si>
  <si>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</si>
  <si>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</si>
  <si>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</si>
  <si>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</si>
  <si>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</si>
  <si>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</si>
  <si>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</si>
  <si>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</si>
  <si>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</si>
  <si>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</si>
  <si>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</si>
  <si>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</si>
  <si>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</si>
  <si>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</si>
  <si>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</si>
  <si>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</si>
  <si>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</si>
  <si>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</si>
  <si>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</si>
  <si>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</si>
  <si>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</si>
  <si>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</si>
  <si>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</si>
  <si>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</si>
  <si>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</si>
  <si>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</si>
  <si>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</si>
  <si>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</si>
  <si>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</si>
  <si>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</si>
  <si>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</si>
  <si>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</si>
  <si>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</si>
  <si>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</si>
  <si>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</si>
  <si>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</si>
  <si>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</si>
  <si>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</si>
  <si>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</si>
  <si>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</si>
  <si>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</si>
  <si>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</si>
  <si>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</si>
  <si>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</si>
  <si>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</si>
  <si>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</si>
  <si>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</si>
  <si>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</si>
  <si>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</si>
  <si>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</si>
  <si>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</si>
  <si>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</si>
  <si>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</si>
  <si>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</si>
  <si>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</si>
  <si>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</si>
  <si>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</si>
  <si>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</si>
  <si>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</si>
  <si>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</si>
  <si>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</si>
  <si>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</si>
  <si>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</si>
  <si>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</si>
  <si>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</si>
  <si>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</si>
  <si>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</si>
  <si>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</si>
  <si>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</si>
  <si>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</si>
  <si>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</si>
  <si>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</si>
  <si>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</si>
  <si>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</si>
  <si>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</si>
  <si>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</si>
  <si>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</si>
  <si>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</si>
  <si>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</si>
  <si>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</si>
  <si>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</si>
  <si>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</si>
  <si>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</si>
  <si>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</si>
  <si>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</si>
  <si>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</si>
  <si>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</si>
  <si>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</si>
  <si>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</si>
  <si>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</si>
  <si>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</si>
  <si>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</si>
  <si>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</si>
  <si>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</si>
  <si>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</si>
  <si>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</si>
  <si>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</si>
  <si>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</si>
  <si>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</si>
  <si>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</si>
  <si>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</si>
  <si>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</si>
  <si>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</si>
  <si>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</si>
  <si>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</si>
  <si>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</si>
  <si>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</si>
  <si>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</si>
  <si>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</si>
  <si>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</si>
  <si>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</si>
  <si>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</si>
  <si>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</si>
  <si>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</si>
  <si>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</si>
  <si>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</si>
  <si>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</si>
  <si>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</si>
  <si>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</si>
  <si>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</si>
  <si>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</si>
  <si>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</si>
  <si>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</si>
  <si>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</si>
  <si>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</si>
  <si>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</si>
  <si>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</si>
  <si>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</si>
  <si>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</si>
  <si>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</si>
  <si>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</si>
  <si>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</si>
  <si>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</si>
  <si>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</si>
  <si>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</si>
  <si>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</si>
  <si>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</si>
  <si>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</si>
  <si>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</si>
  <si>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</si>
  <si>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</si>
  <si>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</si>
  <si>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</si>
  <si>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</si>
  <si>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</si>
  <si>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</si>
  <si>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</si>
  <si>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</si>
  <si>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</si>
  <si>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</si>
  <si>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</si>
  <si>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</si>
  <si>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</si>
  <si>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</si>
  <si>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</si>
  <si>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</si>
  <si>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</si>
  <si>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</si>
  <si>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</si>
  <si>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</si>
  <si>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</si>
  <si>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</si>
  <si>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</si>
  <si>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</si>
  <si>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</si>
  <si>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</si>
  <si>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</si>
  <si>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</si>
  <si>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</si>
  <si>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</si>
  <si>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</si>
  <si>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</si>
  <si>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</si>
  <si>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</si>
  <si>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</si>
  <si>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</si>
  <si>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</si>
  <si>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</si>
  <si>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</si>
  <si>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</si>
  <si>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</si>
  <si>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</si>
  <si>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</si>
  <si>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</si>
  <si>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</si>
  <si>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</si>
  <si>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</si>
  <si>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</si>
  <si>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</si>
  <si>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</si>
  <si>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</si>
  <si>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</si>
  <si>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</si>
  <si>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</si>
  <si>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</si>
  <si>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</si>
  <si>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</si>
  <si>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</si>
  <si>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</si>
  <si>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</si>
  <si>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</si>
  <si>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</si>
  <si>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</si>
  <si>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</si>
  <si>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</si>
  <si>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</si>
  <si>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</si>
  <si>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</si>
  <si>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</si>
  <si>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</si>
  <si>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</si>
  <si>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</si>
  <si>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</si>
  <si>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</si>
  <si>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</si>
  <si>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</si>
  <si>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</si>
  <si>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</si>
  <si>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</si>
  <si>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</si>
  <si>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</si>
  <si>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</si>
  <si>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</si>
  <si>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</si>
  <si>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</si>
  <si>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</si>
  <si>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</si>
  <si>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</si>
  <si>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</si>
  <si>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</si>
  <si>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</si>
  <si>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</si>
  <si>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</si>
  <si>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</si>
  <si>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</si>
  <si>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</si>
  <si>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</si>
  <si>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</si>
  <si>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</si>
  <si>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</si>
  <si>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</si>
  <si>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</si>
  <si>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</si>
  <si>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</si>
  <si>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</si>
  <si>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</si>
  <si>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</si>
  <si>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</si>
  <si>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</si>
  <si>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</si>
  <si>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</si>
  <si>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</si>
  <si>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</si>
  <si>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</si>
  <si>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</si>
  <si>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</si>
  <si>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</si>
  <si>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</si>
  <si>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</si>
  <si>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</si>
  <si>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</si>
  <si>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</si>
  <si>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</si>
  <si>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</si>
  <si>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</si>
  <si>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</si>
  <si>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</si>
  <si>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</si>
  <si>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</si>
  <si>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</si>
  <si>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</si>
  <si>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</si>
  <si>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</si>
  <si>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</si>
  <si>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</si>
  <si>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</si>
  <si>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</si>
  <si>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</si>
  <si>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</si>
  <si>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</si>
  <si>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</si>
  <si>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</si>
  <si>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</si>
  <si>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</si>
  <si>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</si>
  <si>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</si>
  <si>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</si>
  <si>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</si>
  <si>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</si>
  <si>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</si>
  <si>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</si>
  <si>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</si>
  <si>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</si>
  <si>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</si>
  <si>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</si>
  <si>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</si>
  <si>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</si>
  <si>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</si>
  <si>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</si>
  <si>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</si>
  <si>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</si>
  <si>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</si>
  <si>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</si>
  <si>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</si>
  <si>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</si>
  <si>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</si>
  <si>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</si>
  <si>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</si>
  <si>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</si>
  <si>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</si>
  <si>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</si>
  <si>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</si>
  <si>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</si>
  <si>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</si>
  <si>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</si>
  <si>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</si>
  <si>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</si>
  <si>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</si>
  <si>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</si>
  <si>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</si>
  <si>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</si>
  <si>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</si>
  <si>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</si>
  <si>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</si>
  <si>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</si>
  <si>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</si>
  <si>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</si>
  <si>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</si>
  <si>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</si>
  <si>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</si>
  <si>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</si>
  <si>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</si>
  <si>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</si>
  <si>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</si>
  <si>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</si>
  <si>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</si>
  <si>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</si>
  <si>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</si>
  <si>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</si>
  <si>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</si>
  <si>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</si>
  <si>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</si>
  <si>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</si>
  <si>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</si>
  <si>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</si>
  <si>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</si>
  <si>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</si>
  <si>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</si>
  <si>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</si>
  <si>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</si>
  <si>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</si>
  <si>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</si>
  <si>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</si>
  <si>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</si>
  <si>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</si>
  <si>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</si>
  <si>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</si>
  <si>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</si>
  <si>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</si>
  <si>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</si>
  <si>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</si>
  <si>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</si>
  <si>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</si>
  <si>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</si>
  <si>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</si>
  <si>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</si>
  <si>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</si>
  <si>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</si>
  <si>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</si>
  <si>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</si>
  <si>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</si>
  <si>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</si>
  <si>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</si>
  <si>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</si>
  <si>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</si>
  <si>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</si>
  <si>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</si>
  <si>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</si>
  <si>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</si>
  <si>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</si>
  <si>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</si>
  <si>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</si>
  <si>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</si>
  <si>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</si>
  <si>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</si>
  <si>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</si>
  <si>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</si>
  <si>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</si>
  <si>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</si>
  <si>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</si>
  <si>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</si>
  <si>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</si>
  <si>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</si>
  <si>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</si>
  <si>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</si>
  <si>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</si>
  <si>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</si>
  <si>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</si>
  <si>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</si>
  <si>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</si>
  <si>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</si>
  <si>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</si>
  <si>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</si>
  <si>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</si>
  <si>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</si>
  <si>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</si>
  <si>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</si>
  <si>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</si>
  <si>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</si>
  <si>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</si>
  <si>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</si>
  <si>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</si>
  <si>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</si>
  <si>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</si>
  <si>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</si>
  <si>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</si>
  <si>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</si>
  <si>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</si>
  <si>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</si>
  <si>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</si>
  <si>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</si>
  <si>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</si>
  <si>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</si>
  <si>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</si>
  <si>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</si>
  <si>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</si>
  <si>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</si>
  <si>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</si>
  <si>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</si>
  <si>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</si>
  <si>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</si>
  <si>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</si>
  <si>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</si>
  <si>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</si>
  <si>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</si>
  <si>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</si>
  <si>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</si>
  <si>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</si>
  <si>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</si>
  <si>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</si>
  <si>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</si>
  <si>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</si>
  <si>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</si>
  <si>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</si>
  <si>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</si>
  <si>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</si>
  <si>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</si>
  <si>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</si>
  <si>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</si>
  <si>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</si>
  <si>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</si>
  <si>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</si>
  <si>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</si>
  <si>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</si>
  <si>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</si>
  <si>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</si>
  <si>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</si>
  <si>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</si>
  <si>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</si>
  <si>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</si>
  <si>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</si>
  <si>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</si>
  <si>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</si>
  <si>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</si>
  <si>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</si>
  <si>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</si>
  <si>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</si>
  <si>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</si>
  <si>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</si>
  <si>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</si>
  <si>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</si>
  <si>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</si>
  <si>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</si>
  <si>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</si>
  <si>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</si>
  <si>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</si>
  <si>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</si>
  <si>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</si>
  <si>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</si>
  <si>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</si>
  <si>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</si>
  <si>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</si>
  <si>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</si>
  <si>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</si>
  <si>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</si>
  <si>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</si>
  <si>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</si>
  <si>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</si>
  <si>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</si>
  <si>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</si>
  <si>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</si>
  <si>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</si>
  <si>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</si>
  <si>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</si>
  <si>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</si>
  <si>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</si>
  <si>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</si>
  <si>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</si>
  <si>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</si>
  <si>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</si>
  <si>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</si>
  <si>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</si>
  <si>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</si>
  <si>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</si>
  <si>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</si>
  <si>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</si>
  <si>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</si>
  <si>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</si>
  <si>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</si>
  <si>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</si>
  <si>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</si>
  <si>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</si>
  <si>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</si>
  <si>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</si>
  <si>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</si>
  <si>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</si>
  <si>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</si>
  <si>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</si>
  <si>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</si>
  <si>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</si>
  <si>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</si>
  <si>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</si>
  <si>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</si>
  <si>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</si>
  <si>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</si>
  <si>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</si>
  <si>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</si>
  <si>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</si>
  <si>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</si>
  <si>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</si>
  <si>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</si>
  <si>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</si>
  <si>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</si>
  <si>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</si>
  <si>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</si>
  <si>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</si>
  <si>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</si>
  <si>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</si>
  <si>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</si>
  <si>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</si>
  <si>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</si>
  <si>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</si>
  <si>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</si>
  <si>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</si>
  <si>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</si>
  <si>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</si>
  <si>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</si>
  <si>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</si>
  <si>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</si>
  <si>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</si>
  <si>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</si>
  <si>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</si>
  <si>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</si>
  <si>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</si>
  <si>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</si>
  <si>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</si>
  <si>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10401 WEST GRAND AVENUE</t>
  </si>
  <si>
    <t>FRANKLIN PARK</t>
  </si>
  <si>
    <t>847-455-4413</t>
  </si>
  <si>
    <t>847-451-2703</t>
  </si>
  <si>
    <t>EVOY, KAMSCHULTE, JACOBS &amp; CO. LLP</t>
  </si>
  <si>
    <t>JAMES HENRY, CPA</t>
  </si>
  <si>
    <t>2122 YEOMAN STREET</t>
  </si>
  <si>
    <t>WAUKEGAN</t>
  </si>
  <si>
    <t>IL</t>
  </si>
  <si>
    <t>847-662-8305</t>
  </si>
  <si>
    <t>847-662-8300</t>
  </si>
  <si>
    <t>066-003289</t>
  </si>
  <si>
    <t>JHENRY@EKJLLP.COM</t>
  </si>
  <si>
    <t>2011-C REFUNDING BONDS</t>
  </si>
  <si>
    <t>2011-D REFUNDING BONDS</t>
  </si>
  <si>
    <t>2013-A REFUNDING BONDS</t>
  </si>
  <si>
    <t>2013-B REFUNDING BONDS</t>
  </si>
  <si>
    <t>2013-C REFUNDING BONDS</t>
  </si>
  <si>
    <t>2013-D WORKING CASH FUND AND REFUNDING BONDS</t>
  </si>
  <si>
    <t>1 AND 3</t>
  </si>
  <si>
    <t>Educational Benefit Cooperative (EBC)</t>
  </si>
  <si>
    <t>Collective Liability Insurance Cooperative (CLIC), School Employees Loss Fund (SELF)</t>
  </si>
  <si>
    <t>ISDLAF, IL Funds, IL Portfolio-IIIT</t>
  </si>
  <si>
    <t>Leyden Area Special Education Cooperative (LASEC)</t>
  </si>
  <si>
    <t>Page 8, Line 80, Other Changes in Fund Balance-Prior period adjustment to record accrued investment income-Education Fund-$364,797,</t>
  </si>
  <si>
    <t>Operations &amp; Maintenance Fund-$28,279, Debt Service Fund-$5,963, Transportation Fund-$82,187, IMRF/SS Fund-$24,580,</t>
  </si>
  <si>
    <t>Capital Projects Fund-$12, Working Cash Fund-$10,306, Tort Immunity Fund-$2,974, Fire Prevention &amp; Safety Fund-$6,687</t>
  </si>
  <si>
    <r>
      <t>The accompanying Schedule of Expenditures of Federal Awards includes the federal grant activity of Mannheim School District No. 83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r>
      <rPr>
        <sz val="9"/>
        <rFont val="Calibri"/>
        <family val="2"/>
        <scheme val="minor"/>
      </rPr>
      <t>.</t>
    </r>
  </si>
  <si>
    <t>NONE - N/A</t>
  </si>
  <si>
    <t>N/A</t>
  </si>
  <si>
    <t>NONE</t>
  </si>
  <si>
    <r>
      <t xml:space="preserve">The following amounts were expended in the form of non-cash assistance by Mannheim School District No. 83 and are </t>
    </r>
    <r>
      <rPr>
        <sz val="9"/>
        <rFont val="Calibri"/>
        <family val="2"/>
        <scheme val="minor"/>
      </rPr>
      <t>included in the Schedule of Expenditures of Federal Awards:</t>
    </r>
  </si>
  <si>
    <t>Unmodified</t>
  </si>
  <si>
    <t>10.553, 10.555</t>
  </si>
  <si>
    <t>Child Nutrition Cluster</t>
  </si>
  <si>
    <t>U S DEPARTMENT OF AGRICULTURE</t>
  </si>
  <si>
    <t>Passed Through IL State Board of Education</t>
  </si>
  <si>
    <t>(M) National School Lunch Program</t>
  </si>
  <si>
    <t>4210-2019</t>
  </si>
  <si>
    <t>4210-2018</t>
  </si>
  <si>
    <t>(M) School Breakfast Program</t>
  </si>
  <si>
    <t>4220-2019</t>
  </si>
  <si>
    <t>4220-2018</t>
  </si>
  <si>
    <t>(M) USDA Food Commodities - Non-Cash</t>
  </si>
  <si>
    <t>4240-2019</t>
  </si>
  <si>
    <t>(M) Dod Fruits &amp; Vegetables - Non-Cash</t>
  </si>
  <si>
    <t>4240-2018</t>
  </si>
  <si>
    <t>Total Child Nutrition Cluster</t>
  </si>
  <si>
    <t>TOTAL U S DEPARTMENT OF AGRICULTURE</t>
  </si>
  <si>
    <t>U S DEPARTMENT OF EDUCATION</t>
  </si>
  <si>
    <t xml:space="preserve">    Title I - Low-Income</t>
  </si>
  <si>
    <t>4300-2019</t>
  </si>
  <si>
    <t>4300-2018</t>
  </si>
  <si>
    <t xml:space="preserve">    Title I - School Improvement &amp; Accountability</t>
  </si>
  <si>
    <t>4331-2019</t>
  </si>
  <si>
    <t>4909-2019</t>
  </si>
  <si>
    <t xml:space="preserve">    Title III - Language Instruction Program-Limited English (LIPLEP)</t>
  </si>
  <si>
    <t>4909-2018</t>
  </si>
  <si>
    <t xml:space="preserve">    Title II - Teacher Quality</t>
  </si>
  <si>
    <t>4932-2019</t>
  </si>
  <si>
    <t>4932-2018</t>
  </si>
  <si>
    <t>U S DEPARTMENT OF EDUCATION (Continued)</t>
  </si>
  <si>
    <t>Special Education Cluster</t>
  </si>
  <si>
    <t>Passed Through IL State Board of Education Through Leyden Area Special Education Coop</t>
  </si>
  <si>
    <t>4600-2019</t>
  </si>
  <si>
    <t>4600-2018</t>
  </si>
  <si>
    <t xml:space="preserve">    Federal Special Education - IDEA - Pre-School Flow-Through</t>
  </si>
  <si>
    <t xml:space="preserve">    Federal Special Education - IDEA - Flow-Through</t>
  </si>
  <si>
    <t>4620-2019</t>
  </si>
  <si>
    <t>4620-2018</t>
  </si>
  <si>
    <t xml:space="preserve">    Federal Special Education - IDEA - Room &amp; Board</t>
  </si>
  <si>
    <t>4625-2019</t>
  </si>
  <si>
    <t>4625-2018</t>
  </si>
  <si>
    <t>TOTAL U S DEPARTMENT OF EDUCATION</t>
  </si>
  <si>
    <t>U S DEPARTMENT OF HEALTH AND HUMAN SERVICES</t>
  </si>
  <si>
    <t>Passed Through IL Department of Healthcare and Family Services</t>
  </si>
  <si>
    <t xml:space="preserve">    Medicaid Medical Assistance Program - Administrative Claim</t>
  </si>
  <si>
    <t>4991-2019</t>
  </si>
  <si>
    <t>4991-2018</t>
  </si>
  <si>
    <t>TOTAL U S DEPARTMENT OF HEALTH AND HUMAN SERVICES</t>
  </si>
  <si>
    <t>TOTAL FEDERAL FINANCIAL ASSISTANCE</t>
  </si>
  <si>
    <t>Value of Federal Awards Expended in the Form of Non-Cash Assistance Included Above</t>
  </si>
  <si>
    <t>Amounts Provided to Subrecipients</t>
  </si>
  <si>
    <t>Federal Insurance in Effect During the Year</t>
  </si>
  <si>
    <t>Federal Loans or Loan Guarantees, Including Interest Subsidies, Outstanding at Year End</t>
  </si>
  <si>
    <t>Total Special Education Cluster</t>
  </si>
  <si>
    <t>ED-Food Services-Prof Svcs</t>
  </si>
  <si>
    <t>10-2560-300</t>
  </si>
  <si>
    <t>Arbor Management Services</t>
  </si>
  <si>
    <t>ED-Assessment &amp; Testing Services-Prof Svcs</t>
  </si>
  <si>
    <t>ECRA Group</t>
  </si>
  <si>
    <t>10-2200-300</t>
  </si>
  <si>
    <t>NWEA</t>
  </si>
  <si>
    <t>TRANS-Pupil Transportation-Prof Svcs</t>
  </si>
  <si>
    <t>40-2550-300</t>
  </si>
  <si>
    <t>Richlee Vans</t>
  </si>
  <si>
    <t>ED-Instruction-Prof Svcs</t>
  </si>
  <si>
    <t>Ricoh USA</t>
  </si>
  <si>
    <t>10-1000-300</t>
  </si>
  <si>
    <t>ED-Health Services-Prof Svcs</t>
  </si>
  <si>
    <t>Bright Star Care</t>
  </si>
  <si>
    <t>10-2100-300</t>
  </si>
  <si>
    <t>ED-Speech Pathology Services-Prof Svcs</t>
  </si>
  <si>
    <t>Soliant Health</t>
  </si>
  <si>
    <t>Evoy, Kamschulte, Jacobs &amp; Co. LLP</t>
  </si>
  <si>
    <t>Mannheim SD 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</si>
</sst>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876300</xdr:colOff>
          <xdr:row>5</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5" t="s">
        <v>405</v>
      </c>
      <c r="J1" s="2016"/>
      <c r="K1" s="2016"/>
      <c r="L1" s="2016"/>
      <c r="M1" s="2016"/>
      <c r="N1" s="2016"/>
      <c r="O1" s="2016"/>
      <c r="P1" s="2016"/>
      <c r="Q1" s="2016"/>
      <c r="R1" s="2016"/>
      <c r="S1" s="2016"/>
    </row>
    <row r="2" spans="1:28" ht="12" customHeight="1" x14ac:dyDescent="0.2">
      <c r="A2" s="47" t="s">
        <v>1991</v>
      </c>
      <c r="D2" s="48"/>
      <c r="I2" s="2017" t="s">
        <v>979</v>
      </c>
      <c r="J2" s="2016"/>
      <c r="K2" s="2016"/>
      <c r="L2" s="2016"/>
      <c r="M2" s="2016"/>
      <c r="N2" s="2016"/>
      <c r="O2" s="2016"/>
      <c r="P2" s="2016"/>
      <c r="Q2" s="2016"/>
      <c r="R2" s="2016"/>
      <c r="S2" s="2016"/>
    </row>
    <row r="3" spans="1:28" ht="12" customHeight="1" x14ac:dyDescent="0.2">
      <c r="A3" s="155" t="s">
        <v>1943</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2062</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1985">
        <v>6016083002</v>
      </c>
      <c r="B13" s="1986"/>
      <c r="C13" s="1986"/>
      <c r="D13" s="1986"/>
      <c r="E13" s="1986"/>
      <c r="F13" s="1986"/>
      <c r="G13" s="1986"/>
      <c r="H13" s="1987"/>
      <c r="I13" s="31"/>
      <c r="J13" s="30"/>
      <c r="K13" s="28"/>
      <c r="L13" s="30"/>
      <c r="M13" s="30"/>
      <c r="N13" s="30"/>
      <c r="O13" s="30"/>
      <c r="P13" s="30"/>
      <c r="Q13" s="30"/>
      <c r="R13" s="30"/>
      <c r="S13" s="30"/>
      <c r="T13" s="1990" t="s">
        <v>2068</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2063</v>
      </c>
      <c r="B15" s="1988"/>
      <c r="C15" s="1988"/>
      <c r="D15" s="1988"/>
      <c r="E15" s="1988"/>
      <c r="F15" s="1988"/>
      <c r="G15" s="1988"/>
      <c r="H15" s="1989"/>
      <c r="T15" s="1951" t="s">
        <v>2069</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2169</v>
      </c>
      <c r="B17" s="2013"/>
      <c r="C17" s="2013"/>
      <c r="D17" s="2013"/>
      <c r="E17" s="2013"/>
      <c r="F17" s="2013"/>
      <c r="G17" s="2013"/>
      <c r="H17" s="2014"/>
      <c r="T17" s="2000" t="s">
        <v>2070</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2064</v>
      </c>
      <c r="B19" s="1984"/>
      <c r="C19" s="1984"/>
      <c r="D19" s="1984"/>
      <c r="E19" s="1984"/>
      <c r="F19" s="1984"/>
      <c r="G19" s="1984"/>
      <c r="H19" s="1982"/>
      <c r="I19" s="30"/>
      <c r="J19" s="99"/>
      <c r="K19" s="40"/>
      <c r="L19" s="38"/>
      <c r="M19" s="112" t="s">
        <v>315</v>
      </c>
      <c r="P19" s="27"/>
      <c r="Q19" s="27"/>
      <c r="R19" s="27"/>
      <c r="S19" s="31"/>
      <c r="T19" s="1983" t="s">
        <v>2071</v>
      </c>
      <c r="U19" s="1981"/>
      <c r="V19" s="1981"/>
      <c r="W19" s="1982"/>
      <c r="X19" s="1998" t="s">
        <v>2072</v>
      </c>
      <c r="Y19" s="1999"/>
      <c r="Z19" s="1996">
        <v>60087</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2065</v>
      </c>
      <c r="B21" s="1981"/>
      <c r="C21" s="1981"/>
      <c r="D21" s="1981"/>
      <c r="E21" s="1981"/>
      <c r="F21" s="1981"/>
      <c r="G21" s="1981"/>
      <c r="H21" s="1982"/>
      <c r="I21" s="2006" t="s">
        <v>678</v>
      </c>
      <c r="J21" s="1969"/>
      <c r="K21" s="1969"/>
      <c r="L21" s="1969"/>
      <c r="M21" s="1969"/>
      <c r="N21" s="1969"/>
      <c r="O21" s="1969"/>
      <c r="P21" s="1969"/>
      <c r="Q21" s="1969"/>
      <c r="R21" s="1969"/>
      <c r="S21" s="1970"/>
      <c r="T21" s="1948" t="s">
        <v>2074</v>
      </c>
      <c r="U21" s="1949"/>
      <c r="V21" s="1949"/>
      <c r="W21" s="1949"/>
      <c r="X21" s="1962" t="s">
        <v>2073</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c r="B23" s="2004"/>
      <c r="C23" s="2004"/>
      <c r="D23" s="2004"/>
      <c r="E23" s="2004"/>
      <c r="F23" s="2004"/>
      <c r="G23" s="2004"/>
      <c r="H23" s="2005"/>
      <c r="T23" s="1943" t="s">
        <v>2075</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60131</v>
      </c>
      <c r="B25" s="1981"/>
      <c r="C25" s="1981"/>
      <c r="D25" s="1981"/>
      <c r="E25" s="1981"/>
      <c r="F25" s="1981"/>
      <c r="G25" s="1981"/>
      <c r="H25" s="1982"/>
      <c r="I25" s="113"/>
      <c r="J25" s="2047"/>
      <c r="K25" s="2047"/>
      <c r="L25" s="2047"/>
      <c r="M25" s="2047"/>
      <c r="N25" s="2047"/>
      <c r="O25" s="2047"/>
      <c r="P25" s="2047"/>
      <c r="Q25" s="2047"/>
      <c r="R25" s="2047"/>
      <c r="S25" s="2048"/>
      <c r="T25" s="1940" t="s">
        <v>2076</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2066</v>
      </c>
      <c r="B42" s="2030"/>
      <c r="C42" s="2031"/>
      <c r="D42" s="2044" t="s">
        <v>2067</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3" sqref="C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1800</v>
      </c>
      <c r="B2" s="1528" t="s">
        <v>1949</v>
      </c>
      <c r="C2" s="714" t="s">
        <v>1950</v>
      </c>
      <c r="D2" s="714" t="s">
        <v>1951</v>
      </c>
      <c r="E2" s="714" t="s">
        <v>1952</v>
      </c>
      <c r="F2" s="714" t="s">
        <v>1953</v>
      </c>
    </row>
    <row r="3" spans="1:6" ht="12" customHeight="1" x14ac:dyDescent="0.2">
      <c r="A3" s="2183"/>
      <c r="B3" s="1525"/>
      <c r="C3" s="1526"/>
      <c r="D3" s="1527" t="s">
        <v>256</v>
      </c>
      <c r="E3" s="1526"/>
      <c r="F3" s="1527" t="s">
        <v>257</v>
      </c>
    </row>
    <row r="4" spans="1:6" ht="13.7" customHeight="1" x14ac:dyDescent="0.2">
      <c r="A4" s="715" t="s">
        <v>1155</v>
      </c>
      <c r="B4" s="1749">
        <f>'Revenues 9-14'!C5</f>
        <v>25915639</v>
      </c>
      <c r="C4" s="1524">
        <v>13881524</v>
      </c>
      <c r="D4" s="1752">
        <f>B4-C4</f>
        <v>12034115</v>
      </c>
      <c r="E4" s="1524">
        <v>28487511</v>
      </c>
      <c r="F4" s="1752">
        <f>E4-C4</f>
        <v>14605987</v>
      </c>
    </row>
    <row r="5" spans="1:6" ht="13.7" customHeight="1" x14ac:dyDescent="0.2">
      <c r="A5" s="715" t="s">
        <v>870</v>
      </c>
      <c r="B5" s="1750">
        <f>'Revenues 9-14'!D5</f>
        <v>3790168</v>
      </c>
      <c r="C5" s="585">
        <v>1940662</v>
      </c>
      <c r="D5" s="1753">
        <f t="shared" ref="D5:D18" si="0">B5-C5</f>
        <v>1849506</v>
      </c>
      <c r="E5" s="585">
        <v>3934029</v>
      </c>
      <c r="F5" s="1753">
        <f>E5-C5</f>
        <v>1993367</v>
      </c>
    </row>
    <row r="6" spans="1:6" ht="13.7" customHeight="1" x14ac:dyDescent="0.2">
      <c r="A6" s="715" t="s">
        <v>411</v>
      </c>
      <c r="B6" s="1750">
        <f>'Revenues 9-14'!E5</f>
        <v>1899313</v>
      </c>
      <c r="C6" s="585">
        <v>967426</v>
      </c>
      <c r="D6" s="1753">
        <f t="shared" si="0"/>
        <v>931887</v>
      </c>
      <c r="E6" s="585">
        <v>2043922</v>
      </c>
      <c r="F6" s="1753">
        <f t="shared" ref="F6:F18" si="1">E6-C6</f>
        <v>1076496</v>
      </c>
    </row>
    <row r="7" spans="1:6" ht="13.7" customHeight="1" x14ac:dyDescent="0.2">
      <c r="A7" s="715" t="s">
        <v>155</v>
      </c>
      <c r="B7" s="1750">
        <f>'Revenues 9-14'!F5</f>
        <v>1147682</v>
      </c>
      <c r="C7" s="585">
        <v>434476</v>
      </c>
      <c r="D7" s="1753">
        <f t="shared" si="0"/>
        <v>713206</v>
      </c>
      <c r="E7" s="585">
        <v>900000</v>
      </c>
      <c r="F7" s="1753">
        <f t="shared" si="1"/>
        <v>465524</v>
      </c>
    </row>
    <row r="8" spans="1:6" ht="13.7" customHeight="1" x14ac:dyDescent="0.2">
      <c r="A8" s="715" t="s">
        <v>1179</v>
      </c>
      <c r="B8" s="1750">
        <f>'Revenues 9-14'!G5</f>
        <v>268240</v>
      </c>
      <c r="C8" s="585">
        <v>108619</v>
      </c>
      <c r="D8" s="1753">
        <f t="shared" si="0"/>
        <v>159621</v>
      </c>
      <c r="E8" s="585">
        <v>231750</v>
      </c>
      <c r="F8" s="1753">
        <f t="shared" si="1"/>
        <v>123131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264687</v>
      </c>
      <c r="C10" s="585">
        <v>96550</v>
      </c>
      <c r="D10" s="1753">
        <f t="shared" si="0"/>
        <v>168137</v>
      </c>
      <c r="E10" s="585">
        <v>206000</v>
      </c>
      <c r="F10" s="1753">
        <f t="shared" si="1"/>
        <v>109450</v>
      </c>
    </row>
    <row r="11" spans="1:6" x14ac:dyDescent="0.2">
      <c r="A11" s="715" t="s">
        <v>409</v>
      </c>
      <c r="B11" s="1750">
        <f>'Revenues 9-14'!J5</f>
        <v>324315</v>
      </c>
      <c r="C11" s="585">
        <v>144825</v>
      </c>
      <c r="D11" s="1753">
        <f t="shared" si="0"/>
        <v>179490</v>
      </c>
      <c r="E11" s="585">
        <v>309000</v>
      </c>
      <c r="F11" s="1753">
        <f t="shared" si="1"/>
        <v>164175</v>
      </c>
    </row>
    <row r="12" spans="1:6" ht="13.7" customHeight="1" x14ac:dyDescent="0.2">
      <c r="A12" s="715" t="s">
        <v>157</v>
      </c>
      <c r="B12" s="1750">
        <f>'Revenues 9-14'!K5</f>
        <v>680909</v>
      </c>
      <c r="C12" s="585">
        <v>340340</v>
      </c>
      <c r="D12" s="1753">
        <f t="shared" si="0"/>
        <v>340569</v>
      </c>
      <c r="E12" s="585">
        <v>715278</v>
      </c>
      <c r="F12" s="1753">
        <f t="shared" si="1"/>
        <v>374938</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2754730</v>
      </c>
      <c r="C14" s="585">
        <v>1409635</v>
      </c>
      <c r="D14" s="1753">
        <f t="shared" si="0"/>
        <v>1345095</v>
      </c>
      <c r="E14" s="585">
        <v>2861112</v>
      </c>
      <c r="F14" s="1753">
        <f t="shared" si="1"/>
        <v>1451477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304058</v>
      </c>
      <c r="C16" s="585">
        <v>120688</v>
      </c>
      <c r="D16" s="1753">
        <f t="shared" si="0"/>
        <v>183370</v>
      </c>
      <c r="E16" s="585">
        <v>257500</v>
      </c>
      <c r="F16" s="1753">
        <f t="shared" si="1"/>
        <v>136812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37349741</v>
      </c>
      <c r="C19" s="1751">
        <f>SUM(C4:C18)</f>
        <v>19444745</v>
      </c>
      <c r="D19" s="1751">
        <f>SUM(D4:D18)</f>
        <v>17904996</v>
      </c>
      <c r="E19" s="1751">
        <f>SUM(E4:E18)</f>
        <v>39946102</v>
      </c>
      <c r="F19" s="1751">
        <f>SUM(F4:F18)</f>
        <v>20501357</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8" sqref="J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1800</v>
      </c>
      <c r="B2" s="2198"/>
      <c r="C2" s="1884" t="s">
        <v>1954</v>
      </c>
      <c r="D2" s="723" t="s">
        <v>1955</v>
      </c>
      <c r="E2" s="723" t="s">
        <v>1956</v>
      </c>
      <c r="F2" s="1884" t="s">
        <v>1957</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2077</v>
      </c>
      <c r="B31" s="733">
        <v>40699</v>
      </c>
      <c r="C31" s="734">
        <v>6530000</v>
      </c>
      <c r="D31" s="735">
        <v>3</v>
      </c>
      <c r="E31" s="734">
        <v>2810000</v>
      </c>
      <c r="F31" s="734"/>
      <c r="G31" s="734"/>
      <c r="H31" s="734">
        <v>540000</v>
      </c>
      <c r="I31" s="1756">
        <f>((E31+F31)-H31)+G31</f>
        <v>2270000</v>
      </c>
      <c r="J31" s="734">
        <v>1956993</v>
      </c>
      <c r="K31" s="736"/>
    </row>
    <row r="32" spans="1:11" ht="12" customHeight="1" x14ac:dyDescent="0.2">
      <c r="A32" s="732" t="s">
        <v>2078</v>
      </c>
      <c r="B32" s="733">
        <v>40699</v>
      </c>
      <c r="C32" s="734">
        <v>13540000</v>
      </c>
      <c r="D32" s="735">
        <v>3</v>
      </c>
      <c r="E32" s="734"/>
      <c r="F32" s="734"/>
      <c r="G32" s="734"/>
      <c r="H32" s="734"/>
      <c r="I32" s="1756">
        <f>((E32+F32)-H32)+G32</f>
        <v>0</v>
      </c>
      <c r="J32" s="734">
        <v>-254845</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t="s">
        <v>2079</v>
      </c>
      <c r="B34" s="733">
        <v>41543</v>
      </c>
      <c r="C34" s="734">
        <v>7000000</v>
      </c>
      <c r="D34" s="735">
        <v>3</v>
      </c>
      <c r="E34" s="734">
        <v>6870000</v>
      </c>
      <c r="F34" s="734"/>
      <c r="G34" s="734"/>
      <c r="H34" s="734"/>
      <c r="I34" s="1756">
        <f t="shared" si="1"/>
        <v>6870000</v>
      </c>
      <c r="J34" s="734">
        <v>6842439</v>
      </c>
      <c r="K34" s="737"/>
    </row>
    <row r="35" spans="1:11" ht="12" customHeight="1" x14ac:dyDescent="0.2">
      <c r="A35" s="732" t="s">
        <v>2080</v>
      </c>
      <c r="B35" s="733">
        <v>41543</v>
      </c>
      <c r="C35" s="738">
        <v>5550000</v>
      </c>
      <c r="D35" s="735">
        <v>3</v>
      </c>
      <c r="E35" s="738">
        <v>4215000</v>
      </c>
      <c r="F35" s="738"/>
      <c r="G35" s="738"/>
      <c r="H35" s="738">
        <v>290000</v>
      </c>
      <c r="I35" s="1756">
        <f t="shared" si="1"/>
        <v>3925000</v>
      </c>
      <c r="J35" s="738">
        <v>3766383</v>
      </c>
      <c r="K35" s="737"/>
    </row>
    <row r="36" spans="1:11" ht="12" customHeight="1" x14ac:dyDescent="0.2">
      <c r="A36" s="732" t="s">
        <v>2081</v>
      </c>
      <c r="B36" s="733">
        <v>41543</v>
      </c>
      <c r="C36" s="734">
        <v>9630000</v>
      </c>
      <c r="D36" s="735">
        <v>3</v>
      </c>
      <c r="E36" s="734">
        <v>9630000</v>
      </c>
      <c r="F36" s="734"/>
      <c r="G36" s="734"/>
      <c r="H36" s="734"/>
      <c r="I36" s="1756">
        <f t="shared" si="1"/>
        <v>9630000</v>
      </c>
      <c r="J36" s="734">
        <v>9535925</v>
      </c>
      <c r="K36" s="739"/>
    </row>
    <row r="37" spans="1:11" ht="12" customHeight="1" x14ac:dyDescent="0.2">
      <c r="A37" s="732" t="s">
        <v>2082</v>
      </c>
      <c r="B37" s="733">
        <v>41543</v>
      </c>
      <c r="C37" s="467">
        <v>15350000</v>
      </c>
      <c r="D37" s="740" t="s">
        <v>2083</v>
      </c>
      <c r="E37" s="467">
        <v>14170000</v>
      </c>
      <c r="F37" s="467"/>
      <c r="G37" s="467"/>
      <c r="H37" s="467">
        <v>970000</v>
      </c>
      <c r="I37" s="1756">
        <f t="shared" si="1"/>
        <v>13200000</v>
      </c>
      <c r="J37" s="467">
        <v>11784798</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57600000</v>
      </c>
      <c r="D49" s="745"/>
      <c r="E49" s="1756">
        <f t="shared" ref="E49:J49" si="2">SUM(E31:E48)</f>
        <v>37695000</v>
      </c>
      <c r="F49" s="1756">
        <f t="shared" si="2"/>
        <v>0</v>
      </c>
      <c r="G49" s="1756">
        <f t="shared" si="2"/>
        <v>0</v>
      </c>
      <c r="H49" s="1756">
        <f t="shared" si="2"/>
        <v>1800000</v>
      </c>
      <c r="I49" s="1756">
        <f t="shared" si="2"/>
        <v>35895000</v>
      </c>
      <c r="J49" s="1756">
        <f t="shared" si="2"/>
        <v>33631693</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H38" sqref="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1810</v>
      </c>
      <c r="K2" s="762" t="s">
        <v>138</v>
      </c>
    </row>
    <row r="3" spans="1:11" x14ac:dyDescent="0.2">
      <c r="A3" s="2219" t="s">
        <v>1962</v>
      </c>
      <c r="B3" s="2220"/>
      <c r="C3" s="2220"/>
      <c r="D3" s="2220"/>
      <c r="E3" s="2221"/>
      <c r="F3" s="763"/>
      <c r="G3" s="764"/>
      <c r="H3" s="764">
        <v>0</v>
      </c>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2754730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1811</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2754730</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2754730</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1807</v>
      </c>
      <c r="B19" s="2248"/>
      <c r="C19" s="2248"/>
      <c r="D19" s="2248"/>
      <c r="E19" s="2249"/>
      <c r="F19" s="789" t="s">
        <v>933</v>
      </c>
      <c r="G19" s="782"/>
      <c r="H19" s="782"/>
      <c r="I19" s="782"/>
      <c r="J19" s="765"/>
      <c r="K19" s="795"/>
    </row>
    <row r="20" spans="1:11" x14ac:dyDescent="0.2">
      <c r="A20" s="2227" t="s">
        <v>1812</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1813</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2754730</v>
      </c>
      <c r="I23" s="1758">
        <f>SUM(I14:I16,I21,I22)</f>
        <v>0</v>
      </c>
      <c r="J23" s="1758">
        <f>SUM(J14:J16,J21,J22)</f>
        <v>0</v>
      </c>
      <c r="K23" s="1758">
        <f>SUM(K14:K16,K21,K22)</f>
        <v>0</v>
      </c>
    </row>
    <row r="24" spans="1:11" ht="14.25" thickTop="1" thickBot="1" x14ac:dyDescent="0.25">
      <c r="A24" s="2234" t="s">
        <v>1963</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164439</v>
      </c>
    </row>
    <row r="37" spans="1:11" x14ac:dyDescent="0.2">
      <c r="A37" s="820" t="s">
        <v>896</v>
      </c>
      <c r="B37" s="818"/>
      <c r="C37" s="818"/>
      <c r="D37" s="818"/>
      <c r="E37" s="818"/>
      <c r="F37" s="819"/>
      <c r="G37" s="765">
        <v>47361</v>
      </c>
    </row>
    <row r="38" spans="1:11" x14ac:dyDescent="0.2">
      <c r="A38" s="820" t="s">
        <v>993</v>
      </c>
      <c r="B38" s="818"/>
      <c r="C38" s="818"/>
      <c r="D38" s="818"/>
      <c r="E38" s="818"/>
      <c r="F38" s="819"/>
      <c r="G38" s="765">
        <v>37835</v>
      </c>
    </row>
    <row r="39" spans="1:11" x14ac:dyDescent="0.2">
      <c r="A39" s="820" t="s">
        <v>994</v>
      </c>
      <c r="B39" s="818"/>
      <c r="C39" s="818"/>
      <c r="D39" s="818"/>
      <c r="E39" s="818"/>
      <c r="F39" s="819"/>
      <c r="G39" s="765">
        <v>89244</v>
      </c>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1907</v>
      </c>
      <c r="B1" s="2253"/>
      <c r="C1" s="2254"/>
      <c r="D1" s="826"/>
      <c r="E1" s="827"/>
      <c r="F1" s="827"/>
      <c r="G1" s="828"/>
      <c r="H1" s="829"/>
      <c r="I1" s="830"/>
      <c r="J1" s="2250"/>
      <c r="K1" s="2251"/>
      <c r="L1" s="2251"/>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4145831</v>
      </c>
      <c r="D5" s="841">
        <v>953779</v>
      </c>
      <c r="E5" s="841"/>
      <c r="F5" s="1760">
        <f>(C5+D5)-E5</f>
        <v>5099610</v>
      </c>
      <c r="G5" s="837"/>
      <c r="H5" s="842"/>
      <c r="I5" s="842"/>
      <c r="J5" s="842"/>
      <c r="K5" s="793"/>
      <c r="L5" s="1769">
        <f>F5-K5</f>
        <v>5099610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107557729</v>
      </c>
      <c r="D8" s="844">
        <v>338873</v>
      </c>
      <c r="E8" s="844"/>
      <c r="F8" s="1760">
        <f>(C8+D8)-E8</f>
        <v>107896602</v>
      </c>
      <c r="G8" s="843">
        <v>50</v>
      </c>
      <c r="H8" s="765">
        <v>54676329</v>
      </c>
      <c r="I8" s="765">
        <v>2148882</v>
      </c>
      <c r="J8" s="765"/>
      <c r="K8" s="1769">
        <f>(H8+I8)-J8</f>
        <v>56825211</v>
      </c>
      <c r="L8" s="1769">
        <f>F8-K8</f>
        <v>51071391</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2831755</v>
      </c>
      <c r="D10" s="846"/>
      <c r="E10" s="846"/>
      <c r="F10" s="1764">
        <f>(C10+D10)-E10</f>
        <v>2831755</v>
      </c>
      <c r="G10" s="843">
        <v>20</v>
      </c>
      <c r="H10" s="847">
        <v>590096</v>
      </c>
      <c r="I10" s="847">
        <v>139742</v>
      </c>
      <c r="J10" s="847"/>
      <c r="K10" s="1769">
        <f>(H10+I10)-J10</f>
        <v>729838</v>
      </c>
      <c r="L10" s="1769">
        <f>F10-K10</f>
        <v>2101917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10874660</v>
      </c>
      <c r="D12" s="844">
        <v>197267</v>
      </c>
      <c r="E12" s="844"/>
      <c r="F12" s="1760">
        <f>(C12+D12)-E12</f>
        <v>11071927</v>
      </c>
      <c r="G12" s="843">
        <v>10</v>
      </c>
      <c r="H12" s="765">
        <v>8076463</v>
      </c>
      <c r="I12" s="765">
        <v>647554</v>
      </c>
      <c r="J12" s="765"/>
      <c r="K12" s="1769">
        <f>(H12+I12)-J12</f>
        <v>8724017</v>
      </c>
      <c r="L12" s="1769">
        <f>F12-K12</f>
        <v>2347910</v>
      </c>
    </row>
    <row r="13" spans="1:14" ht="14.25" thickTop="1" thickBot="1" x14ac:dyDescent="0.25">
      <c r="A13" s="848" t="s">
        <v>1122</v>
      </c>
      <c r="B13" s="840">
        <v>252</v>
      </c>
      <c r="C13" s="844">
        <v>3815470</v>
      </c>
      <c r="D13" s="844">
        <v>272159</v>
      </c>
      <c r="E13" s="844"/>
      <c r="F13" s="1760">
        <f>(C13+D13)-E13</f>
        <v>4087629</v>
      </c>
      <c r="G13" s="843">
        <v>5</v>
      </c>
      <c r="H13" s="765">
        <v>3299037</v>
      </c>
      <c r="I13" s="765">
        <v>173558</v>
      </c>
      <c r="J13" s="765"/>
      <c r="K13" s="1769">
        <f>(H13+I13)-J13</f>
        <v>3472595</v>
      </c>
      <c r="L13" s="1769">
        <f>F13-K13</f>
        <v>615034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1713346</v>
      </c>
      <c r="D15" s="844">
        <v>16700575</v>
      </c>
      <c r="E15" s="844"/>
      <c r="F15" s="1760">
        <f>(C15+D15)-E15</f>
        <v>18413921</v>
      </c>
      <c r="G15" s="849" t="s">
        <v>862</v>
      </c>
      <c r="H15" s="781"/>
      <c r="I15" s="781"/>
      <c r="J15" s="781"/>
      <c r="K15" s="781"/>
      <c r="L15" s="1769">
        <f>F15-K15</f>
        <v>18413921</v>
      </c>
    </row>
    <row r="16" spans="1:14" ht="15" customHeight="1" thickTop="1" thickBot="1" x14ac:dyDescent="0.25">
      <c r="A16" s="1765" t="s">
        <v>643</v>
      </c>
      <c r="B16" s="1766">
        <v>200</v>
      </c>
      <c r="C16" s="1760">
        <f>SUM(C3,C5:C6,C8:C10,C12:C15)</f>
        <v>130938791</v>
      </c>
      <c r="D16" s="1760">
        <f>SUM(D3,D5:D6,D8:D10,D12:D15)</f>
        <v>18462653</v>
      </c>
      <c r="E16" s="1760">
        <f>SUM(E3,E5:E6,E8:E10,E12:E15)</f>
        <v>0</v>
      </c>
      <c r="F16" s="1760">
        <f>SUM(F3,F5:F6,F8:F10,F12:F15)</f>
        <v>149401444</v>
      </c>
      <c r="G16" s="843"/>
      <c r="H16" s="1760">
        <f>SUM(H3,H6,H8:H10,H12:H14,)</f>
        <v>66641925</v>
      </c>
      <c r="I16" s="1760">
        <f>SUM(I3,I6,I8:I10,I12:I14,)</f>
        <v>3109736</v>
      </c>
      <c r="J16" s="1760">
        <f>SUM(J3,J6,J8:J10,J12:J14,)</f>
        <v>0</v>
      </c>
      <c r="K16" s="1760">
        <f>(H16+I16)-J16</f>
        <v>69751661</v>
      </c>
      <c r="L16" s="1760">
        <f>F16-K16</f>
        <v>79649783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12546</v>
      </c>
      <c r="G17" s="837">
        <v>10</v>
      </c>
      <c r="H17" s="769"/>
      <c r="I17" s="1769">
        <f>F17/G17</f>
        <v>1254.5999999999999</v>
      </c>
      <c r="J17" s="769"/>
      <c r="K17" s="795"/>
      <c r="L17" s="795"/>
    </row>
    <row r="18" spans="1:12" ht="14.25" thickTop="1" thickBot="1" x14ac:dyDescent="0.25">
      <c r="A18" s="1767" t="s">
        <v>685</v>
      </c>
      <c r="B18" s="1768"/>
      <c r="C18" s="771"/>
      <c r="D18" s="771"/>
      <c r="E18" s="771"/>
      <c r="F18" s="850"/>
      <c r="G18" s="851"/>
      <c r="H18" s="773"/>
      <c r="I18" s="1760">
        <f>SUM(I16,I17)</f>
        <v>3110990.6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9" activePane="bottomLeft" state="frozen"/>
      <selection activeCell="A47" sqref="A47"/>
      <selection pane="bottomLeft" activeCell="G174" sqref="G17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1973</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36212898</v>
      </c>
      <c r="G8" s="865"/>
    </row>
    <row r="9" spans="1:7" x14ac:dyDescent="0.2">
      <c r="A9" s="869" t="s">
        <v>460</v>
      </c>
      <c r="B9" s="870" t="s">
        <v>1875</v>
      </c>
      <c r="C9" s="871"/>
      <c r="D9" s="869" t="s">
        <v>501</v>
      </c>
      <c r="E9" s="868"/>
      <c r="F9" s="1909">
        <f>'Expenditures 15-22'!K151</f>
        <v>5582211</v>
      </c>
      <c r="G9" s="872"/>
    </row>
    <row r="10" spans="1:7" x14ac:dyDescent="0.2">
      <c r="A10" s="869" t="s">
        <v>499</v>
      </c>
      <c r="B10" s="870" t="s">
        <v>1876</v>
      </c>
      <c r="C10" s="871"/>
      <c r="D10" s="869" t="s">
        <v>501</v>
      </c>
      <c r="E10" s="868"/>
      <c r="F10" s="1909">
        <f>'Expenditures 15-22'!K174</f>
        <v>3768935</v>
      </c>
      <c r="G10" s="872"/>
    </row>
    <row r="11" spans="1:7" x14ac:dyDescent="0.2">
      <c r="A11" s="869" t="s">
        <v>461</v>
      </c>
      <c r="B11" s="870" t="s">
        <v>1877</v>
      </c>
      <c r="C11" s="871"/>
      <c r="D11" s="869" t="s">
        <v>501</v>
      </c>
      <c r="E11" s="868"/>
      <c r="F11" s="1909">
        <f>'Expenditures 15-22'!K210</f>
        <v>2168661</v>
      </c>
      <c r="G11" s="872"/>
    </row>
    <row r="12" spans="1:7" x14ac:dyDescent="0.2">
      <c r="A12" s="869" t="s">
        <v>462</v>
      </c>
      <c r="B12" s="870" t="s">
        <v>1878</v>
      </c>
      <c r="C12" s="871"/>
      <c r="D12" s="869" t="s">
        <v>501</v>
      </c>
      <c r="E12" s="868"/>
      <c r="F12" s="1909">
        <f>'Expenditures 15-22'!K295</f>
        <v>1300415</v>
      </c>
      <c r="G12" s="872"/>
    </row>
    <row r="13" spans="1:7" x14ac:dyDescent="0.2">
      <c r="A13" s="869" t="s">
        <v>106</v>
      </c>
      <c r="B13" s="870" t="s">
        <v>1879</v>
      </c>
      <c r="C13" s="871"/>
      <c r="D13" s="869" t="s">
        <v>501</v>
      </c>
      <c r="E13" s="868"/>
      <c r="F13" s="1909">
        <f>'Expenditures 15-22'!K342</f>
        <v>252633</v>
      </c>
      <c r="G13" s="873"/>
    </row>
    <row r="14" spans="1:7" ht="12" customHeight="1" thickBot="1" x14ac:dyDescent="0.25">
      <c r="A14" s="1770"/>
      <c r="B14" s="1771"/>
      <c r="C14" s="1772"/>
      <c r="D14" s="1773" t="s">
        <v>501</v>
      </c>
      <c r="E14" s="1774" t="s">
        <v>958</v>
      </c>
      <c r="F14" s="1775">
        <f>SUM(F8:F13)</f>
        <v>49285753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750592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229227</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670384</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25551</v>
      </c>
      <c r="G52" s="865"/>
    </row>
    <row r="53" spans="1:7" x14ac:dyDescent="0.2">
      <c r="A53" s="869" t="s">
        <v>459</v>
      </c>
      <c r="B53" s="869" t="s">
        <v>1475</v>
      </c>
      <c r="C53" s="889">
        <f>'Expenditures 15-22'!B102</f>
        <v>4000</v>
      </c>
      <c r="D53" s="888" t="str">
        <f>'Expenditures 15-22'!A102</f>
        <v>Total Payments to Other Govt Units</v>
      </c>
      <c r="E53" s="868"/>
      <c r="F53" s="1913">
        <f>'Expenditures 15-22'!K102</f>
        <v>982411</v>
      </c>
      <c r="G53" s="865"/>
    </row>
    <row r="54" spans="1:7" x14ac:dyDescent="0.2">
      <c r="A54" s="869" t="s">
        <v>459</v>
      </c>
      <c r="B54" s="869" t="s">
        <v>1476</v>
      </c>
      <c r="C54" s="889" t="s">
        <v>982</v>
      </c>
      <c r="D54" s="885" t="s">
        <v>1095</v>
      </c>
      <c r="E54" s="868"/>
      <c r="F54" s="1913">
        <f>'Expenditures 15-22'!G114</f>
        <v>192056</v>
      </c>
      <c r="G54" s="865"/>
    </row>
    <row r="55" spans="1:7" x14ac:dyDescent="0.2">
      <c r="A55" s="869" t="s">
        <v>459</v>
      </c>
      <c r="B55" s="869" t="s">
        <v>1477</v>
      </c>
      <c r="C55" s="889" t="s">
        <v>982</v>
      </c>
      <c r="D55" s="885" t="s">
        <v>291</v>
      </c>
      <c r="E55" s="868"/>
      <c r="F55" s="1913">
        <f>'Expenditures 15-22'!I114</f>
        <v>10497</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3410872</v>
      </c>
      <c r="G58" s="865"/>
    </row>
    <row r="59" spans="1:7" x14ac:dyDescent="0.2">
      <c r="A59" s="893" t="s">
        <v>460</v>
      </c>
      <c r="B59" s="856" t="s">
        <v>1882</v>
      </c>
      <c r="C59" s="894" t="s">
        <v>982</v>
      </c>
      <c r="D59" s="856" t="s">
        <v>291</v>
      </c>
      <c r="F59" s="1916">
        <f>'Expenditures 15-22'!I151</f>
        <v>2049</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1800000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240897</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27442</v>
      </c>
      <c r="G67" s="865"/>
    </row>
    <row r="68" spans="1:8" x14ac:dyDescent="0.2">
      <c r="A68" s="869" t="s">
        <v>462</v>
      </c>
      <c r="B68" s="869" t="s">
        <v>1479</v>
      </c>
      <c r="C68" s="886" t="str">
        <f>'Expenditures 15-22'!B218</f>
        <v>1225</v>
      </c>
      <c r="D68" s="892" t="str">
        <f>'Expenditures 15-22'!A218</f>
        <v>Special Education Programs - Pre-K</v>
      </c>
      <c r="E68" s="868"/>
      <c r="F68" s="1913">
        <f>'Expenditures 15-22'!K218</f>
        <v>8284</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1381</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8351643</v>
      </c>
      <c r="G76" s="865"/>
    </row>
    <row r="77" spans="1:8" s="893" customFormat="1" ht="12" customHeight="1" thickTop="1" thickBot="1" x14ac:dyDescent="0.25">
      <c r="A77" s="1779"/>
      <c r="B77" s="1776"/>
      <c r="C77" s="1772"/>
      <c r="D77" s="1777" t="s">
        <v>1898</v>
      </c>
      <c r="E77" s="1774"/>
      <c r="F77" s="1780">
        <f>(F14-F76)</f>
        <v>40934110</v>
      </c>
      <c r="G77" s="869"/>
    </row>
    <row r="78" spans="1:8" s="893" customFormat="1" ht="12" customHeight="1" thickTop="1" x14ac:dyDescent="0.2">
      <c r="A78" s="1781"/>
      <c r="B78" s="1776"/>
      <c r="C78" s="1772"/>
      <c r="D78" s="1777" t="s">
        <v>2060</v>
      </c>
      <c r="E78" s="1774"/>
      <c r="F78" s="898">
        <v>2298.5</v>
      </c>
      <c r="G78" s="899"/>
      <c r="H78" s="869"/>
    </row>
    <row r="79" spans="1:8" s="893" customFormat="1" ht="12" customHeight="1" thickBot="1" x14ac:dyDescent="0.25">
      <c r="A79" s="1782"/>
      <c r="B79" s="1776"/>
      <c r="C79" s="1772"/>
      <c r="D79" s="1777" t="s">
        <v>1899</v>
      </c>
      <c r="E79" s="1774" t="s">
        <v>958</v>
      </c>
      <c r="F79" s="1783">
        <f>IF(F78&gt;0,F77/F78," Complete Line 78")</f>
        <v>17809.05373069393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1609</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29060</v>
      </c>
      <c r="G94" s="912"/>
    </row>
    <row r="95" spans="1:7" x14ac:dyDescent="0.2">
      <c r="A95" s="908" t="s">
        <v>140</v>
      </c>
      <c r="B95" s="908" t="s">
        <v>175</v>
      </c>
      <c r="C95" s="910">
        <v>1700</v>
      </c>
      <c r="D95" s="918" t="str">
        <f>'Revenues 9-14'!A82</f>
        <v>Total District/School Activity Income</v>
      </c>
      <c r="E95" s="906"/>
      <c r="F95" s="1789">
        <f>SUM('Revenues 9-14'!C82,'Revenues 9-14'!D82)</f>
        <v>174416</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10200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36289</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209498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2506</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26522</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816214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51843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1324150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669886</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317324</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11779</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193212</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78777</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91309</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231813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1034042</v>
      </c>
      <c r="G171" s="927"/>
    </row>
    <row r="172" spans="1:7" x14ac:dyDescent="0.2">
      <c r="A172" s="1918" t="s">
        <v>664</v>
      </c>
      <c r="B172" s="1919" t="s">
        <v>1918</v>
      </c>
      <c r="C172" s="1920">
        <v>3300</v>
      </c>
      <c r="D172" s="1921" t="s">
        <v>1921</v>
      </c>
      <c r="E172" s="906"/>
      <c r="F172" s="1906">
        <v>325575</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5636024</v>
      </c>
    </row>
    <row r="175" spans="1:7" ht="12" customHeight="1" x14ac:dyDescent="0.2">
      <c r="A175" s="1770"/>
      <c r="B175" s="1784"/>
      <c r="C175" s="1785"/>
      <c r="D175" s="1786" t="s">
        <v>2055</v>
      </c>
      <c r="E175" s="1787"/>
      <c r="F175" s="1789">
        <f>'PCTC-OEPP 27-28'!F77-F174</f>
        <v>35298086</v>
      </c>
    </row>
    <row r="176" spans="1:7" ht="12" customHeight="1" x14ac:dyDescent="0.2">
      <c r="A176" s="1770"/>
      <c r="B176" s="1784"/>
      <c r="C176" s="1785"/>
      <c r="D176" s="1786" t="s">
        <v>1815</v>
      </c>
      <c r="E176" s="1787"/>
      <c r="F176" s="1789">
        <f>'Cap Outlay Deprec 26'!I18</f>
        <v>3110990.6</v>
      </c>
    </row>
    <row r="177" spans="1:7" ht="12" customHeight="1" x14ac:dyDescent="0.2">
      <c r="A177" s="1770"/>
      <c r="B177" s="1784"/>
      <c r="C177" s="1785"/>
      <c r="D177" s="1786" t="s">
        <v>2056</v>
      </c>
      <c r="E177" s="1787"/>
      <c r="F177" s="1789">
        <f>F175+F176</f>
        <v>38409076.600000001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2298.5</v>
      </c>
      <c r="G178" s="930"/>
    </row>
    <row r="179" spans="1:7" ht="12" customHeight="1" thickBot="1" x14ac:dyDescent="0.25">
      <c r="A179" s="1770"/>
      <c r="B179" s="1790"/>
      <c r="C179" s="1785"/>
      <c r="D179" s="1786" t="s">
        <v>2057</v>
      </c>
      <c r="E179" s="1787" t="s">
        <v>1545</v>
      </c>
      <c r="F179" s="1792">
        <f>F177/F178</f>
        <v>16710.496671742443</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20" sqref="C20"/>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1816</v>
      </c>
      <c r="B4" s="2270"/>
      <c r="C4" s="2270"/>
      <c r="D4" s="2270"/>
      <c r="E4" s="2270"/>
      <c r="F4" s="2270"/>
      <c r="G4" s="2271"/>
    </row>
    <row r="5" spans="1:7" x14ac:dyDescent="0.25">
      <c r="A5" s="2272"/>
      <c r="B5" s="2273"/>
      <c r="C5" s="2273"/>
      <c r="D5" s="2273"/>
      <c r="E5" s="2273"/>
      <c r="F5" s="2273"/>
      <c r="G5" s="2274"/>
    </row>
    <row r="6" spans="1:7" ht="18.75" x14ac:dyDescent="0.25">
      <c r="A6" s="1534" t="s">
        <v>1817</v>
      </c>
      <c r="B6" s="1535"/>
      <c r="C6" s="1535"/>
      <c r="D6" s="1535"/>
      <c r="E6" s="1535"/>
      <c r="F6" s="1535"/>
      <c r="G6" s="1536"/>
    </row>
    <row r="7" spans="1:7" ht="30.75" customHeight="1" x14ac:dyDescent="0.25">
      <c r="A7" s="2275" t="s">
        <v>1930</v>
      </c>
      <c r="B7" s="2276"/>
      <c r="C7" s="2276"/>
      <c r="D7" s="2276"/>
      <c r="E7" s="2276"/>
      <c r="F7" s="2276"/>
      <c r="G7" s="2277"/>
    </row>
    <row r="8" spans="1:7" ht="15.75" customHeight="1" x14ac:dyDescent="0.25">
      <c r="A8" s="2278" t="s">
        <v>1905</v>
      </c>
      <c r="B8" s="2279"/>
      <c r="C8" s="2279"/>
      <c r="D8" s="2279"/>
      <c r="E8" s="2279"/>
      <c r="F8" s="2279"/>
      <c r="G8" s="2280"/>
    </row>
    <row r="9" spans="1:7" ht="35.25" customHeight="1" x14ac:dyDescent="0.25">
      <c r="A9" s="2275" t="s">
        <v>1933</v>
      </c>
      <c r="B9" s="2276"/>
      <c r="C9" s="2276"/>
      <c r="D9" s="2276"/>
      <c r="E9" s="2276"/>
      <c r="F9" s="2276"/>
      <c r="G9" s="2277"/>
    </row>
    <row r="10" spans="1:7" ht="15" customHeight="1" x14ac:dyDescent="0.25">
      <c r="A10" s="1537" t="s">
        <v>1818</v>
      </c>
      <c r="B10" s="1538"/>
      <c r="C10" s="1538"/>
      <c r="D10" s="1538"/>
      <c r="E10" s="1538"/>
      <c r="F10" s="1538"/>
      <c r="G10" s="1539"/>
    </row>
    <row r="11" spans="1:7" ht="17.25" customHeight="1" x14ac:dyDescent="0.25">
      <c r="A11" s="2275" t="s">
        <v>1932</v>
      </c>
      <c r="B11" s="2276"/>
      <c r="C11" s="2276"/>
      <c r="D11" s="2276"/>
      <c r="E11" s="2276"/>
      <c r="F11" s="2276"/>
      <c r="G11" s="2277"/>
    </row>
    <row r="12" spans="1:7" ht="15" customHeight="1" x14ac:dyDescent="0.25">
      <c r="A12" s="1537" t="s">
        <v>1823</v>
      </c>
      <c r="B12" s="1538"/>
      <c r="C12" s="1538"/>
      <c r="D12" s="1538"/>
      <c r="E12" s="1538"/>
      <c r="F12" s="1538"/>
      <c r="G12" s="1539"/>
    </row>
    <row r="13" spans="1:7" ht="32.25" customHeight="1" x14ac:dyDescent="0.25">
      <c r="A13" s="2266" t="s">
        <v>1974</v>
      </c>
      <c r="B13" s="2267"/>
      <c r="C13" s="2267"/>
      <c r="D13" s="2267"/>
      <c r="E13" s="2267"/>
      <c r="F13" s="2267"/>
      <c r="G13" s="2268"/>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2150</v>
      </c>
      <c r="B17" s="1938" t="s">
        <v>2151</v>
      </c>
      <c r="C17" s="1939" t="s">
        <v>2152</v>
      </c>
      <c r="D17" s="1844">
        <v>1187823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1162823</v>
      </c>
      <c r="H17" s="1647"/>
    </row>
    <row r="18" spans="1:8" x14ac:dyDescent="0.25">
      <c r="A18" s="1937" t="s">
        <v>2153</v>
      </c>
      <c r="B18" s="1938" t="s">
        <v>2155</v>
      </c>
      <c r="C18" s="1939" t="s">
        <v>2154</v>
      </c>
      <c r="D18" s="1844">
        <v>43746</v>
      </c>
      <c r="E18" s="1540">
        <f t="shared" ref="E18:E140" si="2">IF(D18&lt;=25000,D18,IF(D18&gt;25000,25000,0))</f>
        <v>25000</v>
      </c>
      <c r="F18" s="1932">
        <f t="shared" si="1"/>
        <v>25000</v>
      </c>
      <c r="G18" s="1793">
        <f t="shared" ref="G18:G140" si="3">IF(F18=0,0,D18-F18)</f>
        <v>18746</v>
      </c>
    </row>
    <row r="19" spans="1:8" x14ac:dyDescent="0.25">
      <c r="A19" s="1937" t="s">
        <v>2153</v>
      </c>
      <c r="B19" s="1938" t="s">
        <v>2155</v>
      </c>
      <c r="C19" s="1939" t="s">
        <v>2156</v>
      </c>
      <c r="D19" s="1844">
        <v>27188</v>
      </c>
      <c r="E19" s="1540">
        <f t="shared" si="2"/>
        <v>25000</v>
      </c>
      <c r="F19" s="1932">
        <f t="shared" si="1"/>
        <v>25000</v>
      </c>
      <c r="G19" s="1793">
        <f t="shared" si="3"/>
        <v>2188</v>
      </c>
    </row>
    <row r="20" spans="1:8" x14ac:dyDescent="0.25">
      <c r="A20" s="1937" t="s">
        <v>2157</v>
      </c>
      <c r="B20" s="1938" t="s">
        <v>2158</v>
      </c>
      <c r="C20" s="1939" t="s">
        <v>2159</v>
      </c>
      <c r="D20" s="1844">
        <v>846948</v>
      </c>
      <c r="E20" s="1540">
        <f t="shared" si="2"/>
        <v>25000</v>
      </c>
      <c r="F20" s="1932">
        <f t="shared" si="1"/>
        <v>25000</v>
      </c>
      <c r="G20" s="1793">
        <f t="shared" si="3"/>
        <v>821948</v>
      </c>
    </row>
    <row r="21" spans="1:8" x14ac:dyDescent="0.25">
      <c r="A21" s="1937" t="s">
        <v>2160</v>
      </c>
      <c r="B21" s="1938" t="s">
        <v>2162</v>
      </c>
      <c r="C21" s="1939" t="s">
        <v>2161</v>
      </c>
      <c r="D21" s="1844">
        <v>147826</v>
      </c>
      <c r="E21" s="1540">
        <f t="shared" si="2"/>
        <v>25000</v>
      </c>
      <c r="F21" s="1932">
        <f t="shared" si="1"/>
        <v>25000</v>
      </c>
      <c r="G21" s="1793">
        <f t="shared" si="3"/>
        <v>122826</v>
      </c>
    </row>
    <row r="22" spans="1:8" x14ac:dyDescent="0.25">
      <c r="A22" s="1937" t="s">
        <v>2163</v>
      </c>
      <c r="B22" s="1938" t="s">
        <v>2165</v>
      </c>
      <c r="C22" s="1939" t="s">
        <v>2164</v>
      </c>
      <c r="D22" s="1844">
        <v>31773</v>
      </c>
      <c r="E22" s="1540">
        <f t="shared" si="2"/>
        <v>25000</v>
      </c>
      <c r="F22" s="1932">
        <f t="shared" si="1"/>
        <v>25000</v>
      </c>
      <c r="G22" s="1793">
        <f t="shared" si="3"/>
        <v>6773</v>
      </c>
    </row>
    <row r="23" spans="1:8" x14ac:dyDescent="0.25">
      <c r="A23" s="1937" t="s">
        <v>2166</v>
      </c>
      <c r="B23" s="1938" t="s">
        <v>2165</v>
      </c>
      <c r="C23" s="1939" t="s">
        <v>2167</v>
      </c>
      <c r="D23" s="1844">
        <v>25722</v>
      </c>
      <c r="E23" s="1540">
        <f t="shared" si="2"/>
        <v>25000</v>
      </c>
      <c r="F23" s="1932">
        <f t="shared" si="1"/>
        <v>25000</v>
      </c>
      <c r="G23" s="1793">
        <f t="shared" si="3"/>
        <v>722</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2311026</v>
      </c>
      <c r="E141" s="1541">
        <f t="shared" si="0"/>
        <v>25000</v>
      </c>
      <c r="F141" s="1933">
        <f>SUM(F17:F140)</f>
        <v>175000</v>
      </c>
      <c r="G141" s="1795">
        <f>SUM(G17:G140)</f>
        <v>2136026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9" sqref="E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996481</v>
      </c>
      <c r="F10" s="974"/>
      <c r="G10" s="975"/>
      <c r="H10" s="162"/>
      <c r="I10" s="162"/>
    </row>
    <row r="11" spans="1:9" s="668" customFormat="1" ht="22.5" customHeight="1" x14ac:dyDescent="0.2">
      <c r="A11" s="2286" t="s">
        <v>1975</v>
      </c>
      <c r="B11" s="2287"/>
      <c r="C11" s="2287"/>
      <c r="D11" s="2288"/>
      <c r="E11" s="977">
        <v>90106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23725457</v>
      </c>
      <c r="F19" s="1799"/>
      <c r="G19" s="1801">
        <f>'Expenditures 15-22'!K33-SUM('Expenditures 15-22'!G33,'Expenditures 15-22'!I33)+'Expenditures 15-22'!D229</f>
        <v>23725457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1733387</v>
      </c>
      <c r="F21" s="1802"/>
      <c r="G21" s="1805">
        <f>'Expenditures 15-22'!K42-SUM('Expenditures 15-22'!G42,'Expenditures 15-22'!I42)+'Expenditures 15-22'!K120-SUM('Expenditures 15-22'!G120,'Expenditures 15-22'!I120)+'Expenditures 15-22'!K180-SUM('Expenditures 15-22'!G180,'Expenditures 15-22'!I180)+'Expenditures 15-22'!D238</f>
        <v>1733387</v>
      </c>
      <c r="H21" s="987"/>
      <c r="I21" s="162"/>
    </row>
    <row r="22" spans="1:9" s="668" customFormat="1" ht="12" customHeight="1" x14ac:dyDescent="0.2">
      <c r="A22" s="994" t="s">
        <v>564</v>
      </c>
      <c r="B22" s="995"/>
      <c r="C22" s="993">
        <v>2200</v>
      </c>
      <c r="D22" s="1802"/>
      <c r="E22" s="1804">
        <f>'Expenditures 15-22'!K47-SUM('Expenditures 15-22'!G47,'Expenditures 15-22'!I47)+'Expenditures 15-22'!D243</f>
        <v>3035123</v>
      </c>
      <c r="F22" s="1802"/>
      <c r="G22" s="1805">
        <f>'Expenditures 15-22'!K47-SUM('Expenditures 15-22'!G47,'Expenditures 15-22'!I47)+'Expenditures 15-22'!D243</f>
        <v>3035123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916466</v>
      </c>
      <c r="F23" s="1802"/>
      <c r="G23" s="1804">
        <f>'Expenditures 15-22'!K53-SUM('Expenditures 15-22'!G53,'Expenditures 15-22'!I53)+'Expenditures 15-22'!D257+'Expenditures 15-22'!K330-SUM('Expenditures 15-22'!G330,'Expenditures 15-22'!I330)</f>
        <v>916466</v>
      </c>
      <c r="H23" s="987"/>
      <c r="I23" s="162"/>
    </row>
    <row r="24" spans="1:9" s="668" customFormat="1" ht="12" customHeight="1" x14ac:dyDescent="0.2">
      <c r="A24" s="994" t="s">
        <v>566</v>
      </c>
      <c r="B24" s="995"/>
      <c r="C24" s="993">
        <v>2400</v>
      </c>
      <c r="D24" s="1802"/>
      <c r="E24" s="1804">
        <f>'Expenditures 15-22'!K57-SUM('Expenditures 15-22'!G57,'Expenditures 15-22'!I57)+'Expenditures 15-22'!D261</f>
        <v>2429351</v>
      </c>
      <c r="F24" s="1802"/>
      <c r="G24" s="1805">
        <f>'Expenditures 15-22'!K57-SUM('Expenditures 15-22'!G57,'Expenditures 15-22'!I57)+'Expenditures 15-22'!D261</f>
        <v>2429351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177397</v>
      </c>
      <c r="E26" s="1804">
        <f>'Expenditures 15-22'!K122-SUM('Expenditures 15-22'!G122,'Expenditures 15-22'!I122)+E7</f>
        <v>0</v>
      </c>
      <c r="F26" s="1804">
        <f>'Expenditures 15-22'!K59-SUM('Expenditures 15-22'!G59,'Expenditures 15-22'!I59)+'Expenditures 15-22'!D263-E7</f>
        <v>177397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674379</v>
      </c>
      <c r="E27" s="1804">
        <f>E8</f>
        <v>0</v>
      </c>
      <c r="F27" s="1804">
        <f>'Expenditures 15-22'!K60-SUM('Expenditures 15-22'!G60,'Expenditures 15-22'!I60)+'Expenditures 15-22'!D264-E8</f>
        <v>674379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4120993</v>
      </c>
      <c r="F28" s="1806">
        <f>'Expenditures 15-22'!K61-SUM('Expenditures 15-22'!G61,'Expenditures 15-22'!I61)+'Expenditures 15-22'!K124-SUM('Expenditures 15-22'!G124,'Expenditures 15-22'!I124)+'Expenditures 15-22'!D266-E9</f>
        <v>4120993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2066462</v>
      </c>
      <c r="F29" s="1802"/>
      <c r="G29" s="1805">
        <f>'Expenditures 15-22'!K62-SUM('Expenditures 15-22'!G62,'Expenditures 15-22'!I62)+'Expenditures 15-22'!K125-SUM('Expenditures 15-22'!G125,'Expenditures 15-22'!I125)+'Expenditures 15-22'!K182-SUM('Expenditures 15-22'!G182,'Expenditures 15-22'!I182)+'Expenditures 15-22'!D267</f>
        <v>2066462</v>
      </c>
      <c r="H29" s="985"/>
    </row>
    <row r="30" spans="1:9" ht="12" customHeight="1" x14ac:dyDescent="0.2">
      <c r="A30" s="994" t="s">
        <v>100</v>
      </c>
      <c r="B30" s="997"/>
      <c r="C30" s="993">
        <v>2560</v>
      </c>
      <c r="D30" s="1802"/>
      <c r="E30" s="1804">
        <f>'Expenditures 15-22'!K63-SUM('Expenditures 15-22'!G63,'Expenditures 15-22'!I63)+'Expenditures 15-22'!D268-E10</f>
        <v>382769</v>
      </c>
      <c r="F30" s="1802"/>
      <c r="G30" s="1804">
        <f>'Expenditures 15-22'!K63-SUM('Expenditures 15-22'!G63,'Expenditures 15-22'!I63)+'Expenditures 15-22'!D268-E10</f>
        <v>382769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52006</v>
      </c>
      <c r="E36" s="1804">
        <f>E13</f>
        <v>0</v>
      </c>
      <c r="F36" s="1804">
        <f>'Expenditures 15-22'!K70-SUM('Expenditures 15-22'!G70,'Expenditures 15-22'!I70)+'Expenditures 15-22'!D275-E13</f>
        <v>52006</v>
      </c>
      <c r="G36" s="1804">
        <f>E13</f>
        <v>0</v>
      </c>
    </row>
    <row r="37" spans="1:7" ht="12" customHeight="1" x14ac:dyDescent="0.2">
      <c r="A37" s="994" t="s">
        <v>404</v>
      </c>
      <c r="B37" s="997"/>
      <c r="C37" s="993">
        <v>2660</v>
      </c>
      <c r="D37" s="1804">
        <f>'Expenditures 15-22'!K71-SUM('Expenditures 15-22'!G71,'Expenditures 15-22'!I71)+'Expenditures 15-22'!D276-E14</f>
        <v>320168</v>
      </c>
      <c r="E37" s="1804">
        <f>E14</f>
        <v>0</v>
      </c>
      <c r="F37" s="1804">
        <f>'Expenditures 15-22'!K71-SUM('Expenditures 15-22'!G71,'Expenditures 15-22'!I71)+'Expenditures 15-22'!D276-E14</f>
        <v>320168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6680</v>
      </c>
      <c r="F38" s="1802"/>
      <c r="G38" s="1804">
        <f>'Expenditures 15-22'!K73-SUM('Expenditures 15-22'!G73,'Expenditures 15-22'!I73)+'Expenditures 15-22'!K128-SUM('Expenditures 15-22'!G128,'Expenditures 15-22'!I128)+'Expenditures 15-22'!K183-SUM('Expenditures 15-22'!G183,'Expenditures 15-22'!I183)+'Expenditures 15-22'!D278</f>
        <v>6680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26932</v>
      </c>
      <c r="F39" s="1802"/>
      <c r="G39" s="1804">
        <f>'Expenditures 15-22'!K75-SUM('Expenditures 15-22'!G75,'Expenditures 15-22'!I75)+'Expenditures 15-22'!K130-SUM('Expenditures 15-22'!G130,'Expenditures 15-22'!I130)+'Expenditures 15-22'!K185-SUM('Expenditures 15-22'!G185,'Expenditures 15-22'!I185)+'Expenditures 15-22'!D280</f>
        <v>26932</v>
      </c>
    </row>
    <row r="40" spans="1:7" ht="12" customHeight="1" x14ac:dyDescent="0.2">
      <c r="A40" s="990" t="s">
        <v>1821</v>
      </c>
      <c r="B40" s="991"/>
      <c r="C40" s="993"/>
      <c r="D40" s="1802"/>
      <c r="E40" s="1806">
        <f>-'Contracts Paid in CY 29'!G141</f>
        <v>-2136026</v>
      </c>
      <c r="F40" s="1802"/>
      <c r="G40" s="1806">
        <f>-'Contracts Paid in CY 29'!G141</f>
        <v>-2136026</v>
      </c>
    </row>
    <row r="41" spans="1:7" ht="12" customHeight="1" x14ac:dyDescent="0.2">
      <c r="A41" s="998" t="s">
        <v>156</v>
      </c>
      <c r="B41" s="999"/>
      <c r="C41" s="1000"/>
      <c r="D41" s="1806">
        <f>SUM(D19:D39)</f>
        <v>1223950</v>
      </c>
      <c r="E41" s="1806">
        <f>SUM(E19:E40)</f>
        <v>36307594</v>
      </c>
      <c r="F41" s="1806">
        <f>SUM(F19:F39)</f>
        <v>5344943</v>
      </c>
      <c r="G41" s="1806">
        <f>SUM(G19:G40)</f>
        <v>32186601</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1223950</v>
      </c>
      <c r="F43" s="1807" t="s">
        <v>473</v>
      </c>
      <c r="G43" s="1808">
        <f>F41</f>
        <v>5344943</v>
      </c>
    </row>
    <row r="44" spans="1:7" ht="12" customHeight="1" x14ac:dyDescent="0.2">
      <c r="A44" s="987"/>
      <c r="B44" s="162"/>
      <c r="C44" s="1001"/>
      <c r="D44" s="1807" t="s">
        <v>474</v>
      </c>
      <c r="E44" s="1808">
        <f>E41</f>
        <v>36307594</v>
      </c>
      <c r="F44" s="1807" t="s">
        <v>474</v>
      </c>
      <c r="G44" s="1808">
        <f>G41</f>
        <v>32186601</v>
      </c>
    </row>
    <row r="45" spans="1:7" ht="12" customHeight="1" x14ac:dyDescent="0.2">
      <c r="A45" s="987"/>
      <c r="B45" s="162"/>
      <c r="C45" s="162"/>
      <c r="D45" s="1809" t="s">
        <v>1006</v>
      </c>
      <c r="E45" s="1810">
        <f>(E43/E44)</f>
        <v>3.37105785638123E-2</v>
      </c>
      <c r="F45" s="1809" t="s">
        <v>1006</v>
      </c>
      <c r="G45" s="1810">
        <f>(G43/G44)</f>
        <v>0.16606111965659251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8" sqref="F2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Mannheim SD 83</v>
      </c>
      <c r="D6" s="2296"/>
      <c r="E6" s="2296"/>
      <c r="F6" s="1852"/>
    </row>
    <row r="7" spans="1:10" ht="11.25" customHeight="1" thickBot="1" x14ac:dyDescent="0.3">
      <c r="A7" s="1850"/>
      <c r="B7" s="1851"/>
      <c r="C7" s="2297">
        <f>COVER!A13</f>
        <v>6016083002</v>
      </c>
      <c r="D7" s="2297"/>
      <c r="E7" s="2297"/>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2062</v>
      </c>
      <c r="D14" s="1865" t="s">
        <v>2062</v>
      </c>
      <c r="E14" s="1868"/>
      <c r="F14" s="1867" t="s">
        <v>2084</v>
      </c>
      <c r="H14" s="1878">
        <f t="shared" si="0"/>
        <v>5</v>
      </c>
      <c r="I14" s="1878">
        <f t="shared" si="1"/>
        <v>5</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2062</v>
      </c>
      <c r="D19" s="1865" t="s">
        <v>2062</v>
      </c>
      <c r="E19" s="1868"/>
      <c r="F19" s="1867" t="s">
        <v>2085</v>
      </c>
      <c r="H19" s="1878">
        <f t="shared" si="0"/>
        <v>5</v>
      </c>
      <c r="I19" s="1878">
        <f t="shared" si="1"/>
        <v>5</v>
      </c>
      <c r="J19" s="1878">
        <f t="shared" si="2"/>
        <v>0</v>
      </c>
    </row>
    <row r="20" spans="1:12" ht="12" customHeight="1" x14ac:dyDescent="0.2">
      <c r="A20" s="1863" t="s">
        <v>1528</v>
      </c>
      <c r="B20" s="1864"/>
      <c r="C20" s="1865" t="s">
        <v>2062</v>
      </c>
      <c r="D20" s="1865" t="s">
        <v>2062</v>
      </c>
      <c r="E20" s="1868"/>
      <c r="F20" s="1867" t="s">
        <v>2086</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2062</v>
      </c>
      <c r="D26" s="1865" t="s">
        <v>2062</v>
      </c>
      <c r="E26" s="1868"/>
      <c r="F26" s="1867" t="s">
        <v>2087</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7" sqref="I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Mannheim SD 83</v>
      </c>
      <c r="J6" s="2317"/>
      <c r="Q6" s="1664"/>
    </row>
    <row r="7" spans="1:17" x14ac:dyDescent="0.2">
      <c r="A7" s="2318" t="s">
        <v>869</v>
      </c>
      <c r="B7" s="2319"/>
      <c r="C7" s="2319"/>
      <c r="D7" s="2319"/>
      <c r="E7" s="2320"/>
      <c r="F7" s="1017"/>
      <c r="G7" s="1009"/>
      <c r="H7" s="1016" t="s">
        <v>372</v>
      </c>
      <c r="I7" s="2321">
        <f>COVER!A13</f>
        <v>6016083002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372805</v>
      </c>
      <c r="F12" s="1039"/>
      <c r="G12" s="1811">
        <f t="shared" ref="G12:G18" si="0">SUM(E12:F12)</f>
        <v>372805</v>
      </c>
      <c r="H12" s="1040">
        <v>376208</v>
      </c>
      <c r="I12" s="1039"/>
      <c r="J12" s="1811">
        <f t="shared" ref="J12:J18" si="1">SUM(H12:I12)</f>
        <v>376208</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297407</v>
      </c>
      <c r="F14" s="1039"/>
      <c r="G14" s="1811">
        <f t="shared" si="0"/>
        <v>297407</v>
      </c>
      <c r="H14" s="1040">
        <v>314627</v>
      </c>
      <c r="I14" s="1039"/>
      <c r="J14" s="1811">
        <f t="shared" si="1"/>
        <v>314627</v>
      </c>
    </row>
    <row r="15" spans="1:17" ht="15" customHeight="1" x14ac:dyDescent="0.2">
      <c r="A15" s="1035">
        <v>4</v>
      </c>
      <c r="B15" s="1036" t="s">
        <v>1068</v>
      </c>
      <c r="C15" s="1037"/>
      <c r="D15" s="1038">
        <v>2510</v>
      </c>
      <c r="E15" s="1811">
        <f>'Expenditures 15-22'!K59</f>
        <v>175547</v>
      </c>
      <c r="F15" s="1811">
        <f>'Expenditures 15-22'!K122</f>
        <v>0</v>
      </c>
      <c r="G15" s="1811">
        <f t="shared" si="0"/>
        <v>175547</v>
      </c>
      <c r="H15" s="1040">
        <v>181493</v>
      </c>
      <c r="I15" s="1040"/>
      <c r="J15" s="1811">
        <f t="shared" si="1"/>
        <v>181493</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845759</v>
      </c>
      <c r="F19" s="1813">
        <f t="shared" si="2"/>
        <v>0</v>
      </c>
      <c r="G19" s="1813">
        <f t="shared" si="2"/>
        <v>845759</v>
      </c>
      <c r="H19" s="1813">
        <f t="shared" si="2"/>
        <v>872328</v>
      </c>
      <c r="I19" s="1813">
        <f t="shared" si="2"/>
        <v>0</v>
      </c>
      <c r="J19" s="1813">
        <f t="shared" si="2"/>
        <v>872328</v>
      </c>
    </row>
    <row r="20" spans="1:10" ht="13.5" thickTop="1" x14ac:dyDescent="0.2">
      <c r="A20" s="1035">
        <v>9</v>
      </c>
      <c r="B20" s="2328" t="s">
        <v>1979</v>
      </c>
      <c r="C20" s="2328"/>
      <c r="D20" s="2329"/>
      <c r="E20" s="1046"/>
      <c r="F20" s="1046"/>
      <c r="G20" s="1046"/>
      <c r="H20" s="1046"/>
      <c r="I20" s="1046"/>
      <c r="J20" s="1814">
        <f>IF(AND(G19&gt;0,J19&gt;0),(((J19-G19)/G19)),"Enter Budget Data")</f>
        <v>3.1414386367747786E-2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1981</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B6" s="329" t="s">
        <v>2089</v>
      </c>
    </row>
    <row r="7" spans="1:2" x14ac:dyDescent="0.2">
      <c r="B7" s="329" t="s">
        <v>2090</v>
      </c>
    </row>
    <row r="8" spans="1:2" x14ac:dyDescent="0.2">
      <c r="A8" s="1068">
        <v>2</v>
      </c>
    </row>
    <row r="9" spans="1:2" x14ac:dyDescent="0.2">
      <c r="A9" s="1068">
        <v>3</v>
      </c>
    </row>
    <row r="10" spans="1:2" x14ac:dyDescent="0.2">
      <c r="A10" s="1068">
        <v>4</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Mannheim SD 83</v>
      </c>
    </row>
    <row r="65" spans="2:2" x14ac:dyDescent="0.2">
      <c r="B65" s="1070">
        <f>COVER!A13</f>
        <v>6016083002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876300</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1985</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1986</v>
      </c>
      <c r="B4" s="2356"/>
      <c r="C4" s="2356"/>
      <c r="D4" s="2356"/>
      <c r="E4" s="2356"/>
      <c r="F4" s="2357"/>
      <c r="G4" s="1074"/>
      <c r="H4" s="1074"/>
    </row>
    <row r="5" spans="1:8" ht="14.25" customHeight="1" x14ac:dyDescent="0.2">
      <c r="A5" s="2358" t="s">
        <v>1982</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41447116</v>
      </c>
      <c r="C8" s="1815">
        <f>'Acct Summary 7-8'!D8</f>
        <v>6809466</v>
      </c>
      <c r="D8" s="1815">
        <f>'Acct Summary 7-8'!F8</f>
        <v>2043216</v>
      </c>
      <c r="E8" s="1815">
        <f>'Acct Summary 7-8'!I8</f>
        <v>278892</v>
      </c>
      <c r="F8" s="1815">
        <f>SUM(B8:E8)</f>
        <v>50578690</v>
      </c>
    </row>
    <row r="9" spans="1:8" s="1079" customFormat="1" ht="14.25" customHeight="1" thickBot="1" x14ac:dyDescent="0.25">
      <c r="A9" s="1078" t="s">
        <v>1369</v>
      </c>
      <c r="B9" s="1816">
        <f>'Acct Summary 7-8'!C17</f>
        <v>36212898</v>
      </c>
      <c r="C9" s="1816">
        <f>'Acct Summary 7-8'!D17</f>
        <v>5582211</v>
      </c>
      <c r="D9" s="1816">
        <f>'Acct Summary 7-8'!F17</f>
        <v>2168661</v>
      </c>
      <c r="E9" s="1815"/>
      <c r="F9" s="1815">
        <f>SUM(B9:E9)</f>
        <v>43963770</v>
      </c>
    </row>
    <row r="10" spans="1:8" s="1079" customFormat="1" ht="14.25" thickTop="1" thickBot="1" x14ac:dyDescent="0.25">
      <c r="A10" s="1080" t="s">
        <v>1370</v>
      </c>
      <c r="B10" s="1817">
        <f>(B8-B9)</f>
        <v>5234218</v>
      </c>
      <c r="C10" s="1817">
        <f>(C8-C9)</f>
        <v>1227255</v>
      </c>
      <c r="D10" s="1817">
        <f>(D8-D9)</f>
        <v>-125445</v>
      </c>
      <c r="E10" s="1816">
        <f>(E8-E9)</f>
        <v>278892</v>
      </c>
      <c r="F10" s="1818">
        <f>SUM(F8-F9)</f>
        <v>6614920</v>
      </c>
    </row>
    <row r="11" spans="1:8" s="1079" customFormat="1" ht="14.25" thickTop="1" thickBot="1" x14ac:dyDescent="0.25">
      <c r="A11" s="1081" t="s">
        <v>1983</v>
      </c>
      <c r="B11" s="1819">
        <f>'Acct Summary 7-8'!C81</f>
        <v>44349477</v>
      </c>
      <c r="C11" s="1819">
        <f>'Acct Summary 7-8'!D81</f>
        <v>4924929</v>
      </c>
      <c r="D11" s="1819">
        <f>'Acct Summary 7-8'!F81</f>
        <v>13147866</v>
      </c>
      <c r="E11" s="1819">
        <f>'Acct Summary 7-8'!I81</f>
        <v>2076196</v>
      </c>
      <c r="F11" s="1820">
        <f>SUM(B11:E11)</f>
        <v>64498468</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C53" sqref="C5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6016083002</v>
      </c>
    </row>
    <row r="3" spans="1:2" x14ac:dyDescent="0.2">
      <c r="A3" t="s">
        <v>956</v>
      </c>
      <c r="B3" s="138" t="str">
        <f>COVER!A15</f>
        <v>COOK</v>
      </c>
    </row>
    <row r="4" spans="1:2" x14ac:dyDescent="0.2">
      <c r="A4" t="s">
        <v>1007</v>
      </c>
      <c r="B4" s="138" t="str">
        <f>COVER!A17</f>
        <v>Mannheim SD 83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JAMES HENRY, CPA</v>
      </c>
    </row>
    <row r="18" spans="1:2" x14ac:dyDescent="0.2">
      <c r="A18" t="s">
        <v>1150</v>
      </c>
      <c r="B18" s="138" t="str">
        <f>COVER!T17</f>
        <v>2122 YEOMAN STREET</v>
      </c>
    </row>
    <row r="19" spans="1:2" x14ac:dyDescent="0.2">
      <c r="A19" t="s">
        <v>886</v>
      </c>
      <c r="B19" s="138" t="str">
        <f>COVER!T25</f>
        <v>JHENRY@EKJLLP.COM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15575740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60293564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15575740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15944087</v>
      </c>
      <c r="C91" s="2" t="s">
        <v>573</v>
      </c>
      <c r="D91" s="2" t="str">
        <f t="shared" si="0"/>
        <v>Error?</v>
      </c>
    </row>
    <row r="92" spans="1:4" x14ac:dyDescent="0.2">
      <c r="A92" s="5">
        <v>31</v>
      </c>
      <c r="B92" s="138">
        <f>'Assets-Liab 5-6'!C39</f>
        <v>44349477</v>
      </c>
      <c r="D92" s="2" t="str">
        <f t="shared" si="0"/>
        <v>Error?</v>
      </c>
    </row>
    <row r="93" spans="1:4" x14ac:dyDescent="0.2">
      <c r="A93" s="5">
        <v>32</v>
      </c>
      <c r="B93" s="138">
        <f>'Assets-Liab 5-6'!C41</f>
        <v>60293564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1933566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6858495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1933566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1933566</v>
      </c>
      <c r="C122" s="2" t="s">
        <v>573</v>
      </c>
      <c r="D122" s="2" t="str">
        <f t="shared" si="0"/>
        <v>Error?</v>
      </c>
    </row>
    <row r="123" spans="1:4" x14ac:dyDescent="0.2">
      <c r="A123" s="5">
        <v>62</v>
      </c>
      <c r="B123" s="138">
        <f>'Assets-Liab 5-6'!D39</f>
        <v>4924929</v>
      </c>
      <c r="D123" s="2" t="str">
        <f t="shared" si="0"/>
        <v>Error?</v>
      </c>
    </row>
    <row r="124" spans="1:4" x14ac:dyDescent="0.2">
      <c r="A124" s="5">
        <v>63</v>
      </c>
      <c r="B124" s="138">
        <f>'Assets-Liab 5-6'!D41</f>
        <v>6858495</v>
      </c>
      <c r="C124" s="2" t="s">
        <v>573</v>
      </c>
      <c r="D124" s="2" t="str">
        <f t="shared" si="0"/>
        <v>Error?</v>
      </c>
    </row>
    <row r="125" spans="1:4" x14ac:dyDescent="0.2">
      <c r="A125" s="10">
        <v>64</v>
      </c>
      <c r="D125" s="2" t="str">
        <f t="shared" si="0"/>
        <v>OK</v>
      </c>
    </row>
    <row r="126" spans="1:4" x14ac:dyDescent="0.2">
      <c r="A126" s="5">
        <v>65</v>
      </c>
      <c r="B126" s="138">
        <f>'Assets-Liab 5-6'!E6</f>
        <v>1044201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3307508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1044201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1044201</v>
      </c>
      <c r="C139" s="2" t="s">
        <v>573</v>
      </c>
      <c r="D139" s="2" t="str">
        <f t="shared" si="1"/>
        <v>Error?</v>
      </c>
    </row>
    <row r="140" spans="1:4" x14ac:dyDescent="0.2">
      <c r="A140" s="5">
        <v>79</v>
      </c>
      <c r="B140" s="138">
        <f>'Assets-Liab 5-6'!E39</f>
        <v>2263307</v>
      </c>
      <c r="D140" s="2" t="str">
        <f t="shared" si="1"/>
        <v>Error?</v>
      </c>
    </row>
    <row r="141" spans="1:4" x14ac:dyDescent="0.2">
      <c r="A141" s="5">
        <v>80</v>
      </c>
      <c r="B141" s="138">
        <f>'Assets-Liab 5-6'!E41</f>
        <v>3307508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451558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13601259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451558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453393</v>
      </c>
      <c r="C169" s="2" t="s">
        <v>573</v>
      </c>
      <c r="D169" s="2" t="str">
        <f t="shared" si="1"/>
        <v>Error?</v>
      </c>
    </row>
    <row r="170" spans="1:4" x14ac:dyDescent="0.2">
      <c r="A170" s="5">
        <v>109</v>
      </c>
      <c r="B170" s="138">
        <f>'Assets-Liab 5-6'!F39</f>
        <v>13147866</v>
      </c>
      <c r="D170" s="2" t="str">
        <f t="shared" si="1"/>
        <v>Error?</v>
      </c>
    </row>
    <row r="171" spans="1:4" x14ac:dyDescent="0.2">
      <c r="A171" s="5">
        <v>110</v>
      </c>
      <c r="B171" s="138">
        <f>'Assets-Liab 5-6'!F41</f>
        <v>13601259</v>
      </c>
      <c r="C171" s="2" t="s">
        <v>573</v>
      </c>
      <c r="D171" s="2" t="str">
        <f t="shared" si="1"/>
        <v>Error?</v>
      </c>
    </row>
    <row r="172" spans="1:4" x14ac:dyDescent="0.2">
      <c r="A172" s="10">
        <v>111</v>
      </c>
      <c r="D172" s="2" t="str">
        <f t="shared" si="1"/>
        <v>OK</v>
      </c>
    </row>
    <row r="173" spans="1:4" x14ac:dyDescent="0.2">
      <c r="A173" s="5">
        <v>112</v>
      </c>
      <c r="B173" s="138">
        <f>'Assets-Liab 5-6'!G6</f>
        <v>252145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3977105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252145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252145</v>
      </c>
      <c r="C188" s="2" t="s">
        <v>573</v>
      </c>
      <c r="D188" s="2" t="str">
        <f t="shared" si="1"/>
        <v>Error?</v>
      </c>
    </row>
    <row r="189" spans="1:4" x14ac:dyDescent="0.2">
      <c r="A189" s="5">
        <v>128</v>
      </c>
      <c r="B189" s="138">
        <f>'Assets-Liab 5-6'!G39</f>
        <v>3724960</v>
      </c>
      <c r="D189" s="2" t="str">
        <f t="shared" si="1"/>
        <v>Error?</v>
      </c>
    </row>
    <row r="190" spans="1:4" x14ac:dyDescent="0.2">
      <c r="A190" s="5">
        <v>129</v>
      </c>
      <c r="B190" s="138">
        <f>'Assets-Liab 5-6'!G41</f>
        <v>3977105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2798859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2798859</v>
      </c>
      <c r="D212" s="2" t="str">
        <f t="shared" si="2"/>
        <v>Error?</v>
      </c>
    </row>
    <row r="213" spans="1:4" x14ac:dyDescent="0.2">
      <c r="A213" s="12">
        <v>152</v>
      </c>
      <c r="B213" s="138">
        <f>'Assets-Liab 5-6'!H41</f>
        <v>2798859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5099610</v>
      </c>
      <c r="D273" s="2" t="str">
        <f t="shared" si="3"/>
        <v>Error?</v>
      </c>
    </row>
    <row r="274" spans="1:4" x14ac:dyDescent="0.2">
      <c r="A274" s="5">
        <v>213</v>
      </c>
      <c r="B274" s="138">
        <f>'Assets-Liab 5-6'!M17</f>
        <v>51071391</v>
      </c>
      <c r="D274" s="2" t="str">
        <f t="shared" si="3"/>
        <v>Error?</v>
      </c>
    </row>
    <row r="275" spans="1:4" x14ac:dyDescent="0.2">
      <c r="A275" s="5">
        <v>214</v>
      </c>
      <c r="B275" s="138">
        <f>'Assets-Liab 5-6'!M18</f>
        <v>2101917</v>
      </c>
      <c r="D275" s="2" t="str">
        <f t="shared" si="3"/>
        <v>Error?</v>
      </c>
    </row>
    <row r="276" spans="1:4" x14ac:dyDescent="0.2">
      <c r="A276" s="5">
        <v>215</v>
      </c>
      <c r="B276" s="138">
        <f>'Assets-Liab 5-6'!M19</f>
        <v>2962944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79649783</v>
      </c>
      <c r="C279" s="2" t="s">
        <v>573</v>
      </c>
      <c r="D279" s="2" t="str">
        <f t="shared" si="3"/>
        <v>Error?</v>
      </c>
    </row>
    <row r="280" spans="1:4" x14ac:dyDescent="0.2">
      <c r="A280" s="5">
        <v>219</v>
      </c>
      <c r="B280" s="138">
        <f>'Assets-Liab 5-6'!M40</f>
        <v>79649783</v>
      </c>
      <c r="D280" s="2" t="str">
        <f t="shared" si="3"/>
        <v>Error?</v>
      </c>
    </row>
    <row r="281" spans="1:4" x14ac:dyDescent="0.2">
      <c r="A281" s="5">
        <v>220</v>
      </c>
      <c r="B281" s="138">
        <f>'Assets-Liab 5-6'!M41</f>
        <v>79649783</v>
      </c>
      <c r="C281" s="2" t="s">
        <v>573</v>
      </c>
      <c r="D281" s="2" t="str">
        <f t="shared" si="3"/>
        <v>Error?</v>
      </c>
    </row>
    <row r="282" spans="1:4" x14ac:dyDescent="0.2">
      <c r="A282" s="5">
        <v>221</v>
      </c>
      <c r="B282" s="138">
        <f>'Assets-Liab 5-6'!N21</f>
        <v>2263307</v>
      </c>
      <c r="D282" s="2" t="str">
        <f t="shared" si="3"/>
        <v>Error?</v>
      </c>
    </row>
    <row r="283" spans="1:4" x14ac:dyDescent="0.2">
      <c r="A283" s="5">
        <v>222</v>
      </c>
      <c r="B283" s="138">
        <f>'Assets-Liab 5-6'!N22</f>
        <v>33631693</v>
      </c>
      <c r="D283" s="2" t="str">
        <f t="shared" si="3"/>
        <v>Error?</v>
      </c>
    </row>
    <row r="284" spans="1:4" x14ac:dyDescent="0.2">
      <c r="A284" s="5">
        <v>223</v>
      </c>
      <c r="B284" s="138">
        <f>'Assets-Liab 5-6'!N23</f>
        <v>35895000</v>
      </c>
      <c r="C284" s="2" t="s">
        <v>573</v>
      </c>
      <c r="D284" s="2" t="str">
        <f t="shared" si="3"/>
        <v>Error?</v>
      </c>
    </row>
    <row r="285" spans="1:4" x14ac:dyDescent="0.2">
      <c r="A285" s="5">
        <v>224</v>
      </c>
      <c r="B285" s="138">
        <f>'Assets-Liab 5-6'!N36</f>
        <v>35895000</v>
      </c>
      <c r="D285" s="2" t="str">
        <f t="shared" si="3"/>
        <v>Error?</v>
      </c>
    </row>
    <row r="286" spans="1:4" x14ac:dyDescent="0.2">
      <c r="A286" s="10">
        <v>225</v>
      </c>
      <c r="D286" s="2" t="str">
        <f t="shared" si="3"/>
        <v>OK</v>
      </c>
    </row>
    <row r="287" spans="1:4" x14ac:dyDescent="0.2">
      <c r="A287" s="5">
        <v>226</v>
      </c>
      <c r="B287" s="138">
        <f>'Assets-Liab 5-6'!N37</f>
        <v>35895000</v>
      </c>
      <c r="C287" s="2" t="s">
        <v>573</v>
      </c>
      <c r="D287" s="2" t="str">
        <f t="shared" si="3"/>
        <v>Error?</v>
      </c>
    </row>
    <row r="288" spans="1:4" x14ac:dyDescent="0.2">
      <c r="A288" s="5">
        <v>227</v>
      </c>
      <c r="B288" s="138">
        <f>'Assets-Liab 5-6'!N41</f>
        <v>35895000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10085340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2494561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257072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17422298</v>
      </c>
      <c r="C720" s="2" t="s">
        <v>573</v>
      </c>
      <c r="D720" s="2" t="str">
        <f t="shared" si="10"/>
        <v>Error?</v>
      </c>
    </row>
    <row r="721" spans="1:4" x14ac:dyDescent="0.2">
      <c r="A721" s="5">
        <v>660</v>
      </c>
      <c r="B721" s="138">
        <f>'Expenditures 15-22'!C36</f>
        <v>456245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185284</v>
      </c>
      <c r="D723" s="2" t="str">
        <f t="shared" si="10"/>
        <v>Error?</v>
      </c>
    </row>
    <row r="724" spans="1:4" x14ac:dyDescent="0.2">
      <c r="A724" s="5">
        <v>663</v>
      </c>
      <c r="B724" s="138">
        <f>'Expenditures 15-22'!C39</f>
        <v>252</v>
      </c>
      <c r="D724" s="2" t="str">
        <f t="shared" si="10"/>
        <v>Error?</v>
      </c>
    </row>
    <row r="725" spans="1:4" x14ac:dyDescent="0.2">
      <c r="A725" s="5">
        <v>664</v>
      </c>
      <c r="B725" s="138">
        <f>'Expenditures 15-22'!C40</f>
        <v>634159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1275940</v>
      </c>
      <c r="C727" s="2" t="s">
        <v>573</v>
      </c>
      <c r="D727" s="2" t="str">
        <f t="shared" si="10"/>
        <v>Error?</v>
      </c>
    </row>
    <row r="728" spans="1:4" x14ac:dyDescent="0.2">
      <c r="A728" s="5">
        <v>667</v>
      </c>
      <c r="B728" s="138">
        <f>'Expenditures 15-22'!C44</f>
        <v>153721</v>
      </c>
      <c r="D728" s="2" t="str">
        <f t="shared" si="10"/>
        <v>Error?</v>
      </c>
    </row>
    <row r="729" spans="1:4" x14ac:dyDescent="0.2">
      <c r="A729" s="5">
        <v>668</v>
      </c>
      <c r="B729" s="138">
        <f>'Expenditures 15-22'!C45</f>
        <v>1302502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1456223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284031</v>
      </c>
      <c r="D733" s="2" t="str">
        <f t="shared" si="10"/>
        <v>Error?</v>
      </c>
    </row>
    <row r="734" spans="1:4" x14ac:dyDescent="0.2">
      <c r="A734" s="5">
        <v>673</v>
      </c>
      <c r="B734" s="138">
        <f>'Expenditures 15-22'!C53</f>
        <v>284031</v>
      </c>
      <c r="C734" s="2" t="s">
        <v>573</v>
      </c>
      <c r="D734" s="2" t="str">
        <f t="shared" si="10"/>
        <v>Error?</v>
      </c>
    </row>
    <row r="735" spans="1:4" x14ac:dyDescent="0.2">
      <c r="A735" s="5">
        <v>674</v>
      </c>
      <c r="B735" s="138">
        <f>'Expenditures 15-22'!C55</f>
        <v>1522227</v>
      </c>
      <c r="D735" s="2" t="str">
        <f t="shared" si="10"/>
        <v>Error?</v>
      </c>
    </row>
    <row r="736" spans="1:4" x14ac:dyDescent="0.2">
      <c r="A736" s="5">
        <v>675</v>
      </c>
      <c r="B736" s="138">
        <f>'Expenditures 15-22'!C56</f>
        <v>233895</v>
      </c>
      <c r="D736" s="2" t="str">
        <f t="shared" si="10"/>
        <v>Error?</v>
      </c>
    </row>
    <row r="737" spans="1:4" x14ac:dyDescent="0.2">
      <c r="A737" s="5">
        <v>676</v>
      </c>
      <c r="B737" s="138">
        <f>'Expenditures 15-22'!C57</f>
        <v>1756122</v>
      </c>
      <c r="C737" s="2" t="s">
        <v>573</v>
      </c>
      <c r="D737" s="2" t="str">
        <f t="shared" si="10"/>
        <v>Error?</v>
      </c>
    </row>
    <row r="738" spans="1:4" x14ac:dyDescent="0.2">
      <c r="A738" s="5">
        <v>677</v>
      </c>
      <c r="B738" s="138">
        <f>'Expenditures 15-22'!C59</f>
        <v>132707</v>
      </c>
      <c r="D738" s="2" t="str">
        <f t="shared" si="10"/>
        <v>Error?</v>
      </c>
    </row>
    <row r="739" spans="1:4" x14ac:dyDescent="0.2">
      <c r="A739" s="5">
        <v>678</v>
      </c>
      <c r="B739" s="138">
        <f>'Expenditures 15-22'!C60</f>
        <v>302263</v>
      </c>
      <c r="D739" s="2" t="str">
        <f t="shared" si="10"/>
        <v>Error?</v>
      </c>
    </row>
    <row r="740" spans="1:4" x14ac:dyDescent="0.2">
      <c r="A740" s="5">
        <v>679</v>
      </c>
      <c r="B740" s="138">
        <f>'Expenditures 15-22'!C61</f>
        <v>1335258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293943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2064171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121018</v>
      </c>
      <c r="D751" s="2" t="str">
        <f t="shared" si="10"/>
        <v>Error?</v>
      </c>
    </row>
    <row r="752" spans="1:4" x14ac:dyDescent="0.2">
      <c r="A752" s="10">
        <v>691</v>
      </c>
      <c r="D752" s="2" t="str">
        <f t="shared" si="10"/>
        <v>OK</v>
      </c>
    </row>
    <row r="753" spans="1:4" x14ac:dyDescent="0.2">
      <c r="A753" s="5">
        <v>692</v>
      </c>
      <c r="B753" s="138">
        <f>'Expenditures 15-22'!C72</f>
        <v>121018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6957505</v>
      </c>
      <c r="C755" s="2" t="s">
        <v>573</v>
      </c>
      <c r="D755" s="2" t="str">
        <f t="shared" si="10"/>
        <v>Error?</v>
      </c>
    </row>
    <row r="756" spans="1:4" x14ac:dyDescent="0.2">
      <c r="A756" s="5">
        <v>695</v>
      </c>
      <c r="B756" s="138">
        <f>'Expenditures 15-22'!C75</f>
        <v>8980</v>
      </c>
      <c r="D756" s="2" t="str">
        <f t="shared" si="10"/>
        <v>Error?</v>
      </c>
    </row>
    <row r="757" spans="1:4" x14ac:dyDescent="0.2">
      <c r="A757" s="5">
        <v>696</v>
      </c>
      <c r="B757" s="138">
        <f>'Expenditures 15-22'!C114</f>
        <v>24388783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2265804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570682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3612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4161687</v>
      </c>
      <c r="C778" s="2" t="s">
        <v>573</v>
      </c>
      <c r="D778" s="2" t="str">
        <f t="shared" si="11"/>
        <v>Error?</v>
      </c>
    </row>
    <row r="779" spans="1:4" x14ac:dyDescent="0.2">
      <c r="A779" s="5">
        <v>718</v>
      </c>
      <c r="B779" s="138">
        <f>'Expenditures 15-22'!D36</f>
        <v>94365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78801</v>
      </c>
      <c r="D781" s="2" t="str">
        <f t="shared" si="11"/>
        <v>Error?</v>
      </c>
    </row>
    <row r="782" spans="1:4" x14ac:dyDescent="0.2">
      <c r="A782" s="5">
        <v>721</v>
      </c>
      <c r="B782" s="138">
        <f>'Expenditures 15-22'!D39</f>
        <v>127</v>
      </c>
      <c r="D782" s="2" t="str">
        <f t="shared" si="11"/>
        <v>Error?</v>
      </c>
    </row>
    <row r="783" spans="1:4" x14ac:dyDescent="0.2">
      <c r="A783" s="5">
        <v>722</v>
      </c>
      <c r="B783" s="138">
        <f>'Expenditures 15-22'!D40</f>
        <v>143038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316331</v>
      </c>
      <c r="C785" s="2" t="s">
        <v>573</v>
      </c>
      <c r="D785" s="2" t="str">
        <f t="shared" si="11"/>
        <v>Error?</v>
      </c>
    </row>
    <row r="786" spans="1:4" x14ac:dyDescent="0.2">
      <c r="A786" s="5">
        <v>725</v>
      </c>
      <c r="B786" s="138">
        <f>'Expenditures 15-22'!D44</f>
        <v>48631</v>
      </c>
      <c r="D786" s="2" t="str">
        <f t="shared" si="11"/>
        <v>Error?</v>
      </c>
    </row>
    <row r="787" spans="1:4" x14ac:dyDescent="0.2">
      <c r="A787" s="5">
        <v>726</v>
      </c>
      <c r="B787" s="138">
        <f>'Expenditures 15-22'!D45</f>
        <v>288687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337318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48566</v>
      </c>
      <c r="D791" s="2" t="str">
        <f t="shared" si="11"/>
        <v>Error?</v>
      </c>
    </row>
    <row r="792" spans="1:4" x14ac:dyDescent="0.2">
      <c r="A792" s="5">
        <v>731</v>
      </c>
      <c r="B792" s="138">
        <f>'Expenditures 15-22'!D53</f>
        <v>48566</v>
      </c>
      <c r="C792" s="2" t="s">
        <v>573</v>
      </c>
      <c r="D792" s="2" t="str">
        <f t="shared" si="11"/>
        <v>Error?</v>
      </c>
    </row>
    <row r="793" spans="1:4" x14ac:dyDescent="0.2">
      <c r="A793" s="5">
        <v>732</v>
      </c>
      <c r="B793" s="138">
        <f>'Expenditures 15-22'!D55</f>
        <v>500989</v>
      </c>
      <c r="D793" s="2" t="str">
        <f t="shared" si="11"/>
        <v>Error?</v>
      </c>
    </row>
    <row r="794" spans="1:4" x14ac:dyDescent="0.2">
      <c r="A794" s="5">
        <v>733</v>
      </c>
      <c r="B794" s="138">
        <f>'Expenditures 15-22'!D56</f>
        <v>61353</v>
      </c>
      <c r="D794" s="2" t="str">
        <f t="shared" si="11"/>
        <v>Error?</v>
      </c>
    </row>
    <row r="795" spans="1:4" x14ac:dyDescent="0.2">
      <c r="A795" s="5">
        <v>734</v>
      </c>
      <c r="B795" s="138">
        <f>'Expenditures 15-22'!D57</f>
        <v>562342</v>
      </c>
      <c r="C795" s="2" t="s">
        <v>573</v>
      </c>
      <c r="D795" s="2" t="str">
        <f t="shared" si="11"/>
        <v>Error?</v>
      </c>
    </row>
    <row r="796" spans="1:4" x14ac:dyDescent="0.2">
      <c r="A796" s="5">
        <v>735</v>
      </c>
      <c r="B796" s="138">
        <f>'Expenditures 15-22'!D59</f>
        <v>40695</v>
      </c>
      <c r="D796" s="2" t="str">
        <f t="shared" si="11"/>
        <v>Error?</v>
      </c>
    </row>
    <row r="797" spans="1:4" x14ac:dyDescent="0.2">
      <c r="A797" s="5">
        <v>736</v>
      </c>
      <c r="B797" s="138">
        <f>'Expenditures 15-22'!D60</f>
        <v>68226</v>
      </c>
      <c r="D797" s="2" t="str">
        <f t="shared" si="11"/>
        <v>Error?</v>
      </c>
    </row>
    <row r="798" spans="1:4" x14ac:dyDescent="0.2">
      <c r="A798" s="5">
        <v>737</v>
      </c>
      <c r="B798" s="138">
        <f>'Expenditures 15-22'!D61</f>
        <v>334997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16995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460913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16692</v>
      </c>
      <c r="D809" s="2" t="str">
        <f t="shared" si="11"/>
        <v>Error?</v>
      </c>
    </row>
    <row r="810" spans="1:4" x14ac:dyDescent="0.2">
      <c r="A810" s="10">
        <v>749</v>
      </c>
      <c r="D810" s="2" t="str">
        <f t="shared" si="11"/>
        <v>OK</v>
      </c>
    </row>
    <row r="811" spans="1:4" x14ac:dyDescent="0.2">
      <c r="A811" s="5">
        <v>750</v>
      </c>
      <c r="B811" s="138">
        <f>'Expenditures 15-22'!D72</f>
        <v>16692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1742162</v>
      </c>
      <c r="C813" s="2" t="s">
        <v>573</v>
      </c>
      <c r="D813" s="2" t="str">
        <f t="shared" si="11"/>
        <v>Error?</v>
      </c>
    </row>
    <row r="814" spans="1:4" x14ac:dyDescent="0.2">
      <c r="A814" s="5">
        <v>753</v>
      </c>
      <c r="B814" s="138">
        <f>'Expenditures 15-22'!D75</f>
        <v>3614</v>
      </c>
      <c r="D814" s="2" t="str">
        <f t="shared" si="11"/>
        <v>Error?</v>
      </c>
    </row>
    <row r="815" spans="1:4" x14ac:dyDescent="0.2">
      <c r="A815" s="5">
        <v>754</v>
      </c>
      <c r="B815" s="138">
        <f>'Expenditures 15-22'!D114</f>
        <v>5907463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252687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2633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344504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32277</v>
      </c>
      <c r="D839" s="2" t="str">
        <f t="shared" si="12"/>
        <v>Error?</v>
      </c>
    </row>
    <row r="840" spans="1:4" x14ac:dyDescent="0.2">
      <c r="A840" s="5">
        <v>779</v>
      </c>
      <c r="B840" s="138">
        <f>'Expenditures 15-22'!E39</f>
        <v>11025</v>
      </c>
      <c r="D840" s="2" t="str">
        <f t="shared" si="12"/>
        <v>Error?</v>
      </c>
    </row>
    <row r="841" spans="1:4" x14ac:dyDescent="0.2">
      <c r="A841" s="5">
        <v>780</v>
      </c>
      <c r="B841" s="138">
        <f>'Expenditures 15-22'!E40</f>
        <v>37372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80674</v>
      </c>
      <c r="C843" s="2" t="s">
        <v>573</v>
      </c>
      <c r="D843" s="2" t="str">
        <f t="shared" si="12"/>
        <v>Error?</v>
      </c>
    </row>
    <row r="844" spans="1:4" x14ac:dyDescent="0.2">
      <c r="A844" s="5">
        <v>783</v>
      </c>
      <c r="B844" s="138">
        <f>'Expenditures 15-22'!E44</f>
        <v>258495</v>
      </c>
      <c r="D844" s="2" t="str">
        <f t="shared" si="12"/>
        <v>Error?</v>
      </c>
    </row>
    <row r="845" spans="1:4" x14ac:dyDescent="0.2">
      <c r="A845" s="5">
        <v>784</v>
      </c>
      <c r="B845" s="138">
        <f>'Expenditures 15-22'!E45</f>
        <v>286336</v>
      </c>
      <c r="D845" s="2" t="str">
        <f t="shared" si="12"/>
        <v>Error?</v>
      </c>
    </row>
    <row r="846" spans="1:4" x14ac:dyDescent="0.2">
      <c r="A846" s="5">
        <v>785</v>
      </c>
      <c r="B846" s="138">
        <f>'Expenditures 15-22'!E46</f>
        <v>70933</v>
      </c>
      <c r="D846" s="2" t="str">
        <f t="shared" si="12"/>
        <v>Error?</v>
      </c>
    </row>
    <row r="847" spans="1:4" x14ac:dyDescent="0.2">
      <c r="A847" s="5">
        <v>786</v>
      </c>
      <c r="B847" s="138">
        <f>'Expenditures 15-22'!E47</f>
        <v>615764</v>
      </c>
      <c r="C847" s="2" t="s">
        <v>573</v>
      </c>
      <c r="D847" s="2" t="str">
        <f t="shared" si="12"/>
        <v>Error?</v>
      </c>
    </row>
    <row r="848" spans="1:4" x14ac:dyDescent="0.2">
      <c r="A848" s="5">
        <v>787</v>
      </c>
      <c r="B848" s="138">
        <f>'Expenditures 15-22'!E49</f>
        <v>129190</v>
      </c>
      <c r="D848" s="2" t="str">
        <f t="shared" si="12"/>
        <v>Error?</v>
      </c>
    </row>
    <row r="849" spans="1:4" x14ac:dyDescent="0.2">
      <c r="A849" s="5">
        <v>788</v>
      </c>
      <c r="B849" s="138">
        <f>'Expenditures 15-22'!E50</f>
        <v>15750</v>
      </c>
      <c r="D849" s="2" t="str">
        <f t="shared" si="12"/>
        <v>Error?</v>
      </c>
    </row>
    <row r="850" spans="1:4" x14ac:dyDescent="0.2">
      <c r="A850" s="5">
        <v>789</v>
      </c>
      <c r="B850" s="138">
        <f>'Expenditures 15-22'!E53</f>
        <v>231186</v>
      </c>
      <c r="C850" s="2" t="s">
        <v>573</v>
      </c>
      <c r="D850" s="2" t="str">
        <f t="shared" si="12"/>
        <v>Error?</v>
      </c>
    </row>
    <row r="851" spans="1:4" x14ac:dyDescent="0.2">
      <c r="A851" s="5">
        <v>790</v>
      </c>
      <c r="B851" s="138">
        <f>'Expenditures 15-22'!E55</f>
        <v>7419</v>
      </c>
      <c r="D851" s="2" t="str">
        <f t="shared" si="12"/>
        <v>Error?</v>
      </c>
    </row>
    <row r="852" spans="1:4" x14ac:dyDescent="0.2">
      <c r="A852" s="5">
        <v>791</v>
      </c>
      <c r="B852" s="138">
        <f>'Expenditures 15-22'!E56</f>
        <v>1414</v>
      </c>
      <c r="D852" s="2" t="str">
        <f t="shared" si="12"/>
        <v>Error?</v>
      </c>
    </row>
    <row r="853" spans="1:4" x14ac:dyDescent="0.2">
      <c r="A853" s="5">
        <v>792</v>
      </c>
      <c r="B853" s="138">
        <f>'Expenditures 15-22'!E57</f>
        <v>8833</v>
      </c>
      <c r="C853" s="2" t="s">
        <v>573</v>
      </c>
      <c r="D853" s="2" t="str">
        <f t="shared" si="12"/>
        <v>Error?</v>
      </c>
    </row>
    <row r="854" spans="1:4" x14ac:dyDescent="0.2">
      <c r="A854" s="5">
        <v>793</v>
      </c>
      <c r="B854" s="138">
        <f>'Expenditures 15-22'!E59</f>
        <v>1757</v>
      </c>
      <c r="D854" s="2" t="str">
        <f t="shared" si="12"/>
        <v>Error?</v>
      </c>
    </row>
    <row r="855" spans="1:4" x14ac:dyDescent="0.2">
      <c r="A855" s="5">
        <v>794</v>
      </c>
      <c r="B855" s="138">
        <f>'Expenditures 15-22'!E60</f>
        <v>261783</v>
      </c>
      <c r="D855" s="2" t="str">
        <f t="shared" si="12"/>
        <v>Error?</v>
      </c>
    </row>
    <row r="856" spans="1:4" x14ac:dyDescent="0.2">
      <c r="A856" s="5">
        <v>795</v>
      </c>
      <c r="B856" s="138">
        <f>'Expenditures 15-22'!E61</f>
        <v>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996481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1260025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25393</v>
      </c>
      <c r="D865" s="2" t="str">
        <f t="shared" si="12"/>
        <v>Error?</v>
      </c>
    </row>
    <row r="866" spans="1:4" x14ac:dyDescent="0.2">
      <c r="A866" s="10">
        <v>805</v>
      </c>
      <c r="D866" s="2" t="str">
        <f t="shared" si="12"/>
        <v>OK</v>
      </c>
    </row>
    <row r="867" spans="1:4" x14ac:dyDescent="0.2">
      <c r="A867" s="5">
        <v>806</v>
      </c>
      <c r="B867" s="138">
        <f>'Expenditures 15-22'!E71</f>
        <v>159826</v>
      </c>
      <c r="D867" s="2" t="str">
        <f t="shared" si="12"/>
        <v>Error?</v>
      </c>
    </row>
    <row r="868" spans="1:4" x14ac:dyDescent="0.2">
      <c r="A868" s="10">
        <v>807</v>
      </c>
      <c r="D868" s="2" t="str">
        <f t="shared" si="12"/>
        <v>OK</v>
      </c>
    </row>
    <row r="869" spans="1:4" x14ac:dyDescent="0.2">
      <c r="A869" s="5">
        <v>808</v>
      </c>
      <c r="B869" s="138">
        <f>'Expenditures 15-22'!E72</f>
        <v>185219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2381701</v>
      </c>
      <c r="C871" s="2" t="s">
        <v>573</v>
      </c>
      <c r="D871" s="2" t="str">
        <f t="shared" si="12"/>
        <v>Error?</v>
      </c>
    </row>
    <row r="872" spans="1:4" x14ac:dyDescent="0.2">
      <c r="A872" s="5">
        <v>811</v>
      </c>
      <c r="B872" s="138">
        <f>'Expenditures 15-22'!E75</f>
        <v>2988</v>
      </c>
      <c r="D872" s="2" t="str">
        <f t="shared" si="12"/>
        <v>Error?</v>
      </c>
    </row>
    <row r="873" spans="1:4" x14ac:dyDescent="0.2">
      <c r="A873" s="5">
        <v>812</v>
      </c>
      <c r="B873" s="138">
        <f>'Expenditures 15-22'!E114</f>
        <v>3164925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416635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27958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4892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605445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12541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170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12711</v>
      </c>
      <c r="C901" s="2" t="s">
        <v>573</v>
      </c>
      <c r="D901" s="2" t="str">
        <f t="shared" si="13"/>
        <v>Error?</v>
      </c>
    </row>
    <row r="902" spans="1:4" x14ac:dyDescent="0.2">
      <c r="A902" s="5">
        <v>841</v>
      </c>
      <c r="B902" s="138">
        <f>'Expenditures 15-22'!F44</f>
        <v>26013</v>
      </c>
      <c r="D902" s="2" t="str">
        <f t="shared" si="13"/>
        <v>Error?</v>
      </c>
    </row>
    <row r="903" spans="1:4" x14ac:dyDescent="0.2">
      <c r="A903" s="5">
        <v>842</v>
      </c>
      <c r="B903" s="138">
        <f>'Expenditures 15-22'!F45</f>
        <v>501312</v>
      </c>
      <c r="D903" s="2" t="str">
        <f t="shared" si="13"/>
        <v>Error?</v>
      </c>
    </row>
    <row r="904" spans="1:4" x14ac:dyDescent="0.2">
      <c r="A904" s="5">
        <v>843</v>
      </c>
      <c r="B904" s="138">
        <f>'Expenditures 15-22'!F46</f>
        <v>649</v>
      </c>
      <c r="D904" s="2" t="str">
        <f t="shared" si="13"/>
        <v>Error?</v>
      </c>
    </row>
    <row r="905" spans="1:4" x14ac:dyDescent="0.2">
      <c r="A905" s="5">
        <v>844</v>
      </c>
      <c r="B905" s="138">
        <f>'Expenditures 15-22'!F47</f>
        <v>527974</v>
      </c>
      <c r="C905" s="2" t="s">
        <v>573</v>
      </c>
      <c r="D905" s="2" t="str">
        <f t="shared" si="13"/>
        <v>Error?</v>
      </c>
    </row>
    <row r="906" spans="1:4" x14ac:dyDescent="0.2">
      <c r="A906" s="5">
        <v>845</v>
      </c>
      <c r="B906" s="138">
        <f>'Expenditures 15-22'!F49</f>
        <v>45616</v>
      </c>
      <c r="D906" s="2" t="str">
        <f t="shared" si="13"/>
        <v>Error?</v>
      </c>
    </row>
    <row r="907" spans="1:4" x14ac:dyDescent="0.2">
      <c r="A907" s="5">
        <v>846</v>
      </c>
      <c r="B907" s="138">
        <f>'Expenditures 15-22'!F50</f>
        <v>14192</v>
      </c>
      <c r="D907" s="2" t="str">
        <f t="shared" si="13"/>
        <v>Error?</v>
      </c>
    </row>
    <row r="908" spans="1:4" x14ac:dyDescent="0.2">
      <c r="A908" s="5">
        <v>847</v>
      </c>
      <c r="B908" s="138">
        <f>'Expenditures 15-22'!F53</f>
        <v>59808</v>
      </c>
      <c r="C908" s="2" t="s">
        <v>573</v>
      </c>
      <c r="D908" s="2" t="str">
        <f t="shared" si="13"/>
        <v>Error?</v>
      </c>
    </row>
    <row r="909" spans="1:4" x14ac:dyDescent="0.2">
      <c r="A909" s="5">
        <v>848</v>
      </c>
      <c r="B909" s="138">
        <f>'Expenditures 15-22'!F55</f>
        <v>2161</v>
      </c>
      <c r="D909" s="2" t="str">
        <f t="shared" si="13"/>
        <v>Error?</v>
      </c>
    </row>
    <row r="910" spans="1:4" x14ac:dyDescent="0.2">
      <c r="A910" s="5">
        <v>849</v>
      </c>
      <c r="B910" s="138">
        <f>'Expenditures 15-22'!F56</f>
        <v>238</v>
      </c>
      <c r="D910" s="2" t="str">
        <f t="shared" si="13"/>
        <v>Error?</v>
      </c>
    </row>
    <row r="911" spans="1:4" x14ac:dyDescent="0.2">
      <c r="A911" s="5">
        <v>850</v>
      </c>
      <c r="B911" s="138">
        <f>'Expenditures 15-22'!F57</f>
        <v>2399</v>
      </c>
      <c r="C911" s="2" t="s">
        <v>573</v>
      </c>
      <c r="D911" s="2" t="str">
        <f t="shared" si="13"/>
        <v>Error?</v>
      </c>
    </row>
    <row r="912" spans="1:4" x14ac:dyDescent="0.2">
      <c r="A912" s="5">
        <v>851</v>
      </c>
      <c r="B912" s="138">
        <f>'Expenditures 15-22'!F59</f>
        <v>112</v>
      </c>
      <c r="D912" s="2" t="str">
        <f t="shared" si="13"/>
        <v>Error?</v>
      </c>
    </row>
    <row r="913" spans="1:4" x14ac:dyDescent="0.2">
      <c r="A913" s="5">
        <v>852</v>
      </c>
      <c r="B913" s="138">
        <f>'Expenditures 15-22'!F60</f>
        <v>9542</v>
      </c>
      <c r="D913" s="2" t="str">
        <f t="shared" si="13"/>
        <v>Error?</v>
      </c>
    </row>
    <row r="914" spans="1:4" x14ac:dyDescent="0.2">
      <c r="A914" s="5">
        <v>853</v>
      </c>
      <c r="B914" s="138">
        <f>'Expenditures 15-22'!F61</f>
        <v>758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37451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47863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26613</v>
      </c>
      <c r="D923" s="2" t="str">
        <f t="shared" si="13"/>
        <v>Error?</v>
      </c>
    </row>
    <row r="924" spans="1:4" x14ac:dyDescent="0.2">
      <c r="A924" s="10">
        <v>863</v>
      </c>
      <c r="D924" s="2" t="str">
        <f t="shared" si="13"/>
        <v>OK</v>
      </c>
    </row>
    <row r="925" spans="1:4" x14ac:dyDescent="0.2">
      <c r="A925" s="5">
        <v>864</v>
      </c>
      <c r="B925" s="138">
        <f>'Expenditures 15-22'!F71</f>
        <v>1251</v>
      </c>
      <c r="D925" s="2" t="str">
        <f t="shared" si="13"/>
        <v>Error?</v>
      </c>
    </row>
    <row r="926" spans="1:4" x14ac:dyDescent="0.2">
      <c r="A926" s="10">
        <v>865</v>
      </c>
      <c r="D926" s="2" t="str">
        <f t="shared" si="13"/>
        <v>OK</v>
      </c>
    </row>
    <row r="927" spans="1:4" x14ac:dyDescent="0.2">
      <c r="A927" s="5">
        <v>866</v>
      </c>
      <c r="B927" s="138">
        <f>'Expenditures 15-22'!F72</f>
        <v>27864</v>
      </c>
      <c r="C927" s="2" t="s">
        <v>573</v>
      </c>
      <c r="D927" s="2" t="str">
        <f t="shared" si="13"/>
        <v>Error?</v>
      </c>
    </row>
    <row r="928" spans="1:4" x14ac:dyDescent="0.2">
      <c r="A928" s="5">
        <v>867</v>
      </c>
      <c r="B928" s="138">
        <f>'Expenditures 15-22'!F73</f>
        <v>6680</v>
      </c>
      <c r="D928" s="2" t="str">
        <f t="shared" si="13"/>
        <v>Error?</v>
      </c>
    </row>
    <row r="929" spans="1:4" x14ac:dyDescent="0.2">
      <c r="A929" s="5">
        <v>868</v>
      </c>
      <c r="B929" s="138">
        <f>'Expenditures 15-22'!F74</f>
        <v>685299</v>
      </c>
      <c r="C929" s="2" t="s">
        <v>573</v>
      </c>
      <c r="D929" s="2" t="str">
        <f t="shared" si="13"/>
        <v>Error?</v>
      </c>
    </row>
    <row r="930" spans="1:4" x14ac:dyDescent="0.2">
      <c r="A930" s="5">
        <v>869</v>
      </c>
      <c r="B930" s="138">
        <f>'Expenditures 15-22'!F75</f>
        <v>9969</v>
      </c>
      <c r="D930" s="2" t="str">
        <f t="shared" si="13"/>
        <v>Error?</v>
      </c>
    </row>
    <row r="931" spans="1:4" x14ac:dyDescent="0.2">
      <c r="A931" s="5">
        <v>870</v>
      </c>
      <c r="B931" s="138">
        <f>'Expenditures 15-22'!F114</f>
        <v>1300713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22460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22460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112877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112877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56719</v>
      </c>
      <c r="D983" s="2" t="str">
        <f t="shared" si="14"/>
        <v>Error?</v>
      </c>
    </row>
    <row r="984" spans="1:4" x14ac:dyDescent="0.2">
      <c r="A984" s="10">
        <v>923</v>
      </c>
      <c r="D984" s="2" t="str">
        <f t="shared" si="14"/>
        <v>OK</v>
      </c>
    </row>
    <row r="985" spans="1:4" x14ac:dyDescent="0.2">
      <c r="A985" s="5">
        <v>924</v>
      </c>
      <c r="B985" s="138">
        <f>'Expenditures 15-22'!G72</f>
        <v>56719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169596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192056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643</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672186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15091</v>
      </c>
      <c r="D1022" s="2" t="str">
        <f t="shared" si="14"/>
        <v>Error?</v>
      </c>
    </row>
    <row r="1023" spans="1:4" x14ac:dyDescent="0.2">
      <c r="A1023" s="5">
        <v>962</v>
      </c>
      <c r="B1023" s="138">
        <f>'Expenditures 15-22'!H50</f>
        <v>10266</v>
      </c>
      <c r="D1023" s="2" t="str">
        <f t="shared" ref="D1023:D1086" si="15">IF(ISBLANK(B1023),"OK",IF(A1023-B1023=0,"OK","Error?"))</f>
        <v>Error?</v>
      </c>
    </row>
    <row r="1024" spans="1:4" x14ac:dyDescent="0.2">
      <c r="A1024" s="5">
        <v>963</v>
      </c>
      <c r="B1024" s="138">
        <f>'Expenditures 15-22'!H53</f>
        <v>25357</v>
      </c>
      <c r="C1024" s="2" t="s">
        <v>573</v>
      </c>
      <c r="D1024" s="2" t="str">
        <f t="shared" si="15"/>
        <v>Error?</v>
      </c>
    </row>
    <row r="1025" spans="1:4" x14ac:dyDescent="0.2">
      <c r="A1025" s="5">
        <v>964</v>
      </c>
      <c r="B1025" s="138">
        <f>'Expenditures 15-22'!H55</f>
        <v>2054</v>
      </c>
      <c r="D1025" s="2" t="str">
        <f t="shared" si="15"/>
        <v>Error?</v>
      </c>
    </row>
    <row r="1026" spans="1:4" x14ac:dyDescent="0.2">
      <c r="A1026" s="5">
        <v>965</v>
      </c>
      <c r="B1026" s="138">
        <f>'Expenditures 15-22'!H56</f>
        <v>507</v>
      </c>
      <c r="D1026" s="2" t="str">
        <f t="shared" si="15"/>
        <v>Error?</v>
      </c>
    </row>
    <row r="1027" spans="1:4" x14ac:dyDescent="0.2">
      <c r="A1027" s="5">
        <v>966</v>
      </c>
      <c r="B1027" s="138">
        <f>'Expenditures 15-22'!H57</f>
        <v>2561</v>
      </c>
      <c r="C1027" s="2" t="s">
        <v>573</v>
      </c>
      <c r="D1027" s="2" t="str">
        <f t="shared" si="15"/>
        <v>Error?</v>
      </c>
    </row>
    <row r="1028" spans="1:4" x14ac:dyDescent="0.2">
      <c r="A1028" s="5">
        <v>967</v>
      </c>
      <c r="B1028" s="138">
        <f>'Expenditures 15-22'!H59</f>
        <v>276</v>
      </c>
      <c r="D1028" s="2" t="str">
        <f t="shared" si="15"/>
        <v>Error?</v>
      </c>
    </row>
    <row r="1029" spans="1:4" x14ac:dyDescent="0.2">
      <c r="A1029" s="5">
        <v>968</v>
      </c>
      <c r="B1029" s="138">
        <f>'Expenditures 15-22'!H60</f>
        <v>1322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1598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80</v>
      </c>
      <c r="D1041" s="2" t="str">
        <f t="shared" si="15"/>
        <v>Error?</v>
      </c>
    </row>
    <row r="1042" spans="1:4" x14ac:dyDescent="0.2">
      <c r="A1042" s="10">
        <v>981</v>
      </c>
      <c r="D1042" s="2" t="str">
        <f t="shared" si="15"/>
        <v>OK</v>
      </c>
    </row>
    <row r="1043" spans="1:4" x14ac:dyDescent="0.2">
      <c r="A1043" s="5">
        <v>982</v>
      </c>
      <c r="B1043" s="138">
        <f>'Expenditures 15-22'!H72</f>
        <v>80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29596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546679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1248461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13045632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3096477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268575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23232047</v>
      </c>
      <c r="C1108" s="2" t="s">
        <v>573</v>
      </c>
      <c r="D1108" s="2" t="str">
        <f t="shared" si="16"/>
        <v>Error?</v>
      </c>
    </row>
    <row r="1109" spans="1:4" x14ac:dyDescent="0.2">
      <c r="A1109" s="5">
        <v>1048</v>
      </c>
      <c r="B1109" s="138">
        <f>'Expenditures 15-22'!K36</f>
        <v>550610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308903</v>
      </c>
      <c r="C1111" s="2" t="s">
        <v>573</v>
      </c>
      <c r="D1111" s="2" t="str">
        <f t="shared" si="16"/>
        <v>Error?</v>
      </c>
    </row>
    <row r="1112" spans="1:4" x14ac:dyDescent="0.2">
      <c r="A1112" s="5">
        <v>1051</v>
      </c>
      <c r="B1112" s="138">
        <f>'Expenditures 15-22'!K39</f>
        <v>11404</v>
      </c>
      <c r="C1112" s="2" t="s">
        <v>573</v>
      </c>
      <c r="D1112" s="2" t="str">
        <f t="shared" si="16"/>
        <v>Error?</v>
      </c>
    </row>
    <row r="1113" spans="1:4" x14ac:dyDescent="0.2">
      <c r="A1113" s="5">
        <v>1052</v>
      </c>
      <c r="B1113" s="138">
        <f>'Expenditures 15-22'!K40</f>
        <v>814739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1685656</v>
      </c>
      <c r="C1115" s="2" t="s">
        <v>573</v>
      </c>
      <c r="D1115" s="2" t="str">
        <f t="shared" si="16"/>
        <v>Error?</v>
      </c>
    </row>
    <row r="1116" spans="1:4" x14ac:dyDescent="0.2">
      <c r="A1116" s="5">
        <v>1055</v>
      </c>
      <c r="B1116" s="138">
        <f>'Expenditures 15-22'!K44</f>
        <v>486860</v>
      </c>
      <c r="C1116" s="2" t="s">
        <v>573</v>
      </c>
      <c r="D1116" s="2" t="str">
        <f t="shared" si="16"/>
        <v>Error?</v>
      </c>
    </row>
    <row r="1117" spans="1:4" x14ac:dyDescent="0.2">
      <c r="A1117" s="5">
        <v>1056</v>
      </c>
      <c r="B1117" s="138">
        <f>'Expenditures 15-22'!K45</f>
        <v>2497884</v>
      </c>
      <c r="C1117" s="2" t="s">
        <v>573</v>
      </c>
      <c r="D1117" s="2" t="str">
        <f t="shared" si="16"/>
        <v>Error?</v>
      </c>
    </row>
    <row r="1118" spans="1:4" x14ac:dyDescent="0.2">
      <c r="A1118" s="5">
        <v>1057</v>
      </c>
      <c r="B1118" s="138">
        <f>'Expenditures 15-22'!K46</f>
        <v>71582</v>
      </c>
      <c r="C1118" s="2" t="s">
        <v>573</v>
      </c>
      <c r="D1118" s="2" t="str">
        <f t="shared" si="16"/>
        <v>Error?</v>
      </c>
    </row>
    <row r="1119" spans="1:4" x14ac:dyDescent="0.2">
      <c r="A1119" s="5">
        <v>1058</v>
      </c>
      <c r="B1119" s="138">
        <f>'Expenditures 15-22'!K47</f>
        <v>3056326</v>
      </c>
      <c r="C1119" s="2" t="s">
        <v>573</v>
      </c>
      <c r="D1119" s="2" t="str">
        <f t="shared" si="16"/>
        <v>Error?</v>
      </c>
    </row>
    <row r="1120" spans="1:4" x14ac:dyDescent="0.2">
      <c r="A1120" s="5">
        <v>1059</v>
      </c>
      <c r="B1120" s="138">
        <f>'Expenditures 15-22'!K49</f>
        <v>189897</v>
      </c>
      <c r="C1120" s="2" t="s">
        <v>573</v>
      </c>
      <c r="D1120" s="2" t="str">
        <f t="shared" si="16"/>
        <v>Error?</v>
      </c>
    </row>
    <row r="1121" spans="1:4" x14ac:dyDescent="0.2">
      <c r="A1121" s="5">
        <v>1060</v>
      </c>
      <c r="B1121" s="138">
        <f>'Expenditures 15-22'!K50</f>
        <v>372805</v>
      </c>
      <c r="C1121" s="2" t="s">
        <v>573</v>
      </c>
      <c r="D1121" s="2" t="str">
        <f t="shared" si="16"/>
        <v>Error?</v>
      </c>
    </row>
    <row r="1122" spans="1:4" x14ac:dyDescent="0.2">
      <c r="A1122" s="5">
        <v>1061</v>
      </c>
      <c r="B1122" s="138">
        <f>'Expenditures 15-22'!K53</f>
        <v>648948</v>
      </c>
      <c r="C1122" s="2" t="s">
        <v>573</v>
      </c>
      <c r="D1122" s="2" t="str">
        <f t="shared" si="16"/>
        <v>Error?</v>
      </c>
    </row>
    <row r="1123" spans="1:4" x14ac:dyDescent="0.2">
      <c r="A1123" s="5">
        <v>1062</v>
      </c>
      <c r="B1123" s="138">
        <f>'Expenditures 15-22'!K55</f>
        <v>2034850</v>
      </c>
      <c r="C1123" s="2" t="s">
        <v>573</v>
      </c>
      <c r="D1123" s="2" t="str">
        <f t="shared" si="16"/>
        <v>Error?</v>
      </c>
    </row>
    <row r="1124" spans="1:4" x14ac:dyDescent="0.2">
      <c r="A1124" s="5">
        <v>1063</v>
      </c>
      <c r="B1124" s="138">
        <f>'Expenditures 15-22'!K56</f>
        <v>297407</v>
      </c>
      <c r="C1124" s="2" t="s">
        <v>573</v>
      </c>
      <c r="D1124" s="2" t="str">
        <f t="shared" si="16"/>
        <v>Error?</v>
      </c>
    </row>
    <row r="1125" spans="1:4" x14ac:dyDescent="0.2">
      <c r="A1125" s="5">
        <v>1064</v>
      </c>
      <c r="B1125" s="138">
        <f>'Expenditures 15-22'!K57</f>
        <v>2332257</v>
      </c>
      <c r="C1125" s="2" t="s">
        <v>573</v>
      </c>
      <c r="D1125" s="2" t="str">
        <f t="shared" si="16"/>
        <v>Error?</v>
      </c>
    </row>
    <row r="1126" spans="1:4" x14ac:dyDescent="0.2">
      <c r="A1126" s="5">
        <v>1065</v>
      </c>
      <c r="B1126" s="138">
        <f>'Expenditures 15-22'!K59</f>
        <v>175547</v>
      </c>
      <c r="C1126" s="2" t="s">
        <v>573</v>
      </c>
      <c r="D1126" s="2" t="str">
        <f t="shared" si="16"/>
        <v>Error?</v>
      </c>
    </row>
    <row r="1127" spans="1:4" x14ac:dyDescent="0.2">
      <c r="A1127" s="5">
        <v>1066</v>
      </c>
      <c r="B1127" s="138">
        <f>'Expenditures 15-22'!K60</f>
        <v>643996</v>
      </c>
      <c r="C1127" s="2" t="s">
        <v>573</v>
      </c>
      <c r="D1127" s="2" t="str">
        <f t="shared" si="16"/>
        <v>Error?</v>
      </c>
    </row>
    <row r="1128" spans="1:4" x14ac:dyDescent="0.2">
      <c r="A1128" s="5">
        <v>1067</v>
      </c>
      <c r="B1128" s="138">
        <f>'Expenditures 15-22'!K61</f>
        <v>1671017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1344870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3835430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52006</v>
      </c>
      <c r="C1137" s="2" t="s">
        <v>573</v>
      </c>
      <c r="D1137" s="2" t="str">
        <f t="shared" si="16"/>
        <v>Error?</v>
      </c>
    </row>
    <row r="1138" spans="1:4" x14ac:dyDescent="0.2">
      <c r="A1138" s="10">
        <v>1077</v>
      </c>
      <c r="D1138" s="2" t="str">
        <f t="shared" si="16"/>
        <v>OK</v>
      </c>
    </row>
    <row r="1139" spans="1:4" x14ac:dyDescent="0.2">
      <c r="A1139" s="5">
        <v>1078</v>
      </c>
      <c r="B1139" s="138">
        <f>'Expenditures 15-22'!K71</f>
        <v>355586</v>
      </c>
      <c r="C1139" s="2" t="s">
        <v>573</v>
      </c>
      <c r="D1139" s="2" t="str">
        <f t="shared" si="16"/>
        <v>Error?</v>
      </c>
    </row>
    <row r="1140" spans="1:4" x14ac:dyDescent="0.2">
      <c r="A1140" s="10">
        <v>1079</v>
      </c>
      <c r="D1140" s="2" t="str">
        <f t="shared" si="16"/>
        <v>OK</v>
      </c>
    </row>
    <row r="1141" spans="1:4" x14ac:dyDescent="0.2">
      <c r="A1141" s="5">
        <v>1080</v>
      </c>
      <c r="B1141" s="138">
        <f>'Expenditures 15-22'!K72</f>
        <v>407592</v>
      </c>
      <c r="C1141" s="2" t="s">
        <v>573</v>
      </c>
      <c r="D1141" s="2" t="str">
        <f t="shared" si="16"/>
        <v>Error?</v>
      </c>
    </row>
    <row r="1142" spans="1:4" x14ac:dyDescent="0.2">
      <c r="A1142" s="5">
        <v>1081</v>
      </c>
      <c r="B1142" s="138">
        <f>'Expenditures 15-22'!K73</f>
        <v>6680</v>
      </c>
      <c r="C1142" s="2" t="s">
        <v>573</v>
      </c>
      <c r="D1142" s="2" t="str">
        <f t="shared" si="16"/>
        <v>Error?</v>
      </c>
    </row>
    <row r="1143" spans="1:4" x14ac:dyDescent="0.2">
      <c r="A1143" s="5">
        <v>1082</v>
      </c>
      <c r="B1143" s="138">
        <f>'Expenditures 15-22'!K74</f>
        <v>11972889</v>
      </c>
      <c r="C1143" s="2" t="s">
        <v>573</v>
      </c>
      <c r="D1143" s="2" t="str">
        <f t="shared" si="16"/>
        <v>Error?</v>
      </c>
    </row>
    <row r="1144" spans="1:4" x14ac:dyDescent="0.2">
      <c r="A1144" s="5">
        <v>1083</v>
      </c>
      <c r="B1144" s="138">
        <f>'Expenditures 15-22'!K75</f>
        <v>25551</v>
      </c>
      <c r="C1144" s="2" t="s">
        <v>573</v>
      </c>
      <c r="D1144" s="2" t="str">
        <f t="shared" si="16"/>
        <v>Error?</v>
      </c>
    </row>
    <row r="1145" spans="1:4" x14ac:dyDescent="0.2">
      <c r="A1145" s="5">
        <v>1084</v>
      </c>
      <c r="B1145" s="138">
        <f>'Expenditures 15-22'!K102</f>
        <v>982411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36212898</v>
      </c>
      <c r="C1152" s="2" t="s">
        <v>573</v>
      </c>
      <c r="D1152" s="2" t="str">
        <f t="shared" si="17"/>
        <v>Error?</v>
      </c>
    </row>
    <row r="1153" spans="1:4" x14ac:dyDescent="0.2">
      <c r="A1153" s="5">
        <v>1092</v>
      </c>
      <c r="B1153" s="138">
        <f>'Expenditures 15-22'!K115</f>
        <v>5234218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467733</v>
      </c>
      <c r="D1221" s="2" t="str">
        <f t="shared" si="18"/>
        <v>Error?</v>
      </c>
    </row>
    <row r="1222" spans="1:4" x14ac:dyDescent="0.2">
      <c r="A1222" s="10">
        <v>1161</v>
      </c>
      <c r="D1222" s="2" t="str">
        <f t="shared" si="18"/>
        <v>OK</v>
      </c>
    </row>
    <row r="1223" spans="1:4" x14ac:dyDescent="0.2">
      <c r="A1223" s="5">
        <v>1162</v>
      </c>
      <c r="B1223" s="138">
        <f>'Expenditures 15-22'!C127</f>
        <v>467733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467733</v>
      </c>
      <c r="C1225" s="2" t="s">
        <v>573</v>
      </c>
      <c r="D1225" s="2" t="str">
        <f t="shared" si="18"/>
        <v>Error?</v>
      </c>
    </row>
    <row r="1226" spans="1:4" x14ac:dyDescent="0.2">
      <c r="A1226" s="5">
        <v>1165</v>
      </c>
      <c r="B1226" s="138">
        <f>'Expenditures 15-22'!C151</f>
        <v>467733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83129</v>
      </c>
      <c r="D1229" s="2" t="str">
        <f t="shared" si="18"/>
        <v>Error?</v>
      </c>
    </row>
    <row r="1230" spans="1:4" x14ac:dyDescent="0.2">
      <c r="A1230" s="10">
        <v>1169</v>
      </c>
      <c r="D1230" s="2" t="str">
        <f t="shared" si="18"/>
        <v>OK</v>
      </c>
    </row>
    <row r="1231" spans="1:4" x14ac:dyDescent="0.2">
      <c r="A1231" s="5">
        <v>1170</v>
      </c>
      <c r="B1231" s="138">
        <f>'Expenditures 15-22'!D127</f>
        <v>83129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83129</v>
      </c>
      <c r="C1233" s="2" t="s">
        <v>573</v>
      </c>
      <c r="D1233" s="2" t="str">
        <f t="shared" si="18"/>
        <v>Error?</v>
      </c>
    </row>
    <row r="1234" spans="1:4" x14ac:dyDescent="0.2">
      <c r="A1234" s="5">
        <v>1173</v>
      </c>
      <c r="B1234" s="138">
        <f>'Expenditures 15-22'!D151</f>
        <v>83129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950</v>
      </c>
      <c r="D1236" s="2" t="str">
        <f t="shared" si="18"/>
        <v>Error?</v>
      </c>
    </row>
    <row r="1237" spans="1:4" x14ac:dyDescent="0.2">
      <c r="A1237" s="5">
        <v>1176</v>
      </c>
      <c r="B1237" s="138">
        <f>'Expenditures 15-22'!E124</f>
        <v>684781</v>
      </c>
      <c r="D1237" s="2" t="str">
        <f t="shared" si="18"/>
        <v>Error?</v>
      </c>
    </row>
    <row r="1238" spans="1:4" x14ac:dyDescent="0.2">
      <c r="A1238" s="10">
        <v>1177</v>
      </c>
      <c r="D1238" s="2" t="str">
        <f t="shared" si="18"/>
        <v>OK</v>
      </c>
    </row>
    <row r="1239" spans="1:4" x14ac:dyDescent="0.2">
      <c r="A1239" s="5">
        <v>1178</v>
      </c>
      <c r="B1239" s="138">
        <f>'Expenditures 15-22'!E127</f>
        <v>685751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685751</v>
      </c>
      <c r="C1241" s="2" t="s">
        <v>573</v>
      </c>
      <c r="D1241" s="2" t="str">
        <f t="shared" si="18"/>
        <v>Error?</v>
      </c>
    </row>
    <row r="1242" spans="1:4" x14ac:dyDescent="0.2">
      <c r="A1242" s="5">
        <v>1181</v>
      </c>
      <c r="B1242" s="138">
        <f>'Expenditures 15-22'!E151</f>
        <v>685751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910040</v>
      </c>
      <c r="D1245" s="2" t="str">
        <f t="shared" si="18"/>
        <v>Error?</v>
      </c>
    </row>
    <row r="1246" spans="1:4" x14ac:dyDescent="0.2">
      <c r="A1246" s="10">
        <v>1185</v>
      </c>
      <c r="D1246" s="2" t="str">
        <f t="shared" si="18"/>
        <v>OK</v>
      </c>
    </row>
    <row r="1247" spans="1:4" x14ac:dyDescent="0.2">
      <c r="A1247" s="5">
        <v>1186</v>
      </c>
      <c r="B1247" s="138">
        <f>'Expenditures 15-22'!F127</f>
        <v>919597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919597</v>
      </c>
      <c r="C1249" s="2" t="s">
        <v>573</v>
      </c>
      <c r="D1249" s="2" t="str">
        <f t="shared" si="18"/>
        <v>Error?</v>
      </c>
    </row>
    <row r="1250" spans="1:4" x14ac:dyDescent="0.2">
      <c r="A1250" s="5">
        <v>1189</v>
      </c>
      <c r="B1250" s="138">
        <f>'Expenditures 15-22'!F151</f>
        <v>919597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3376880</v>
      </c>
      <c r="D1252" s="2" t="str">
        <f t="shared" si="18"/>
        <v>Error?</v>
      </c>
    </row>
    <row r="1253" spans="1:4" x14ac:dyDescent="0.2">
      <c r="A1253" s="5">
        <v>1192</v>
      </c>
      <c r="B1253" s="138">
        <f>'Expenditures 15-22'!G124</f>
        <v>33992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3410872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3410872</v>
      </c>
      <c r="C1258" s="2" t="s">
        <v>573</v>
      </c>
      <c r="D1258" s="2" t="str">
        <f t="shared" si="18"/>
        <v>Error?</v>
      </c>
    </row>
    <row r="1259" spans="1:4" x14ac:dyDescent="0.2">
      <c r="A1259" s="5">
        <v>1198</v>
      </c>
      <c r="B1259" s="138">
        <f>'Expenditures 15-22'!G151</f>
        <v>3410872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13035</v>
      </c>
      <c r="D1261" s="2" t="str">
        <f t="shared" si="18"/>
        <v>Error?</v>
      </c>
    </row>
    <row r="1262" spans="1:4" x14ac:dyDescent="0.2">
      <c r="A1262" s="5">
        <v>1201</v>
      </c>
      <c r="B1262" s="138">
        <f>'Expenditures 15-22'!H124</f>
        <v>45</v>
      </c>
      <c r="D1262" s="2" t="str">
        <f t="shared" si="18"/>
        <v>Error?</v>
      </c>
    </row>
    <row r="1263" spans="1:4" x14ac:dyDescent="0.2">
      <c r="A1263" s="10">
        <v>1202</v>
      </c>
      <c r="D1263" s="2" t="str">
        <f t="shared" si="18"/>
        <v>OK</v>
      </c>
    </row>
    <row r="1264" spans="1:4" x14ac:dyDescent="0.2">
      <c r="A1264" s="5">
        <v>1203</v>
      </c>
      <c r="B1264" s="138">
        <f>'Expenditures 15-22'!H127</f>
        <v>13080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13080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13080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3390865</v>
      </c>
      <c r="C1275" s="2" t="s">
        <v>573</v>
      </c>
      <c r="D1275" s="2" t="str">
        <f t="shared" si="18"/>
        <v>Error?</v>
      </c>
    </row>
    <row r="1276" spans="1:4" x14ac:dyDescent="0.2">
      <c r="A1276" s="5">
        <v>1215</v>
      </c>
      <c r="B1276" s="138">
        <f>'Expenditures 15-22'!K124</f>
        <v>2181769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5582211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5582211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5582211</v>
      </c>
      <c r="C1288" s="2" t="s">
        <v>573</v>
      </c>
      <c r="D1288" s="2" t="str">
        <f t="shared" si="19"/>
        <v>Error?</v>
      </c>
    </row>
    <row r="1289" spans="1:4" x14ac:dyDescent="0.2">
      <c r="A1289" s="5">
        <v>1228</v>
      </c>
      <c r="B1289" s="138">
        <f>'Expenditures 15-22'!K152</f>
        <v>1227255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1964435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1800000</v>
      </c>
      <c r="D1315" s="2" t="str">
        <f t="shared" si="19"/>
        <v>Error?</v>
      </c>
    </row>
    <row r="1316" spans="1:4" x14ac:dyDescent="0.2">
      <c r="A1316" s="5">
        <v>1255</v>
      </c>
      <c r="B1316" s="138">
        <f>'Expenditures 15-22'!H171</f>
        <v>4500</v>
      </c>
      <c r="D1316" s="2" t="str">
        <f t="shared" si="19"/>
        <v>Error?</v>
      </c>
    </row>
    <row r="1317" spans="1:4" x14ac:dyDescent="0.2">
      <c r="A1317" s="5">
        <v>1256</v>
      </c>
      <c r="B1317" s="138">
        <f>'Expenditures 15-22'!H172</f>
        <v>3768935</v>
      </c>
      <c r="C1317" s="2" t="s">
        <v>573</v>
      </c>
      <c r="D1317" s="2" t="str">
        <f t="shared" si="19"/>
        <v>Error?</v>
      </c>
    </row>
    <row r="1318" spans="1:4" x14ac:dyDescent="0.2">
      <c r="A1318" s="5">
        <v>1257</v>
      </c>
      <c r="B1318" s="138">
        <f>'Expenditures 15-22'!H174</f>
        <v>3768935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1964435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1800000</v>
      </c>
      <c r="C1329" s="2" t="s">
        <v>573</v>
      </c>
      <c r="D1329" s="2" t="str">
        <f t="shared" si="19"/>
        <v>Error?</v>
      </c>
    </row>
    <row r="1330" spans="1:4" x14ac:dyDescent="0.2">
      <c r="A1330" s="5">
        <v>1269</v>
      </c>
      <c r="B1330" s="138">
        <f>'Expenditures 15-22'!K171</f>
        <v>4500</v>
      </c>
      <c r="C1330" s="2" t="s">
        <v>573</v>
      </c>
      <c r="D1330" s="2" t="str">
        <f t="shared" si="19"/>
        <v>Error?</v>
      </c>
    </row>
    <row r="1331" spans="1:4" x14ac:dyDescent="0.2">
      <c r="A1331" s="5">
        <v>1270</v>
      </c>
      <c r="B1331" s="138">
        <f>'Expenditures 15-22'!K172</f>
        <v>3768935</v>
      </c>
      <c r="C1331" s="2" t="s">
        <v>573</v>
      </c>
      <c r="D1331" s="2" t="str">
        <f t="shared" si="19"/>
        <v>Error?</v>
      </c>
    </row>
    <row r="1332" spans="1:4" x14ac:dyDescent="0.2">
      <c r="A1332" s="5">
        <v>1271</v>
      </c>
      <c r="B1332" s="138">
        <f>'Expenditures 15-22'!K174</f>
        <v>3768935</v>
      </c>
      <c r="C1332" s="2" t="s">
        <v>573</v>
      </c>
      <c r="D1332" s="2" t="str">
        <f t="shared" si="19"/>
        <v>Error?</v>
      </c>
    </row>
    <row r="1333" spans="1:4" x14ac:dyDescent="0.2">
      <c r="A1333" s="5">
        <v>1272</v>
      </c>
      <c r="B1333" s="138">
        <f>'Expenditures 15-22'!K175</f>
        <v>-1794457</v>
      </c>
      <c r="C1333" s="2" t="s">
        <v>573</v>
      </c>
      <c r="D1333" s="2" t="str">
        <f t="shared" si="19"/>
        <v>Error?</v>
      </c>
    </row>
    <row r="1334" spans="1:4" x14ac:dyDescent="0.2">
      <c r="A1334" s="10">
        <v>1273</v>
      </c>
      <c r="D1334" s="2" t="str">
        <f t="shared" si="19"/>
        <v>OK</v>
      </c>
    </row>
    <row r="1335" spans="1:4" x14ac:dyDescent="0.2">
      <c r="A1335" s="5">
        <v>1274</v>
      </c>
      <c r="B1335" s="138">
        <f>'Expenditures 15-22'!C182</f>
        <v>789674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789674</v>
      </c>
      <c r="C1339" s="2" t="s">
        <v>573</v>
      </c>
      <c r="D1339" s="2" t="str">
        <f t="shared" si="19"/>
        <v>Error?</v>
      </c>
    </row>
    <row r="1340" spans="1:4" x14ac:dyDescent="0.2">
      <c r="A1340" s="5">
        <v>1279</v>
      </c>
      <c r="B1340" s="138">
        <f>'Expenditures 15-22'!C210</f>
        <v>789674</v>
      </c>
      <c r="C1340" s="2" t="s">
        <v>573</v>
      </c>
      <c r="D1340" s="2" t="str">
        <f t="shared" si="19"/>
        <v>Error?</v>
      </c>
    </row>
    <row r="1341" spans="1:4" x14ac:dyDescent="0.2">
      <c r="A1341" s="5">
        <v>1280</v>
      </c>
      <c r="B1341" s="138">
        <f>'Expenditures 15-22'!D182</f>
        <v>135256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135256</v>
      </c>
      <c r="C1345" s="2" t="s">
        <v>573</v>
      </c>
      <c r="D1345" s="2" t="str">
        <f t="shared" si="20"/>
        <v>Error?</v>
      </c>
    </row>
    <row r="1346" spans="1:4" x14ac:dyDescent="0.2">
      <c r="A1346" s="5">
        <v>1285</v>
      </c>
      <c r="B1346" s="138">
        <f>'Expenditures 15-22'!D210</f>
        <v>135256</v>
      </c>
      <c r="C1346" s="2" t="s">
        <v>573</v>
      </c>
      <c r="D1346" s="2" t="str">
        <f t="shared" si="20"/>
        <v>Error?</v>
      </c>
    </row>
    <row r="1347" spans="1:4" x14ac:dyDescent="0.2">
      <c r="A1347" s="5">
        <v>1286</v>
      </c>
      <c r="B1347" s="138">
        <f>'Expenditures 15-22'!E182</f>
        <v>902595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902595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902595</v>
      </c>
      <c r="C1353" s="2" t="s">
        <v>573</v>
      </c>
      <c r="D1353" s="2" t="str">
        <f t="shared" si="20"/>
        <v>Error?</v>
      </c>
    </row>
    <row r="1354" spans="1:4" x14ac:dyDescent="0.2">
      <c r="A1354" s="5">
        <v>1293</v>
      </c>
      <c r="B1354" s="138">
        <f>'Expenditures 15-22'!F182</f>
        <v>100134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100134</v>
      </c>
      <c r="C1358" s="2" t="s">
        <v>573</v>
      </c>
      <c r="D1358" s="2" t="str">
        <f t="shared" si="20"/>
        <v>Error?</v>
      </c>
    </row>
    <row r="1359" spans="1:4" x14ac:dyDescent="0.2">
      <c r="A1359" s="5">
        <v>1298</v>
      </c>
      <c r="B1359" s="138">
        <f>'Expenditures 15-22'!F210</f>
        <v>100134</v>
      </c>
      <c r="C1359" s="2" t="s">
        <v>573</v>
      </c>
      <c r="D1359" s="2" t="str">
        <f t="shared" si="20"/>
        <v>Error?</v>
      </c>
    </row>
    <row r="1360" spans="1:4" x14ac:dyDescent="0.2">
      <c r="A1360" s="5">
        <v>1299</v>
      </c>
      <c r="B1360" s="138">
        <f>'Expenditures 15-22'!G182</f>
        <v>240897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240897</v>
      </c>
      <c r="C1364" s="2" t="s">
        <v>573</v>
      </c>
      <c r="D1364" s="2" t="str">
        <f t="shared" si="20"/>
        <v>Error?</v>
      </c>
    </row>
    <row r="1365" spans="1:4" x14ac:dyDescent="0.2">
      <c r="A1365" s="5">
        <v>1304</v>
      </c>
      <c r="B1365" s="138">
        <f>'Expenditures 15-22'!G210</f>
        <v>240897</v>
      </c>
      <c r="C1365" s="2" t="s">
        <v>573</v>
      </c>
      <c r="D1365" s="2" t="str">
        <f t="shared" si="20"/>
        <v>Error?</v>
      </c>
    </row>
    <row r="1366" spans="1:4" x14ac:dyDescent="0.2">
      <c r="A1366" s="5">
        <v>1305</v>
      </c>
      <c r="B1366" s="138">
        <f>'Expenditures 15-22'!H182</f>
        <v>105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105</v>
      </c>
      <c r="C1376" s="2" t="s">
        <v>573</v>
      </c>
      <c r="D1376" s="2" t="str">
        <f t="shared" si="20"/>
        <v>Error?</v>
      </c>
    </row>
    <row r="1377" spans="1:4" x14ac:dyDescent="0.2">
      <c r="A1377" s="5">
        <v>1316</v>
      </c>
      <c r="B1377" s="138">
        <f>'Expenditures 15-22'!K182</f>
        <v>2168661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2168661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2168661</v>
      </c>
      <c r="C1388" s="2" t="s">
        <v>573</v>
      </c>
      <c r="D1388" s="2" t="str">
        <f t="shared" si="20"/>
        <v>Error?</v>
      </c>
    </row>
    <row r="1389" spans="1:4" x14ac:dyDescent="0.2">
      <c r="A1389" s="5">
        <v>1328</v>
      </c>
      <c r="B1389" s="138">
        <f>'Expenditures 15-22'!K211</f>
        <v>-125445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35564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519337</v>
      </c>
      <c r="C1410" s="2" t="s">
        <v>573</v>
      </c>
      <c r="D1410" s="2" t="str">
        <f t="shared" si="21"/>
        <v>Error?</v>
      </c>
    </row>
    <row r="1411" spans="1:4" x14ac:dyDescent="0.2">
      <c r="A1411" s="5">
        <v>1350</v>
      </c>
      <c r="B1411" s="138">
        <f>'Expenditures 15-22'!D232</f>
        <v>6435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31851</v>
      </c>
      <c r="D1413" s="2" t="str">
        <f t="shared" si="21"/>
        <v>Error?</v>
      </c>
    </row>
    <row r="1414" spans="1:4" x14ac:dyDescent="0.2">
      <c r="A1414" s="5">
        <v>1353</v>
      </c>
      <c r="B1414" s="138">
        <f>'Expenditures 15-22'!D235</f>
        <v>582</v>
      </c>
      <c r="D1414" s="2" t="str">
        <f t="shared" si="21"/>
        <v>Error?</v>
      </c>
    </row>
    <row r="1415" spans="1:4" x14ac:dyDescent="0.2">
      <c r="A1415" s="5">
        <v>1354</v>
      </c>
      <c r="B1415" s="138">
        <f>'Expenditures 15-22'!D236</f>
        <v>8863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47731</v>
      </c>
      <c r="C1417" s="2" t="s">
        <v>573</v>
      </c>
      <c r="D1417" s="2" t="str">
        <f t="shared" si="21"/>
        <v>Error?</v>
      </c>
    </row>
    <row r="1418" spans="1:4" x14ac:dyDescent="0.2">
      <c r="A1418" s="5">
        <v>1357</v>
      </c>
      <c r="B1418" s="138">
        <f>'Expenditures 15-22'!D240</f>
        <v>3127</v>
      </c>
      <c r="D1418" s="2" t="str">
        <f t="shared" si="21"/>
        <v>Error?</v>
      </c>
    </row>
    <row r="1419" spans="1:4" x14ac:dyDescent="0.2">
      <c r="A1419" s="5">
        <v>1358</v>
      </c>
      <c r="B1419" s="138">
        <f>'Expenditures 15-22'!D241</f>
        <v>94717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97844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14885</v>
      </c>
      <c r="D1423" s="2" t="str">
        <f t="shared" si="21"/>
        <v>Error?</v>
      </c>
    </row>
    <row r="1424" spans="1:4" x14ac:dyDescent="0.2">
      <c r="A1424" s="5">
        <v>1363</v>
      </c>
      <c r="B1424" s="138">
        <f>'Expenditures 15-22'!D257</f>
        <v>14885</v>
      </c>
      <c r="C1424" s="2" t="s">
        <v>573</v>
      </c>
      <c r="D1424" s="2" t="str">
        <f t="shared" si="21"/>
        <v>Error?</v>
      </c>
    </row>
    <row r="1425" spans="1:4" x14ac:dyDescent="0.2">
      <c r="A1425" s="5">
        <v>1364</v>
      </c>
      <c r="B1425" s="138">
        <f>'Expenditures 15-22'!D259</f>
        <v>86050</v>
      </c>
      <c r="D1425" s="2" t="str">
        <f t="shared" si="21"/>
        <v>Error?</v>
      </c>
    </row>
    <row r="1426" spans="1:4" x14ac:dyDescent="0.2">
      <c r="A1426" s="5">
        <v>1365</v>
      </c>
      <c r="B1426" s="138">
        <f>'Expenditures 15-22'!D260</f>
        <v>11044</v>
      </c>
      <c r="D1426" s="2" t="str">
        <f t="shared" si="21"/>
        <v>Error?</v>
      </c>
    </row>
    <row r="1427" spans="1:4" x14ac:dyDescent="0.2">
      <c r="A1427" s="5">
        <v>1366</v>
      </c>
      <c r="B1427" s="138">
        <f>'Expenditures 15-22'!D261</f>
        <v>97094</v>
      </c>
      <c r="C1427" s="2" t="s">
        <v>573</v>
      </c>
      <c r="D1427" s="2" t="str">
        <f t="shared" si="21"/>
        <v>Error?</v>
      </c>
    </row>
    <row r="1428" spans="1:4" x14ac:dyDescent="0.2">
      <c r="A1428" s="5">
        <v>1367</v>
      </c>
      <c r="B1428" s="138">
        <f>'Expenditures 15-22'!D263</f>
        <v>1850</v>
      </c>
      <c r="D1428" s="2" t="str">
        <f t="shared" si="21"/>
        <v>Error?</v>
      </c>
    </row>
    <row r="1429" spans="1:4" x14ac:dyDescent="0.2">
      <c r="A1429" s="5">
        <v>1368</v>
      </c>
      <c r="B1429" s="138">
        <f>'Expenditures 15-22'!D264</f>
        <v>31243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304248</v>
      </c>
      <c r="D1431" s="2" t="str">
        <f t="shared" si="21"/>
        <v>Error?</v>
      </c>
    </row>
    <row r="1432" spans="1:4" x14ac:dyDescent="0.2">
      <c r="A1432" s="5">
        <v>1371</v>
      </c>
      <c r="B1432" s="138">
        <f>'Expenditures 15-22'!D267</f>
        <v>129121</v>
      </c>
      <c r="D1432" s="2" t="str">
        <f t="shared" si="21"/>
        <v>Error?</v>
      </c>
    </row>
    <row r="1433" spans="1:4" x14ac:dyDescent="0.2">
      <c r="A1433" s="5">
        <v>1372</v>
      </c>
      <c r="B1433" s="138">
        <f>'Expenditures 15-22'!D268</f>
        <v>34380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500842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21301</v>
      </c>
      <c r="D1442" s="2" t="str">
        <f t="shared" si="21"/>
        <v>Error?</v>
      </c>
    </row>
    <row r="1443" spans="1:4" x14ac:dyDescent="0.2">
      <c r="A1443" s="10">
        <v>1382</v>
      </c>
      <c r="D1443" s="2" t="str">
        <f t="shared" si="21"/>
        <v>OK</v>
      </c>
    </row>
    <row r="1444" spans="1:4" x14ac:dyDescent="0.2">
      <c r="A1444" s="5">
        <v>1383</v>
      </c>
      <c r="B1444" s="138">
        <f>'Expenditures 15-22'!D277</f>
        <v>21301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779697</v>
      </c>
      <c r="C1446" s="2" t="s">
        <v>573</v>
      </c>
      <c r="D1446" s="2" t="str">
        <f t="shared" si="21"/>
        <v>Error?</v>
      </c>
    </row>
    <row r="1447" spans="1:4" x14ac:dyDescent="0.2">
      <c r="A1447" s="5">
        <v>1386</v>
      </c>
      <c r="B1447" s="138">
        <f>'Expenditures 15-22'!D280</f>
        <v>1381</v>
      </c>
      <c r="D1447" s="2" t="str">
        <f t="shared" si="21"/>
        <v>Error?</v>
      </c>
    </row>
    <row r="1448" spans="1:4" x14ac:dyDescent="0.2">
      <c r="A1448" s="5">
        <v>1387</v>
      </c>
      <c r="B1448" s="138">
        <f>'Expenditures 15-22'!D295</f>
        <v>1300415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35564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6171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519337</v>
      </c>
      <c r="C1474" s="2" t="s">
        <v>573</v>
      </c>
      <c r="D1474" s="2" t="str">
        <f t="shared" si="22"/>
        <v>Error?</v>
      </c>
    </row>
    <row r="1475" spans="1:4" x14ac:dyDescent="0.2">
      <c r="A1475" s="5">
        <v>1414</v>
      </c>
      <c r="B1475" s="138">
        <f>'Expenditures 15-22'!K232</f>
        <v>6435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31851</v>
      </c>
      <c r="C1477" s="2" t="s">
        <v>573</v>
      </c>
      <c r="D1477" s="2" t="str">
        <f t="shared" si="22"/>
        <v>Error?</v>
      </c>
    </row>
    <row r="1478" spans="1:4" x14ac:dyDescent="0.2">
      <c r="A1478" s="5">
        <v>1417</v>
      </c>
      <c r="B1478" s="138">
        <f>'Expenditures 15-22'!K235</f>
        <v>582</v>
      </c>
      <c r="C1478" s="2" t="s">
        <v>573</v>
      </c>
      <c r="D1478" s="2" t="str">
        <f t="shared" si="22"/>
        <v>Error?</v>
      </c>
    </row>
    <row r="1479" spans="1:4" x14ac:dyDescent="0.2">
      <c r="A1479" s="5">
        <v>1418</v>
      </c>
      <c r="B1479" s="138">
        <f>'Expenditures 15-22'!K236</f>
        <v>8863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47731</v>
      </c>
      <c r="C1481" s="2" t="s">
        <v>573</v>
      </c>
      <c r="D1481" s="2" t="str">
        <f t="shared" si="22"/>
        <v>Error?</v>
      </c>
    </row>
    <row r="1482" spans="1:4" x14ac:dyDescent="0.2">
      <c r="A1482" s="5">
        <v>1421</v>
      </c>
      <c r="B1482" s="138">
        <f>'Expenditures 15-22'!K240</f>
        <v>3127</v>
      </c>
      <c r="C1482" s="2" t="s">
        <v>573</v>
      </c>
      <c r="D1482" s="2" t="str">
        <f t="shared" si="22"/>
        <v>Error?</v>
      </c>
    </row>
    <row r="1483" spans="1:4" x14ac:dyDescent="0.2">
      <c r="A1483" s="5">
        <v>1422</v>
      </c>
      <c r="B1483" s="138">
        <f>'Expenditures 15-22'!K241</f>
        <v>94717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97844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14885</v>
      </c>
      <c r="C1487" s="2" t="s">
        <v>573</v>
      </c>
      <c r="D1487" s="2" t="str">
        <f t="shared" si="22"/>
        <v>Error?</v>
      </c>
    </row>
    <row r="1488" spans="1:4" x14ac:dyDescent="0.2">
      <c r="A1488" s="5">
        <v>1427</v>
      </c>
      <c r="B1488" s="138">
        <f>'Expenditures 15-22'!K257</f>
        <v>14885</v>
      </c>
      <c r="C1488" s="2" t="s">
        <v>573</v>
      </c>
      <c r="D1488" s="2" t="str">
        <f t="shared" si="22"/>
        <v>Error?</v>
      </c>
    </row>
    <row r="1489" spans="1:4" x14ac:dyDescent="0.2">
      <c r="A1489" s="5">
        <v>1428</v>
      </c>
      <c r="B1489" s="138">
        <f>'Expenditures 15-22'!K259</f>
        <v>86050</v>
      </c>
      <c r="C1489" s="2" t="s">
        <v>573</v>
      </c>
      <c r="D1489" s="2" t="str">
        <f t="shared" si="22"/>
        <v>Error?</v>
      </c>
    </row>
    <row r="1490" spans="1:4" x14ac:dyDescent="0.2">
      <c r="A1490" s="5">
        <v>1429</v>
      </c>
      <c r="B1490" s="138">
        <f>'Expenditures 15-22'!K260</f>
        <v>11044</v>
      </c>
      <c r="C1490" s="2" t="s">
        <v>573</v>
      </c>
      <c r="D1490" s="2" t="str">
        <f t="shared" si="22"/>
        <v>Error?</v>
      </c>
    </row>
    <row r="1491" spans="1:4" x14ac:dyDescent="0.2">
      <c r="A1491" s="5">
        <v>1430</v>
      </c>
      <c r="B1491" s="138">
        <f>'Expenditures 15-22'!K261</f>
        <v>97094</v>
      </c>
      <c r="C1491" s="2" t="s">
        <v>573</v>
      </c>
      <c r="D1491" s="2" t="str">
        <f t="shared" si="22"/>
        <v>Error?</v>
      </c>
    </row>
    <row r="1492" spans="1:4" x14ac:dyDescent="0.2">
      <c r="A1492" s="5">
        <v>1431</v>
      </c>
      <c r="B1492" s="138">
        <f>'Expenditures 15-22'!K263</f>
        <v>1850</v>
      </c>
      <c r="C1492" s="2" t="s">
        <v>573</v>
      </c>
      <c r="D1492" s="2" t="str">
        <f t="shared" si="22"/>
        <v>Error?</v>
      </c>
    </row>
    <row r="1493" spans="1:4" x14ac:dyDescent="0.2">
      <c r="A1493" s="5">
        <v>1432</v>
      </c>
      <c r="B1493" s="138">
        <f>'Expenditures 15-22'!K264</f>
        <v>31243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304248</v>
      </c>
      <c r="C1495" s="2" t="s">
        <v>573</v>
      </c>
      <c r="D1495" s="2" t="str">
        <f t="shared" si="22"/>
        <v>Error?</v>
      </c>
    </row>
    <row r="1496" spans="1:4" x14ac:dyDescent="0.2">
      <c r="A1496" s="5">
        <v>1435</v>
      </c>
      <c r="B1496" s="138">
        <f>'Expenditures 15-22'!K267</f>
        <v>129121</v>
      </c>
      <c r="C1496" s="2" t="s">
        <v>573</v>
      </c>
      <c r="D1496" s="2" t="str">
        <f t="shared" si="22"/>
        <v>Error?</v>
      </c>
    </row>
    <row r="1497" spans="1:4" x14ac:dyDescent="0.2">
      <c r="A1497" s="5">
        <v>1436</v>
      </c>
      <c r="B1497" s="138">
        <f>'Expenditures 15-22'!K268</f>
        <v>34380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500842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21301</v>
      </c>
      <c r="C1506" s="2" t="s">
        <v>573</v>
      </c>
      <c r="D1506" s="2" t="str">
        <f t="shared" si="22"/>
        <v>Error?</v>
      </c>
    </row>
    <row r="1507" spans="1:4" x14ac:dyDescent="0.2">
      <c r="A1507" s="10">
        <v>1446</v>
      </c>
      <c r="D1507" s="2" t="str">
        <f t="shared" si="22"/>
        <v>OK</v>
      </c>
    </row>
    <row r="1508" spans="1:4" x14ac:dyDescent="0.2">
      <c r="A1508" s="5">
        <v>1447</v>
      </c>
      <c r="B1508" s="138">
        <f>'Expenditures 15-22'!K277</f>
        <v>21301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779697</v>
      </c>
      <c r="C1510" s="2" t="s">
        <v>573</v>
      </c>
      <c r="D1510" s="2" t="str">
        <f t="shared" si="22"/>
        <v>Error?</v>
      </c>
    </row>
    <row r="1511" spans="1:4" x14ac:dyDescent="0.2">
      <c r="A1511" s="5">
        <v>1450</v>
      </c>
      <c r="B1511" s="138">
        <f>'Expenditures 15-22'!K280</f>
        <v>1381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1300415</v>
      </c>
      <c r="C1517" s="2" t="s">
        <v>573</v>
      </c>
      <c r="D1517" s="2" t="str">
        <f t="shared" si="22"/>
        <v>Error?</v>
      </c>
    </row>
    <row r="1518" spans="1:4" x14ac:dyDescent="0.2">
      <c r="A1518" s="5">
        <v>1457</v>
      </c>
      <c r="B1518" s="138">
        <f>'Expenditures 15-22'!K296</f>
        <v>-396697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13852901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13852901</v>
      </c>
      <c r="C1547" s="2" t="s">
        <v>573</v>
      </c>
      <c r="D1547" s="2" t="str">
        <f t="shared" si="23"/>
        <v>Error?</v>
      </c>
    </row>
    <row r="1548" spans="1:4" x14ac:dyDescent="0.2">
      <c r="A1548" s="5">
        <v>1487</v>
      </c>
      <c r="B1548" s="138">
        <f>'Expenditures 15-22'!G312</f>
        <v>13852901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13852901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13852901</v>
      </c>
      <c r="C1559" s="2" t="s">
        <v>573</v>
      </c>
      <c r="D1559" s="2" t="str">
        <f t="shared" si="23"/>
        <v>Error?</v>
      </c>
    </row>
    <row r="1560" spans="1:4" x14ac:dyDescent="0.2">
      <c r="A1560" s="5">
        <v>1499</v>
      </c>
      <c r="B1560" s="138">
        <f>'Expenditures 15-22'!K312</f>
        <v>13852901</v>
      </c>
      <c r="C1560" s="2" t="s">
        <v>573</v>
      </c>
      <c r="D1560" s="2" t="str">
        <f t="shared" si="23"/>
        <v>Error?</v>
      </c>
    </row>
    <row r="1561" spans="1:4" x14ac:dyDescent="0.2">
      <c r="A1561" s="5">
        <v>1500</v>
      </c>
      <c r="B1561" s="138">
        <f>'Expenditures 15-22'!K313</f>
        <v>-13852898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54460786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44349477</v>
      </c>
      <c r="C1630" s="2" t="s">
        <v>573</v>
      </c>
      <c r="D1630" s="2" t="str">
        <f t="shared" si="24"/>
        <v>Error?</v>
      </c>
    </row>
    <row r="1631" spans="1:4" x14ac:dyDescent="0.2">
      <c r="A1631" s="5">
        <v>1570</v>
      </c>
      <c r="B1631" s="138">
        <f>'Acct Summary 7-8'!D79</f>
        <v>3669395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4924929</v>
      </c>
      <c r="C1644" s="2" t="s">
        <v>573</v>
      </c>
      <c r="D1644" s="2" t="str">
        <f t="shared" si="24"/>
        <v>Error?</v>
      </c>
    </row>
    <row r="1645" spans="1:4" x14ac:dyDescent="0.2">
      <c r="A1645" s="5">
        <v>1584</v>
      </c>
      <c r="B1645" s="138">
        <f>'Acct Summary 7-8'!E79</f>
        <v>2198301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2263307</v>
      </c>
      <c r="C1658" s="2" t="s">
        <v>573</v>
      </c>
      <c r="D1658" s="2" t="str">
        <f t="shared" si="24"/>
        <v>Error?</v>
      </c>
    </row>
    <row r="1659" spans="1:4" x14ac:dyDescent="0.2">
      <c r="A1659" s="5">
        <v>1598</v>
      </c>
      <c r="B1659" s="138">
        <f>'Acct Summary 7-8'!F79</f>
        <v>13173624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13147866</v>
      </c>
      <c r="C1672" s="2" t="s">
        <v>573</v>
      </c>
      <c r="D1672" s="2" t="str">
        <f t="shared" si="25"/>
        <v>Error?</v>
      </c>
    </row>
    <row r="1673" spans="1:4" x14ac:dyDescent="0.2">
      <c r="A1673" s="5">
        <v>1612</v>
      </c>
      <c r="B1673" s="138">
        <f>'Acct Summary 7-8'!G79</f>
        <v>4097077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3724960</v>
      </c>
      <c r="C1686" s="2" t="s">
        <v>573</v>
      </c>
      <c r="D1686" s="2" t="str">
        <f t="shared" si="25"/>
        <v>Error?</v>
      </c>
    </row>
    <row r="1687" spans="1:4" x14ac:dyDescent="0.2">
      <c r="A1687" s="5">
        <v>1626</v>
      </c>
      <c r="B1687" s="138">
        <f>'Acct Summary 7-8'!H79</f>
        <v>2651745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2798859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25915639</v>
      </c>
      <c r="C1744" s="2" t="s">
        <v>573</v>
      </c>
      <c r="D1744" s="2" t="str">
        <f t="shared" si="26"/>
        <v>Error?</v>
      </c>
    </row>
    <row r="1745" spans="1:5" x14ac:dyDescent="0.2">
      <c r="A1745" s="5">
        <v>1684</v>
      </c>
      <c r="B1745" s="138">
        <f>'Tax Sched 23'!B5</f>
        <v>3790168</v>
      </c>
      <c r="C1745" s="2" t="s">
        <v>573</v>
      </c>
      <c r="D1745" s="2" t="str">
        <f t="shared" si="26"/>
        <v>Error?</v>
      </c>
    </row>
    <row r="1746" spans="1:5" x14ac:dyDescent="0.2">
      <c r="A1746" s="5">
        <v>1685</v>
      </c>
      <c r="B1746" s="138">
        <f>'Tax Sched 23'!B6</f>
        <v>1899313</v>
      </c>
      <c r="C1746" s="2" t="s">
        <v>573</v>
      </c>
      <c r="D1746" s="2" t="str">
        <f t="shared" si="26"/>
        <v>Error?</v>
      </c>
    </row>
    <row r="1747" spans="1:5" x14ac:dyDescent="0.2">
      <c r="A1747" s="5">
        <v>1686</v>
      </c>
      <c r="B1747" s="138">
        <f>'Tax Sched 23'!B7</f>
        <v>1147682</v>
      </c>
      <c r="C1747" s="2" t="s">
        <v>573</v>
      </c>
      <c r="D1747" s="2" t="str">
        <f t="shared" si="26"/>
        <v>Error?</v>
      </c>
    </row>
    <row r="1748" spans="1:5" x14ac:dyDescent="0.2">
      <c r="A1748" s="5">
        <v>1687</v>
      </c>
      <c r="B1748" s="138">
        <f>'Tax Sched 23'!B8</f>
        <v>268240</v>
      </c>
      <c r="C1748" s="2" t="s">
        <v>573</v>
      </c>
      <c r="D1748" s="2" t="str">
        <f t="shared" si="26"/>
        <v>Error?</v>
      </c>
    </row>
    <row r="1749" spans="1:5" x14ac:dyDescent="0.2">
      <c r="A1749" s="5">
        <v>1688</v>
      </c>
      <c r="B1749" s="138">
        <f>'Tax Sched 23'!B10</f>
        <v>264687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324315</v>
      </c>
      <c r="C1752" s="2" t="s">
        <v>573</v>
      </c>
      <c r="D1752" s="2" t="str">
        <f t="shared" si="26"/>
        <v>Error?</v>
      </c>
    </row>
    <row r="1753" spans="1:5" x14ac:dyDescent="0.2">
      <c r="A1753" s="5">
        <v>1692</v>
      </c>
      <c r="B1753" s="138">
        <f>'Tax Sched 23'!B12</f>
        <v>680909</v>
      </c>
      <c r="C1753" s="2" t="s">
        <v>573</v>
      </c>
      <c r="D1753" s="2" t="str">
        <f t="shared" si="26"/>
        <v>Error?</v>
      </c>
    </row>
    <row r="1754" spans="1:5" x14ac:dyDescent="0.2">
      <c r="A1754" s="5">
        <v>1693</v>
      </c>
      <c r="B1754" s="138">
        <f>'Tax Sched 23'!B14</f>
        <v>2754730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37349741</v>
      </c>
      <c r="C1759" s="2" t="s">
        <v>573</v>
      </c>
      <c r="D1759" s="2" t="str">
        <f t="shared" si="26"/>
        <v>Error?</v>
      </c>
    </row>
    <row r="1760" spans="1:5" x14ac:dyDescent="0.2">
      <c r="A1760" s="5">
        <v>1699</v>
      </c>
      <c r="B1760" s="138">
        <f>'Tax Sched 23'!D4</f>
        <v>12034115</v>
      </c>
      <c r="C1760" s="2" t="s">
        <v>573</v>
      </c>
      <c r="D1760" s="2" t="str">
        <f t="shared" si="26"/>
        <v>Error?</v>
      </c>
    </row>
    <row r="1761" spans="1:5" x14ac:dyDescent="0.2">
      <c r="A1761" s="5">
        <v>1700</v>
      </c>
      <c r="B1761" s="138">
        <f>'Tax Sched 23'!D5</f>
        <v>1849506</v>
      </c>
      <c r="C1761" s="2" t="s">
        <v>573</v>
      </c>
      <c r="D1761" s="2" t="str">
        <f t="shared" si="26"/>
        <v>Error?</v>
      </c>
    </row>
    <row r="1762" spans="1:5" s="8" customFormat="1" x14ac:dyDescent="0.2">
      <c r="A1762" s="5">
        <v>1701</v>
      </c>
      <c r="B1762" s="138">
        <f>'Tax Sched 23'!D6</f>
        <v>931887</v>
      </c>
      <c r="C1762" s="2" t="s">
        <v>573</v>
      </c>
      <c r="D1762" s="2" t="str">
        <f t="shared" si="26"/>
        <v>Error?</v>
      </c>
      <c r="E1762" s="9"/>
    </row>
    <row r="1763" spans="1:5" x14ac:dyDescent="0.2">
      <c r="A1763" s="5">
        <v>1702</v>
      </c>
      <c r="B1763" s="138">
        <f>'Tax Sched 23'!D7</f>
        <v>713206</v>
      </c>
      <c r="C1763" s="2" t="s">
        <v>573</v>
      </c>
      <c r="D1763" s="2" t="str">
        <f t="shared" si="26"/>
        <v>Error?</v>
      </c>
    </row>
    <row r="1764" spans="1:5" x14ac:dyDescent="0.2">
      <c r="A1764" s="5">
        <v>1703</v>
      </c>
      <c r="B1764" s="138">
        <f>'Tax Sched 23'!D8</f>
        <v>159621</v>
      </c>
      <c r="C1764" s="2" t="s">
        <v>573</v>
      </c>
      <c r="D1764" s="2" t="str">
        <f t="shared" si="26"/>
        <v>Error?</v>
      </c>
    </row>
    <row r="1765" spans="1:5" x14ac:dyDescent="0.2">
      <c r="A1765" s="5">
        <v>1704</v>
      </c>
      <c r="B1765" s="138">
        <f>'Tax Sched 23'!D10</f>
        <v>168137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179490</v>
      </c>
      <c r="C1768" s="2" t="s">
        <v>573</v>
      </c>
      <c r="D1768" s="2" t="str">
        <f t="shared" si="26"/>
        <v>Error?</v>
      </c>
    </row>
    <row r="1769" spans="1:5" x14ac:dyDescent="0.2">
      <c r="A1769" s="5">
        <v>1708</v>
      </c>
      <c r="B1769" s="138">
        <f>'Tax Sched 23'!D12</f>
        <v>340569</v>
      </c>
      <c r="C1769" s="2" t="s">
        <v>573</v>
      </c>
      <c r="D1769" s="2" t="str">
        <f t="shared" si="26"/>
        <v>Error?</v>
      </c>
    </row>
    <row r="1770" spans="1:5" x14ac:dyDescent="0.2">
      <c r="A1770" s="5">
        <v>1709</v>
      </c>
      <c r="B1770" s="138">
        <f>'Tax Sched 23'!D14</f>
        <v>1345095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17904996</v>
      </c>
      <c r="C1775" s="2" t="s">
        <v>573</v>
      </c>
      <c r="D1775" s="2" t="str">
        <f t="shared" si="26"/>
        <v>Error?</v>
      </c>
    </row>
    <row r="1776" spans="1:5" x14ac:dyDescent="0.2">
      <c r="A1776" s="5">
        <v>1715</v>
      </c>
      <c r="B1776" s="138">
        <f>'Tax Sched 23'!C4</f>
        <v>13881524</v>
      </c>
      <c r="D1776" s="2" t="str">
        <f t="shared" si="26"/>
        <v>Error?</v>
      </c>
    </row>
    <row r="1777" spans="1:4" x14ac:dyDescent="0.2">
      <c r="A1777" s="5">
        <v>1716</v>
      </c>
      <c r="B1777" s="138">
        <f>'Tax Sched 23'!C5</f>
        <v>1940662</v>
      </c>
      <c r="D1777" s="2" t="str">
        <f t="shared" si="26"/>
        <v>Error?</v>
      </c>
    </row>
    <row r="1778" spans="1:4" x14ac:dyDescent="0.2">
      <c r="A1778" s="5">
        <v>1717</v>
      </c>
      <c r="B1778" s="138">
        <f>'Tax Sched 23'!C6</f>
        <v>967426</v>
      </c>
      <c r="D1778" s="2" t="str">
        <f t="shared" si="26"/>
        <v>Error?</v>
      </c>
    </row>
    <row r="1779" spans="1:4" x14ac:dyDescent="0.2">
      <c r="A1779" s="5">
        <v>1718</v>
      </c>
      <c r="B1779" s="138">
        <f>'Tax Sched 23'!C7</f>
        <v>434476</v>
      </c>
      <c r="D1779" s="2" t="str">
        <f t="shared" si="26"/>
        <v>Error?</v>
      </c>
    </row>
    <row r="1780" spans="1:4" x14ac:dyDescent="0.2">
      <c r="A1780" s="5">
        <v>1719</v>
      </c>
      <c r="B1780" s="138">
        <f>'Tax Sched 23'!C8</f>
        <v>108619</v>
      </c>
      <c r="D1780" s="2" t="str">
        <f t="shared" si="26"/>
        <v>Error?</v>
      </c>
    </row>
    <row r="1781" spans="1:4" x14ac:dyDescent="0.2">
      <c r="A1781" s="5">
        <v>1720</v>
      </c>
      <c r="B1781" s="138">
        <f>'Tax Sched 23'!C10</f>
        <v>96550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144825</v>
      </c>
      <c r="D1784" s="2" t="str">
        <f t="shared" si="26"/>
        <v>Error?</v>
      </c>
    </row>
    <row r="1785" spans="1:4" x14ac:dyDescent="0.2">
      <c r="A1785" s="5">
        <v>1724</v>
      </c>
      <c r="B1785" s="138">
        <f>'Tax Sched 23'!C12</f>
        <v>340340</v>
      </c>
      <c r="D1785" s="2" t="str">
        <f t="shared" si="26"/>
        <v>Error?</v>
      </c>
    </row>
    <row r="1786" spans="1:4" x14ac:dyDescent="0.2">
      <c r="A1786" s="5">
        <v>1725</v>
      </c>
      <c r="B1786" s="138">
        <f>'Tax Sched 23'!C14</f>
        <v>1409635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19444745</v>
      </c>
      <c r="C1791" s="2" t="s">
        <v>573</v>
      </c>
      <c r="D1791" s="2" t="str">
        <f t="shared" ref="D1791:D1854" si="27">IF(ISBLANK(B1791),"OK",IF(A1791-B1791=0,"OK","Error?"))</f>
        <v>Error?</v>
      </c>
    </row>
    <row r="1792" spans="1:4" x14ac:dyDescent="0.2">
      <c r="A1792" s="5">
        <v>1731</v>
      </c>
      <c r="B1792" s="138">
        <f>'Tax Sched 23'!F4</f>
        <v>14605987</v>
      </c>
      <c r="C1792" s="2" t="s">
        <v>573</v>
      </c>
      <c r="D1792" s="2" t="str">
        <f t="shared" si="27"/>
        <v>Error?</v>
      </c>
    </row>
    <row r="1793" spans="1:4" x14ac:dyDescent="0.2">
      <c r="A1793" s="5">
        <v>1732</v>
      </c>
      <c r="B1793" s="138">
        <f>'Tax Sched 23'!F5</f>
        <v>1993367</v>
      </c>
      <c r="C1793" s="2" t="s">
        <v>573</v>
      </c>
      <c r="D1793" s="2" t="str">
        <f t="shared" si="27"/>
        <v>Error?</v>
      </c>
    </row>
    <row r="1794" spans="1:4" x14ac:dyDescent="0.2">
      <c r="A1794" s="5">
        <v>1733</v>
      </c>
      <c r="B1794" s="138">
        <f>'Tax Sched 23'!F6</f>
        <v>1076496</v>
      </c>
      <c r="C1794" s="2" t="s">
        <v>573</v>
      </c>
      <c r="D1794" s="2" t="str">
        <f t="shared" si="27"/>
        <v>Error?</v>
      </c>
    </row>
    <row r="1795" spans="1:4" x14ac:dyDescent="0.2">
      <c r="A1795" s="5">
        <v>1734</v>
      </c>
      <c r="B1795" s="138">
        <f>'Tax Sched 23'!F7</f>
        <v>465524</v>
      </c>
      <c r="C1795" s="2" t="s">
        <v>573</v>
      </c>
      <c r="D1795" s="2" t="str">
        <f t="shared" si="27"/>
        <v>Error?</v>
      </c>
    </row>
    <row r="1796" spans="1:4" x14ac:dyDescent="0.2">
      <c r="A1796" s="5">
        <v>1735</v>
      </c>
      <c r="B1796" s="138">
        <f>'Tax Sched 23'!F8</f>
        <v>123131</v>
      </c>
      <c r="C1796" s="2" t="s">
        <v>573</v>
      </c>
      <c r="D1796" s="2" t="str">
        <f t="shared" si="27"/>
        <v>Error?</v>
      </c>
    </row>
    <row r="1797" spans="1:4" x14ac:dyDescent="0.2">
      <c r="A1797" s="5">
        <v>1736</v>
      </c>
      <c r="B1797" s="138">
        <f>'Tax Sched 23'!F10</f>
        <v>109450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164175</v>
      </c>
      <c r="C1800" s="2" t="s">
        <v>573</v>
      </c>
      <c r="D1800" s="2" t="str">
        <f t="shared" si="27"/>
        <v>Error?</v>
      </c>
    </row>
    <row r="1801" spans="1:4" x14ac:dyDescent="0.2">
      <c r="A1801" s="5">
        <v>1740</v>
      </c>
      <c r="B1801" s="138">
        <f>'Tax Sched 23'!F12</f>
        <v>374938</v>
      </c>
      <c r="C1801" s="2" t="s">
        <v>573</v>
      </c>
      <c r="D1801" s="2" t="str">
        <f t="shared" si="27"/>
        <v>Error?</v>
      </c>
    </row>
    <row r="1802" spans="1:4" x14ac:dyDescent="0.2">
      <c r="A1802" s="5">
        <v>1741</v>
      </c>
      <c r="B1802" s="138">
        <f>'Tax Sched 23'!F14</f>
        <v>1451477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20501357</v>
      </c>
      <c r="C1807" s="2" t="s">
        <v>573</v>
      </c>
      <c r="D1807" s="2" t="str">
        <f t="shared" si="27"/>
        <v>Error?</v>
      </c>
    </row>
    <row r="1808" spans="1:4" x14ac:dyDescent="0.2">
      <c r="A1808" s="5">
        <v>1747</v>
      </c>
      <c r="B1808" s="138">
        <f>'Tax Sched 23'!E4</f>
        <v>28487511</v>
      </c>
      <c r="D1808" s="2" t="str">
        <f t="shared" si="27"/>
        <v>Error?</v>
      </c>
    </row>
    <row r="1809" spans="1:4" x14ac:dyDescent="0.2">
      <c r="A1809" s="5">
        <v>1748</v>
      </c>
      <c r="B1809" s="138">
        <f>'Tax Sched 23'!E5</f>
        <v>3934029</v>
      </c>
      <c r="D1809" s="2" t="str">
        <f t="shared" si="27"/>
        <v>Error?</v>
      </c>
    </row>
    <row r="1810" spans="1:4" x14ac:dyDescent="0.2">
      <c r="A1810" s="5">
        <v>1749</v>
      </c>
      <c r="B1810" s="138">
        <f>'Tax Sched 23'!E6</f>
        <v>2043922</v>
      </c>
      <c r="D1810" s="2" t="str">
        <f t="shared" si="27"/>
        <v>Error?</v>
      </c>
    </row>
    <row r="1811" spans="1:4" x14ac:dyDescent="0.2">
      <c r="A1811" s="5">
        <v>1750</v>
      </c>
      <c r="B1811" s="138">
        <f>'Tax Sched 23'!E7</f>
        <v>900000</v>
      </c>
      <c r="D1811" s="2" t="str">
        <f t="shared" si="27"/>
        <v>Error?</v>
      </c>
    </row>
    <row r="1812" spans="1:4" x14ac:dyDescent="0.2">
      <c r="A1812" s="5">
        <v>1751</v>
      </c>
      <c r="B1812" s="138">
        <f>'Tax Sched 23'!E8</f>
        <v>231750</v>
      </c>
      <c r="D1812" s="2" t="str">
        <f t="shared" si="27"/>
        <v>Error?</v>
      </c>
    </row>
    <row r="1813" spans="1:4" x14ac:dyDescent="0.2">
      <c r="A1813" s="5">
        <v>1752</v>
      </c>
      <c r="B1813" s="138">
        <f>'Tax Sched 23'!E10</f>
        <v>206000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309000</v>
      </c>
      <c r="D1816" s="2" t="str">
        <f t="shared" si="27"/>
        <v>Error?</v>
      </c>
    </row>
    <row r="1817" spans="1:4" x14ac:dyDescent="0.2">
      <c r="A1817" s="5">
        <v>1756</v>
      </c>
      <c r="B1817" s="138">
        <f>'Tax Sched 23'!E12</f>
        <v>715278</v>
      </c>
      <c r="D1817" s="2" t="str">
        <f t="shared" si="27"/>
        <v>Error?</v>
      </c>
    </row>
    <row r="1818" spans="1:4" x14ac:dyDescent="0.2">
      <c r="A1818" s="5">
        <v>1757</v>
      </c>
      <c r="B1818" s="138">
        <f>'Tax Sched 23'!E14</f>
        <v>2861112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39946102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37695000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2754730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2754730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2754730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4145831</v>
      </c>
      <c r="D2008" s="2" t="str">
        <f t="shared" si="30"/>
        <v>Error?</v>
      </c>
    </row>
    <row r="2009" spans="1:4" x14ac:dyDescent="0.2">
      <c r="A2009" s="5">
        <v>1948</v>
      </c>
      <c r="B2009" s="138">
        <f>'Cap Outlay Deprec 26'!C8</f>
        <v>107557729</v>
      </c>
      <c r="D2009" s="2" t="str">
        <f t="shared" si="30"/>
        <v>Error?</v>
      </c>
    </row>
    <row r="2010" spans="1:4" x14ac:dyDescent="0.2">
      <c r="A2010" s="5">
        <v>1949</v>
      </c>
      <c r="B2010" s="138">
        <f>'Cap Outlay Deprec 26'!C10</f>
        <v>2831755</v>
      </c>
      <c r="D2010" s="2" t="str">
        <f t="shared" si="30"/>
        <v>Error?</v>
      </c>
    </row>
    <row r="2011" spans="1:4" x14ac:dyDescent="0.2">
      <c r="A2011" s="5">
        <v>1950</v>
      </c>
      <c r="B2011" s="138">
        <f>'Cap Outlay Deprec 26'!C12</f>
        <v>10874660</v>
      </c>
      <c r="D2011" s="2" t="str">
        <f t="shared" si="30"/>
        <v>Error?</v>
      </c>
    </row>
    <row r="2012" spans="1:4" x14ac:dyDescent="0.2">
      <c r="A2012" s="5">
        <v>1951</v>
      </c>
      <c r="B2012" s="138">
        <f>'Cap Outlay Deprec 26'!C13</f>
        <v>3815470</v>
      </c>
      <c r="D2012" s="2" t="str">
        <f t="shared" si="30"/>
        <v>Error?</v>
      </c>
    </row>
    <row r="2013" spans="1:4" x14ac:dyDescent="0.2">
      <c r="A2013" s="5">
        <v>1952</v>
      </c>
      <c r="B2013" s="138">
        <f>'Cap Outlay Deprec 26'!C16</f>
        <v>130938791</v>
      </c>
      <c r="C2013" s="2" t="s">
        <v>573</v>
      </c>
      <c r="D2013" s="2" t="str">
        <f t="shared" si="30"/>
        <v>Error?</v>
      </c>
    </row>
    <row r="2014" spans="1:4" x14ac:dyDescent="0.2">
      <c r="A2014" s="5">
        <v>1953</v>
      </c>
      <c r="B2014" s="138">
        <f>'Cap Outlay Deprec 26'!D5</f>
        <v>953779</v>
      </c>
      <c r="D2014" s="2" t="str">
        <f t="shared" si="30"/>
        <v>Error?</v>
      </c>
    </row>
    <row r="2015" spans="1:4" x14ac:dyDescent="0.2">
      <c r="A2015" s="5">
        <v>1954</v>
      </c>
      <c r="B2015" s="138">
        <f>'Cap Outlay Deprec 26'!D8</f>
        <v>338873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197267</v>
      </c>
      <c r="D2017" s="2" t="str">
        <f t="shared" si="30"/>
        <v>Error?</v>
      </c>
    </row>
    <row r="2018" spans="1:4" x14ac:dyDescent="0.2">
      <c r="A2018" s="5">
        <v>1957</v>
      </c>
      <c r="B2018" s="138">
        <f>'Cap Outlay Deprec 26'!D13</f>
        <v>272159</v>
      </c>
      <c r="D2018" s="2" t="str">
        <f t="shared" si="30"/>
        <v>Error?</v>
      </c>
    </row>
    <row r="2019" spans="1:4" x14ac:dyDescent="0.2">
      <c r="A2019" s="5">
        <v>1958</v>
      </c>
      <c r="B2019" s="138">
        <f>'Cap Outlay Deprec 26'!D16</f>
        <v>18462653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5099610</v>
      </c>
      <c r="C2026" s="2" t="s">
        <v>573</v>
      </c>
      <c r="D2026" s="2" t="str">
        <f t="shared" si="30"/>
        <v>Error?</v>
      </c>
    </row>
    <row r="2027" spans="1:4" x14ac:dyDescent="0.2">
      <c r="A2027" s="5">
        <v>1966</v>
      </c>
      <c r="B2027" s="138">
        <f>'Cap Outlay Deprec 26'!F8</f>
        <v>107896602</v>
      </c>
      <c r="C2027" s="2" t="s">
        <v>573</v>
      </c>
      <c r="D2027" s="2" t="str">
        <f t="shared" si="30"/>
        <v>Error?</v>
      </c>
    </row>
    <row r="2028" spans="1:4" x14ac:dyDescent="0.2">
      <c r="A2028" s="5">
        <v>1967</v>
      </c>
      <c r="B2028" s="138">
        <f>'Cap Outlay Deprec 26'!F10</f>
        <v>2831755</v>
      </c>
      <c r="C2028" s="2" t="s">
        <v>573</v>
      </c>
      <c r="D2028" s="2" t="str">
        <f t="shared" si="30"/>
        <v>Error?</v>
      </c>
    </row>
    <row r="2029" spans="1:4" x14ac:dyDescent="0.2">
      <c r="A2029" s="5">
        <v>1968</v>
      </c>
      <c r="B2029" s="138">
        <f>'Cap Outlay Deprec 26'!F12</f>
        <v>11071927</v>
      </c>
      <c r="C2029" s="2" t="s">
        <v>573</v>
      </c>
      <c r="D2029" s="2" t="str">
        <f t="shared" si="30"/>
        <v>Error?</v>
      </c>
    </row>
    <row r="2030" spans="1:4" x14ac:dyDescent="0.2">
      <c r="A2030" s="5">
        <v>1969</v>
      </c>
      <c r="B2030" s="138">
        <f>'Cap Outlay Deprec 26'!F13</f>
        <v>4087629</v>
      </c>
      <c r="C2030" s="2" t="s">
        <v>573</v>
      </c>
      <c r="D2030" s="2" t="str">
        <f t="shared" si="30"/>
        <v>Error?</v>
      </c>
    </row>
    <row r="2031" spans="1:4" x14ac:dyDescent="0.2">
      <c r="A2031" s="5">
        <v>1970</v>
      </c>
      <c r="B2031" s="138">
        <f>'Cap Outlay Deprec 26'!F16</f>
        <v>149401444</v>
      </c>
      <c r="C2031" s="2" t="s">
        <v>573</v>
      </c>
      <c r="D2031" s="2" t="str">
        <f t="shared" si="30"/>
        <v>Error?</v>
      </c>
    </row>
    <row r="2032" spans="1:4" x14ac:dyDescent="0.2">
      <c r="A2032" s="10">
        <v>1971</v>
      </c>
      <c r="D2032" s="2" t="str">
        <f t="shared" si="30"/>
        <v>OK</v>
      </c>
    </row>
    <row r="2033" spans="1:4" x14ac:dyDescent="0.2">
      <c r="A2033" s="5">
        <v>1972</v>
      </c>
      <c r="B2033" s="138">
        <f>'Cap Outlay Deprec 26'!H8</f>
        <v>54676329</v>
      </c>
      <c r="D2033" s="2" t="str">
        <f t="shared" si="30"/>
        <v>Error?</v>
      </c>
    </row>
    <row r="2034" spans="1:4" x14ac:dyDescent="0.2">
      <c r="A2034" s="5">
        <v>1973</v>
      </c>
      <c r="B2034" s="138">
        <f>'Cap Outlay Deprec 26'!H10</f>
        <v>590096</v>
      </c>
      <c r="D2034" s="2" t="str">
        <f t="shared" si="30"/>
        <v>Error?</v>
      </c>
    </row>
    <row r="2035" spans="1:4" x14ac:dyDescent="0.2">
      <c r="A2035" s="5">
        <v>1974</v>
      </c>
      <c r="B2035" s="138">
        <f>'Cap Outlay Deprec 26'!H12</f>
        <v>8076463</v>
      </c>
      <c r="D2035" s="2" t="str">
        <f t="shared" si="30"/>
        <v>Error?</v>
      </c>
    </row>
    <row r="2036" spans="1:4" x14ac:dyDescent="0.2">
      <c r="A2036" s="5">
        <v>1975</v>
      </c>
      <c r="B2036" s="138">
        <f>'Cap Outlay Deprec 26'!H13</f>
        <v>3299037</v>
      </c>
      <c r="D2036" s="2" t="str">
        <f t="shared" si="30"/>
        <v>Error?</v>
      </c>
    </row>
    <row r="2037" spans="1:4" x14ac:dyDescent="0.2">
      <c r="A2037" s="5">
        <v>1976</v>
      </c>
      <c r="B2037" s="138">
        <f>'Cap Outlay Deprec 26'!H16</f>
        <v>66641925</v>
      </c>
      <c r="C2037" s="2" t="s">
        <v>573</v>
      </c>
      <c r="D2037" s="2" t="str">
        <f t="shared" si="30"/>
        <v>Error?</v>
      </c>
    </row>
    <row r="2038" spans="1:4" x14ac:dyDescent="0.2">
      <c r="A2038" s="10">
        <v>1977</v>
      </c>
      <c r="D2038" s="2" t="str">
        <f t="shared" si="30"/>
        <v>OK</v>
      </c>
    </row>
    <row r="2039" spans="1:4" x14ac:dyDescent="0.2">
      <c r="A2039" s="5">
        <v>1978</v>
      </c>
      <c r="B2039" s="138">
        <f>'Cap Outlay Deprec 26'!I8</f>
        <v>2148882</v>
      </c>
      <c r="D2039" s="2" t="str">
        <f t="shared" si="30"/>
        <v>Error?</v>
      </c>
    </row>
    <row r="2040" spans="1:4" x14ac:dyDescent="0.2">
      <c r="A2040" s="5">
        <v>1979</v>
      </c>
      <c r="B2040" s="138">
        <f>'Cap Outlay Deprec 26'!I10</f>
        <v>139742</v>
      </c>
      <c r="D2040" s="2" t="str">
        <f t="shared" si="30"/>
        <v>Error?</v>
      </c>
    </row>
    <row r="2041" spans="1:4" x14ac:dyDescent="0.2">
      <c r="A2041" s="5">
        <v>1980</v>
      </c>
      <c r="B2041" s="138">
        <f>'Cap Outlay Deprec 26'!I12</f>
        <v>647554</v>
      </c>
      <c r="D2041" s="2" t="str">
        <f t="shared" si="30"/>
        <v>Error?</v>
      </c>
    </row>
    <row r="2042" spans="1:4" x14ac:dyDescent="0.2">
      <c r="A2042" s="5">
        <v>1981</v>
      </c>
      <c r="B2042" s="138">
        <f>'Cap Outlay Deprec 26'!I13</f>
        <v>173558</v>
      </c>
      <c r="D2042" s="2" t="str">
        <f t="shared" si="30"/>
        <v>Error?</v>
      </c>
    </row>
    <row r="2043" spans="1:4" x14ac:dyDescent="0.2">
      <c r="A2043" s="5">
        <v>1982</v>
      </c>
      <c r="B2043" s="138">
        <f>'Cap Outlay Deprec 26'!I16</f>
        <v>3109736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56825211</v>
      </c>
      <c r="C2051" s="2" t="s">
        <v>573</v>
      </c>
      <c r="D2051" s="2" t="str">
        <f t="shared" si="31"/>
        <v>Error?</v>
      </c>
    </row>
    <row r="2052" spans="1:4" x14ac:dyDescent="0.2">
      <c r="A2052" s="5">
        <v>1991</v>
      </c>
      <c r="B2052" s="138">
        <f>'Cap Outlay Deprec 26'!K10</f>
        <v>729838</v>
      </c>
      <c r="C2052" s="2" t="s">
        <v>573</v>
      </c>
      <c r="D2052" s="2" t="str">
        <f t="shared" si="31"/>
        <v>Error?</v>
      </c>
    </row>
    <row r="2053" spans="1:4" x14ac:dyDescent="0.2">
      <c r="A2053" s="5">
        <v>1992</v>
      </c>
      <c r="B2053" s="138">
        <f>'Cap Outlay Deprec 26'!K12</f>
        <v>8724017</v>
      </c>
      <c r="C2053" s="2" t="s">
        <v>573</v>
      </c>
      <c r="D2053" s="2" t="str">
        <f t="shared" si="31"/>
        <v>Error?</v>
      </c>
    </row>
    <row r="2054" spans="1:4" x14ac:dyDescent="0.2">
      <c r="A2054" s="5">
        <v>1993</v>
      </c>
      <c r="B2054" s="138">
        <f>'Cap Outlay Deprec 26'!K13</f>
        <v>3472595</v>
      </c>
      <c r="C2054" s="2" t="s">
        <v>573</v>
      </c>
      <c r="D2054" s="2" t="str">
        <f t="shared" si="31"/>
        <v>Error?</v>
      </c>
    </row>
    <row r="2055" spans="1:4" x14ac:dyDescent="0.2">
      <c r="A2055" s="5">
        <v>1994</v>
      </c>
      <c r="B2055" s="138">
        <f>'Cap Outlay Deprec 26'!K16</f>
        <v>69751661</v>
      </c>
      <c r="C2055" s="2" t="s">
        <v>573</v>
      </c>
      <c r="D2055" s="2" t="str">
        <f t="shared" si="31"/>
        <v>Error?</v>
      </c>
    </row>
    <row r="2056" spans="1:4" x14ac:dyDescent="0.2">
      <c r="A2056" s="5">
        <v>1995</v>
      </c>
      <c r="B2056" s="138">
        <f>'Cap Outlay Deprec 26'!L5</f>
        <v>5099610</v>
      </c>
      <c r="C2056" s="2" t="s">
        <v>573</v>
      </c>
      <c r="D2056" s="2" t="str">
        <f t="shared" si="31"/>
        <v>Error?</v>
      </c>
    </row>
    <row r="2057" spans="1:4" x14ac:dyDescent="0.2">
      <c r="A2057" s="5">
        <v>1996</v>
      </c>
      <c r="B2057" s="138">
        <f>'Cap Outlay Deprec 26'!L8</f>
        <v>51071391</v>
      </c>
      <c r="C2057" s="2" t="s">
        <v>573</v>
      </c>
      <c r="D2057" s="2" t="str">
        <f t="shared" si="31"/>
        <v>Error?</v>
      </c>
    </row>
    <row r="2058" spans="1:4" x14ac:dyDescent="0.2">
      <c r="A2058" s="5">
        <v>1997</v>
      </c>
      <c r="B2058" s="138">
        <f>'Cap Outlay Deprec 26'!L10</f>
        <v>2101917</v>
      </c>
      <c r="C2058" s="2" t="s">
        <v>573</v>
      </c>
      <c r="D2058" s="2" t="str">
        <f t="shared" si="31"/>
        <v>Error?</v>
      </c>
    </row>
    <row r="2059" spans="1:4" x14ac:dyDescent="0.2">
      <c r="A2059" s="5">
        <v>1998</v>
      </c>
      <c r="B2059" s="138">
        <f>'Cap Outlay Deprec 26'!L12</f>
        <v>2347910</v>
      </c>
      <c r="C2059" s="2" t="s">
        <v>573</v>
      </c>
      <c r="D2059" s="2" t="str">
        <f t="shared" si="31"/>
        <v>Error?</v>
      </c>
    </row>
    <row r="2060" spans="1:4" x14ac:dyDescent="0.2">
      <c r="A2060" s="5">
        <v>1999</v>
      </c>
      <c r="B2060" s="138">
        <f>'Cap Outlay Deprec 26'!L13</f>
        <v>615034</v>
      </c>
      <c r="C2060" s="2" t="s">
        <v>573</v>
      </c>
      <c r="D2060" s="2" t="str">
        <f t="shared" si="31"/>
        <v>Error?</v>
      </c>
    </row>
    <row r="2061" spans="1:4" x14ac:dyDescent="0.2">
      <c r="A2061" s="5">
        <v>2000</v>
      </c>
      <c r="B2061" s="138">
        <f>'Cap Outlay Deprec 26'!L16</f>
        <v>79649783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435732</v>
      </c>
      <c r="C2088" s="2" t="s">
        <v>573</v>
      </c>
      <c r="D2088" s="2" t="str">
        <f t="shared" si="31"/>
        <v>Error?</v>
      </c>
    </row>
    <row r="2089" spans="1:4" x14ac:dyDescent="0.2">
      <c r="A2089" s="5">
        <v>2028</v>
      </c>
      <c r="B2089" s="138">
        <f>'Expenditures 15-22'!K92</f>
        <v>546679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31374532</v>
      </c>
      <c r="C2551" s="2" t="s">
        <v>573</v>
      </c>
      <c r="D2551" s="2" t="str">
        <f t="shared" si="38"/>
        <v>Error?</v>
      </c>
    </row>
    <row r="2552" spans="1:4" x14ac:dyDescent="0.2">
      <c r="A2552" s="10">
        <v>2491</v>
      </c>
      <c r="D2552" s="2" t="str">
        <f t="shared" si="38"/>
        <v>OK</v>
      </c>
    </row>
    <row r="2553" spans="1:4" x14ac:dyDescent="0.2">
      <c r="A2553" s="5">
        <v>2492</v>
      </c>
      <c r="B2553" s="138">
        <f>'Acct Summary 7-8'!C6</f>
        <v>7142668</v>
      </c>
      <c r="C2553" s="2" t="s">
        <v>573</v>
      </c>
      <c r="D2553" s="2" t="str">
        <f t="shared" si="38"/>
        <v>Error?</v>
      </c>
    </row>
    <row r="2554" spans="1:4" x14ac:dyDescent="0.2">
      <c r="A2554" s="5">
        <v>2493</v>
      </c>
      <c r="B2554" s="138">
        <f>'Acct Summary 7-8'!C7</f>
        <v>2929916</v>
      </c>
      <c r="C2554" s="2" t="s">
        <v>573</v>
      </c>
      <c r="D2554" s="2" t="str">
        <f t="shared" si="38"/>
        <v>Error?</v>
      </c>
    </row>
    <row r="2555" spans="1:4" x14ac:dyDescent="0.2">
      <c r="A2555" s="5">
        <v>2494</v>
      </c>
      <c r="B2555" s="138">
        <f>'Acct Summary 7-8'!C8</f>
        <v>41447116</v>
      </c>
      <c r="C2555" s="2" t="s">
        <v>573</v>
      </c>
      <c r="D2555" s="2" t="str">
        <f t="shared" si="38"/>
        <v>Error?</v>
      </c>
    </row>
    <row r="2556" spans="1:4" x14ac:dyDescent="0.2">
      <c r="A2556" s="5">
        <v>2495</v>
      </c>
      <c r="B2556" s="138">
        <f>'Acct Summary 7-8'!C12</f>
        <v>23232047</v>
      </c>
      <c r="C2556" s="2" t="s">
        <v>573</v>
      </c>
      <c r="D2556" s="2" t="str">
        <f t="shared" si="38"/>
        <v>Error?</v>
      </c>
    </row>
    <row r="2557" spans="1:4" x14ac:dyDescent="0.2">
      <c r="A2557" s="5">
        <v>2496</v>
      </c>
      <c r="B2557" s="138">
        <f>'Acct Summary 7-8'!C13</f>
        <v>11972889</v>
      </c>
      <c r="C2557" s="2" t="s">
        <v>573</v>
      </c>
      <c r="D2557" s="2" t="str">
        <f t="shared" si="38"/>
        <v>Error?</v>
      </c>
    </row>
    <row r="2558" spans="1:4" x14ac:dyDescent="0.2">
      <c r="A2558" s="5">
        <v>2497</v>
      </c>
      <c r="B2558" s="138">
        <f>'Acct Summary 7-8'!C14</f>
        <v>25551</v>
      </c>
      <c r="C2558" s="2" t="s">
        <v>573</v>
      </c>
      <c r="D2558" s="2" t="str">
        <f t="shared" si="38"/>
        <v>Error?</v>
      </c>
    </row>
    <row r="2559" spans="1:4" x14ac:dyDescent="0.2">
      <c r="A2559" s="5">
        <v>2498</v>
      </c>
      <c r="B2559" s="138">
        <f>'Acct Summary 7-8'!C15</f>
        <v>982411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36212898</v>
      </c>
      <c r="C2561" s="2" t="s">
        <v>573</v>
      </c>
      <c r="D2561" s="2" t="str">
        <f t="shared" si="39"/>
        <v>Error?</v>
      </c>
    </row>
    <row r="2562" spans="1:4" x14ac:dyDescent="0.2">
      <c r="A2562" s="5">
        <v>2501</v>
      </c>
      <c r="B2562" s="138">
        <f>'Acct Summary 7-8'!C20</f>
        <v>5234218</v>
      </c>
      <c r="C2562" s="2" t="s">
        <v>573</v>
      </c>
      <c r="D2562" s="2" t="str">
        <f t="shared" si="39"/>
        <v>Error?</v>
      </c>
    </row>
    <row r="2563" spans="1:4" x14ac:dyDescent="0.2">
      <c r="A2563" s="5">
        <v>2502</v>
      </c>
      <c r="B2563" s="138">
        <f>'Acct Summary 7-8'!C80</f>
        <v>364797</v>
      </c>
      <c r="D2563" s="2" t="str">
        <f t="shared" si="39"/>
        <v>Error?</v>
      </c>
    </row>
    <row r="2564" spans="1:4" x14ac:dyDescent="0.2">
      <c r="A2564" s="5">
        <v>2503</v>
      </c>
      <c r="B2564" s="138">
        <f>'Acct Summary 7-8'!D4</f>
        <v>6809466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6809466</v>
      </c>
      <c r="C2568" s="2" t="s">
        <v>573</v>
      </c>
      <c r="D2568" s="2" t="str">
        <f t="shared" si="39"/>
        <v>Error?</v>
      </c>
    </row>
    <row r="2569" spans="1:4" x14ac:dyDescent="0.2">
      <c r="A2569" s="5">
        <v>2508</v>
      </c>
      <c r="B2569" s="138">
        <f>'Acct Summary 7-8'!D13</f>
        <v>5582211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5582211</v>
      </c>
      <c r="C2573" s="2" t="s">
        <v>573</v>
      </c>
      <c r="D2573" s="2" t="str">
        <f t="shared" si="39"/>
        <v>Error?</v>
      </c>
    </row>
    <row r="2574" spans="1:4" x14ac:dyDescent="0.2">
      <c r="A2574" s="5">
        <v>2513</v>
      </c>
      <c r="B2574" s="138">
        <f>'Acct Summary 7-8'!D20</f>
        <v>1227255</v>
      </c>
      <c r="C2574" s="2" t="s">
        <v>573</v>
      </c>
      <c r="D2574" s="2" t="str">
        <f t="shared" si="39"/>
        <v>Error?</v>
      </c>
    </row>
    <row r="2575" spans="1:4" x14ac:dyDescent="0.2">
      <c r="A2575" s="5">
        <v>2514</v>
      </c>
      <c r="B2575" s="138">
        <f>'Acct Summary 7-8'!D80</f>
        <v>28279</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1227002</v>
      </c>
      <c r="C2591" s="2" t="s">
        <v>573</v>
      </c>
      <c r="D2591" s="2" t="str">
        <f t="shared" si="39"/>
        <v>Error?</v>
      </c>
    </row>
    <row r="2592" spans="1:4" x14ac:dyDescent="0.2">
      <c r="A2592" s="10">
        <v>2531</v>
      </c>
      <c r="D2592" s="2" t="str">
        <f t="shared" si="39"/>
        <v>OK</v>
      </c>
    </row>
    <row r="2593" spans="1:4" x14ac:dyDescent="0.2">
      <c r="A2593" s="5">
        <v>2532</v>
      </c>
      <c r="B2593" s="138">
        <f>'Acct Summary 7-8'!F6</f>
        <v>816214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2043216</v>
      </c>
      <c r="C2595" s="2" t="s">
        <v>573</v>
      </c>
      <c r="D2595" s="2" t="str">
        <f t="shared" si="39"/>
        <v>Error?</v>
      </c>
    </row>
    <row r="2596" spans="1:4" x14ac:dyDescent="0.2">
      <c r="A2596" s="5">
        <v>2535</v>
      </c>
      <c r="B2596" s="138">
        <f>'Acct Summary 7-8'!F13</f>
        <v>2168661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2168661</v>
      </c>
      <c r="C2600" s="2" t="s">
        <v>573</v>
      </c>
      <c r="D2600" s="2" t="str">
        <f t="shared" si="39"/>
        <v>Error?</v>
      </c>
    </row>
    <row r="2601" spans="1:4" x14ac:dyDescent="0.2">
      <c r="A2601" s="5">
        <v>2540</v>
      </c>
      <c r="B2601" s="138">
        <f>'Acct Summary 7-8'!F20</f>
        <v>-125445</v>
      </c>
      <c r="C2601" s="2" t="s">
        <v>573</v>
      </c>
      <c r="D2601" s="2" t="str">
        <f t="shared" si="39"/>
        <v>Error?</v>
      </c>
    </row>
    <row r="2602" spans="1:4" x14ac:dyDescent="0.2">
      <c r="A2602" s="5">
        <v>2541</v>
      </c>
      <c r="B2602" s="138">
        <f>'Acct Summary 7-8'!F80</f>
        <v>82187</v>
      </c>
      <c r="D2602" s="2" t="str">
        <f t="shared" si="39"/>
        <v>Error?</v>
      </c>
    </row>
    <row r="2603" spans="1:4" x14ac:dyDescent="0.2">
      <c r="A2603" s="5">
        <v>2542</v>
      </c>
      <c r="B2603" s="138">
        <f>'Acct Summary 7-8'!G4</f>
        <v>903718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903718</v>
      </c>
      <c r="C2606" s="2" t="s">
        <v>573</v>
      </c>
      <c r="D2606" s="2" t="str">
        <f t="shared" si="39"/>
        <v>Error?</v>
      </c>
    </row>
    <row r="2607" spans="1:4" x14ac:dyDescent="0.2">
      <c r="A2607" s="5">
        <v>2546</v>
      </c>
      <c r="B2607" s="138">
        <f>'Acct Summary 7-8'!G12</f>
        <v>519337</v>
      </c>
      <c r="C2607" s="2" t="s">
        <v>573</v>
      </c>
      <c r="D2607" s="2" t="str">
        <f t="shared" si="39"/>
        <v>Error?</v>
      </c>
    </row>
    <row r="2608" spans="1:4" x14ac:dyDescent="0.2">
      <c r="A2608" s="5">
        <v>2547</v>
      </c>
      <c r="B2608" s="138">
        <f>'Acct Summary 7-8'!G13</f>
        <v>779697</v>
      </c>
      <c r="C2608" s="2" t="s">
        <v>573</v>
      </c>
      <c r="D2608" s="2" t="str">
        <f t="shared" si="39"/>
        <v>Error?</v>
      </c>
    </row>
    <row r="2609" spans="1:4" x14ac:dyDescent="0.2">
      <c r="A2609" s="5">
        <v>2548</v>
      </c>
      <c r="B2609" s="138">
        <f>'Acct Summary 7-8'!G14</f>
        <v>1381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1300415</v>
      </c>
      <c r="C2612" s="2" t="s">
        <v>573</v>
      </c>
      <c r="D2612" s="2" t="str">
        <f t="shared" si="39"/>
        <v>Error?</v>
      </c>
    </row>
    <row r="2613" spans="1:4" x14ac:dyDescent="0.2">
      <c r="A2613" s="5">
        <v>2552</v>
      </c>
      <c r="B2613" s="138">
        <f>'Acct Summary 7-8'!G20</f>
        <v>-396697</v>
      </c>
      <c r="C2613" s="2" t="s">
        <v>573</v>
      </c>
      <c r="D2613" s="2" t="str">
        <f t="shared" si="39"/>
        <v>Error?</v>
      </c>
    </row>
    <row r="2614" spans="1:4" x14ac:dyDescent="0.2">
      <c r="A2614" s="5">
        <v>2553</v>
      </c>
      <c r="B2614" s="138">
        <f>'Acct Summary 7-8'!G80</f>
        <v>24580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1974478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1974478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3768935</v>
      </c>
      <c r="C2634" s="2" t="s">
        <v>573</v>
      </c>
      <c r="D2634" s="2" t="str">
        <f t="shared" si="40"/>
        <v>Error?</v>
      </c>
    </row>
    <row r="2635" spans="1:4" x14ac:dyDescent="0.2">
      <c r="A2635" s="5">
        <v>2574</v>
      </c>
      <c r="B2635" s="138">
        <f>'Acct Summary 7-8'!E17</f>
        <v>3768935</v>
      </c>
      <c r="C2635" s="2" t="s">
        <v>573</v>
      </c>
      <c r="D2635" s="2" t="str">
        <f t="shared" si="40"/>
        <v>Error?</v>
      </c>
    </row>
    <row r="2636" spans="1:4" x14ac:dyDescent="0.2">
      <c r="A2636" s="5">
        <v>2575</v>
      </c>
      <c r="B2636" s="138">
        <f>'Acct Summary 7-8'!E20</f>
        <v>-1794457</v>
      </c>
      <c r="C2636" s="2" t="s">
        <v>573</v>
      </c>
      <c r="D2636" s="2" t="str">
        <f t="shared" si="40"/>
        <v>Error?</v>
      </c>
    </row>
    <row r="2637" spans="1:4" x14ac:dyDescent="0.2">
      <c r="A2637" s="5">
        <v>2576</v>
      </c>
      <c r="B2637" s="138">
        <f>'Acct Summary 7-8'!E80</f>
        <v>5963</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v>
      </c>
      <c r="C2658" s="2" t="s">
        <v>573</v>
      </c>
      <c r="D2658" s="2" t="str">
        <f t="shared" si="40"/>
        <v>Error?</v>
      </c>
    </row>
    <row r="2659" spans="1:4" x14ac:dyDescent="0.2">
      <c r="A2659" s="5">
        <v>2598</v>
      </c>
      <c r="B2659" s="138">
        <f>'Acct Summary 7-8'!H13</f>
        <v>13852901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13852901</v>
      </c>
      <c r="C2661" s="2" t="s">
        <v>573</v>
      </c>
      <c r="D2661" s="2" t="str">
        <f t="shared" si="40"/>
        <v>Error?</v>
      </c>
    </row>
    <row r="2662" spans="1:4" x14ac:dyDescent="0.2">
      <c r="A2662" s="5">
        <v>2601</v>
      </c>
      <c r="B2662" s="138">
        <f>'Acct Summary 7-8'!H20</f>
        <v>-13852898</v>
      </c>
      <c r="C2662" s="2" t="s">
        <v>573</v>
      </c>
      <c r="D2662" s="2" t="str">
        <f t="shared" si="40"/>
        <v>Error?</v>
      </c>
    </row>
    <row r="2663" spans="1:4" x14ac:dyDescent="0.2">
      <c r="A2663" s="5">
        <v>2602</v>
      </c>
      <c r="B2663" s="138">
        <f>'Acct Summary 7-8'!H80</f>
        <v>12</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435732</v>
      </c>
      <c r="C2789" s="2" t="s">
        <v>573</v>
      </c>
      <c r="D2789" s="2" t="str">
        <f t="shared" si="42"/>
        <v>Error?</v>
      </c>
    </row>
    <row r="2790" spans="1:4" x14ac:dyDescent="0.2">
      <c r="A2790" s="5">
        <v>2729</v>
      </c>
      <c r="B2790" s="138">
        <f>'Expenditures 15-22'!E102</f>
        <v>435732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18413921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106167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2182363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132401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106167</v>
      </c>
      <c r="D2908" s="2" t="str">
        <f t="shared" si="44"/>
        <v>Error?</v>
      </c>
    </row>
    <row r="2909" spans="1:4" x14ac:dyDescent="0.2">
      <c r="A2909" s="10">
        <v>2848</v>
      </c>
      <c r="D2909" s="2" t="str">
        <f t="shared" si="44"/>
        <v>OK</v>
      </c>
    </row>
    <row r="2910" spans="1:4" x14ac:dyDescent="0.2">
      <c r="A2910" s="5">
        <v>2849</v>
      </c>
      <c r="B2910" s="138">
        <f>'Assets-Liab 5-6'!I34</f>
        <v>106167</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2076196</v>
      </c>
      <c r="D2912" s="2" t="str">
        <f t="shared" si="44"/>
        <v>Error?</v>
      </c>
    </row>
    <row r="2913" spans="1:4" x14ac:dyDescent="0.2">
      <c r="A2913" s="5">
        <v>2852</v>
      </c>
      <c r="B2913" s="138">
        <f>'Assets-Liab 5-6'!I41</f>
        <v>2182363</v>
      </c>
      <c r="C2913" s="2" t="s">
        <v>573</v>
      </c>
      <c r="D2913" s="2" t="str">
        <f t="shared" si="44"/>
        <v>Error?</v>
      </c>
    </row>
    <row r="2914" spans="1:4" x14ac:dyDescent="0.2">
      <c r="A2914" s="5">
        <v>2853</v>
      </c>
      <c r="B2914" s="138">
        <f>'Assets-Liab 5-6'!L33</f>
        <v>132401</v>
      </c>
      <c r="D2914" s="2" t="str">
        <f t="shared" si="44"/>
        <v>Error?</v>
      </c>
    </row>
    <row r="2915" spans="1:4" x14ac:dyDescent="0.2">
      <c r="A2915" s="10">
        <v>2854</v>
      </c>
      <c r="D2915" s="2" t="str">
        <f t="shared" si="44"/>
        <v>OK</v>
      </c>
    </row>
    <row r="2916" spans="1:4" x14ac:dyDescent="0.2">
      <c r="A2916" s="5">
        <v>2855</v>
      </c>
      <c r="B2916" s="138">
        <f>'Assets-Liab 5-6'!L34</f>
        <v>132401</v>
      </c>
      <c r="C2916" s="2" t="s">
        <v>573</v>
      </c>
      <c r="D2916" s="2" t="str">
        <f t="shared" si="44"/>
        <v>Error?</v>
      </c>
    </row>
    <row r="2917" spans="1:4" x14ac:dyDescent="0.2">
      <c r="A2917" s="5">
        <v>2856</v>
      </c>
      <c r="B2917" s="138">
        <f>'Assets-Liab 5-6'!L41</f>
        <v>132401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435732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435732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265673</v>
      </c>
      <c r="D3055" s="2" t="str">
        <f t="shared" si="46"/>
        <v>Error?</v>
      </c>
    </row>
    <row r="3056" spans="1:4" x14ac:dyDescent="0.2">
      <c r="A3056" s="5">
        <v>2995</v>
      </c>
      <c r="B3056" s="138">
        <f>'Expenditures 15-22'!D10</f>
        <v>84522</v>
      </c>
      <c r="D3056" s="2" t="str">
        <f t="shared" si="46"/>
        <v>Error?</v>
      </c>
    </row>
    <row r="3057" spans="1:4" x14ac:dyDescent="0.2">
      <c r="A3057" s="5">
        <v>2996</v>
      </c>
      <c r="B3057" s="138">
        <f>'Expenditures 15-22'!E10</f>
        <v>3345</v>
      </c>
      <c r="D3057" s="2" t="str">
        <f t="shared" si="46"/>
        <v>Error?</v>
      </c>
    </row>
    <row r="3058" spans="1:4" x14ac:dyDescent="0.2">
      <c r="A3058" s="5">
        <v>2997</v>
      </c>
      <c r="B3058" s="138">
        <f>'Expenditures 15-22'!F10</f>
        <v>104944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458484</v>
      </c>
      <c r="C3062" s="2" t="s">
        <v>573</v>
      </c>
      <c r="D3062" s="2" t="str">
        <f t="shared" si="46"/>
        <v>Error?</v>
      </c>
    </row>
    <row r="3063" spans="1:4" x14ac:dyDescent="0.2">
      <c r="A3063" s="10">
        <v>3002</v>
      </c>
      <c r="D3063" s="2" t="str">
        <f t="shared" si="46"/>
        <v>OK</v>
      </c>
    </row>
    <row r="3064" spans="1:4" x14ac:dyDescent="0.2">
      <c r="A3064" s="5">
        <v>3003</v>
      </c>
      <c r="B3064" s="138">
        <f>'Expenditures 15-22'!D219</f>
        <v>2492</v>
      </c>
      <c r="D3064" s="2" t="str">
        <f t="shared" si="46"/>
        <v>Error?</v>
      </c>
    </row>
    <row r="3065" spans="1:4" x14ac:dyDescent="0.2">
      <c r="A3065" s="5">
        <v>3004</v>
      </c>
      <c r="B3065" s="138">
        <f>'Expenditures 15-22'!K219</f>
        <v>2492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278892</v>
      </c>
      <c r="C3225" s="2" t="s">
        <v>573</v>
      </c>
      <c r="D3225" s="2" t="str">
        <f t="shared" si="49"/>
        <v>Error?</v>
      </c>
    </row>
    <row r="3226" spans="1:4" x14ac:dyDescent="0.2">
      <c r="A3226" s="5">
        <v>3165</v>
      </c>
      <c r="B3226" s="138">
        <f>'Acct Summary 7-8'!I8</f>
        <v>278892</v>
      </c>
      <c r="C3226" s="2" t="s">
        <v>573</v>
      </c>
      <c r="D3226" s="2" t="str">
        <f t="shared" si="49"/>
        <v>Error?</v>
      </c>
    </row>
    <row r="3227" spans="1:4" x14ac:dyDescent="0.2">
      <c r="A3227" s="5">
        <v>3166</v>
      </c>
      <c r="B3227" s="138">
        <f>'Acct Summary 7-8'!I20</f>
        <v>278892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143176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15853500</v>
      </c>
      <c r="C3231" s="2" t="s">
        <v>573</v>
      </c>
      <c r="D3231" s="2" t="str">
        <f t="shared" si="49"/>
        <v>Error?</v>
      </c>
    </row>
    <row r="3232" spans="1:4" x14ac:dyDescent="0.2">
      <c r="A3232" s="5">
        <v>3171</v>
      </c>
      <c r="B3232" s="138">
        <f>'Acct Summary 7-8'!C77</f>
        <v>-15710324</v>
      </c>
      <c r="C3232" s="2" t="s">
        <v>573</v>
      </c>
      <c r="D3232" s="2" t="str">
        <f t="shared" si="49"/>
        <v>Error?</v>
      </c>
    </row>
    <row r="3233" spans="1:4" x14ac:dyDescent="0.2">
      <c r="A3233" s="5">
        <v>3172</v>
      </c>
      <c r="B3233" s="138">
        <f>'Acct Summary 7-8'!C78</f>
        <v>-10476106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14000000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1227255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17500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17500</v>
      </c>
      <c r="C3255" s="2" t="s">
        <v>573</v>
      </c>
      <c r="D3255" s="2" t="str">
        <f t="shared" si="49"/>
        <v>Error?</v>
      </c>
    </row>
    <row r="3256" spans="1:4" x14ac:dyDescent="0.2">
      <c r="A3256" s="5">
        <v>3195</v>
      </c>
      <c r="B3256" s="138">
        <f>'Acct Summary 7-8'!F78</f>
        <v>-107945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-396697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1853500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1853500</v>
      </c>
      <c r="C3277" s="2" t="s">
        <v>573</v>
      </c>
      <c r="D3277" s="2" t="str">
        <f t="shared" si="50"/>
        <v>Error?</v>
      </c>
    </row>
    <row r="3278" spans="1:4" x14ac:dyDescent="0.2">
      <c r="A3278" s="5">
        <v>3217</v>
      </c>
      <c r="B3278" s="138">
        <f>'Acct Summary 7-8'!E78</f>
        <v>59043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14000000</v>
      </c>
      <c r="C3299" s="2" t="s">
        <v>573</v>
      </c>
      <c r="D3299" s="2" t="str">
        <f t="shared" si="50"/>
        <v>Error?</v>
      </c>
    </row>
    <row r="3300" spans="1:4" x14ac:dyDescent="0.2">
      <c r="A3300" s="5">
        <v>3239</v>
      </c>
      <c r="B3300" s="138">
        <f>'Acct Summary 7-8'!H78</f>
        <v>147102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278892</v>
      </c>
      <c r="C3320" s="2" t="s">
        <v>573</v>
      </c>
      <c r="D3320" s="2" t="str">
        <f t="shared" si="50"/>
        <v>Error?</v>
      </c>
    </row>
    <row r="3321" spans="1:4" x14ac:dyDescent="0.2">
      <c r="A3321" s="5">
        <v>3260</v>
      </c>
      <c r="B3321" s="138">
        <f>'Acct Summary 7-8'!I79</f>
        <v>1786998</v>
      </c>
      <c r="D3321" s="2" t="str">
        <f t="shared" si="50"/>
        <v>Error?</v>
      </c>
    </row>
    <row r="3322" spans="1:4" x14ac:dyDescent="0.2">
      <c r="A3322" s="5">
        <v>3261</v>
      </c>
      <c r="B3322" s="138">
        <f>'Acct Summary 7-8'!I80</f>
        <v>10306</v>
      </c>
      <c r="D3322" s="2" t="str">
        <f t="shared" si="50"/>
        <v>Error?</v>
      </c>
    </row>
    <row r="3323" spans="1:4" x14ac:dyDescent="0.2">
      <c r="A3323" s="5">
        <v>3262</v>
      </c>
      <c r="B3323" s="138">
        <f>'Acct Summary 7-8'!I81</f>
        <v>2076196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3625488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986762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59986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39294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4712676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216787</v>
      </c>
      <c r="D3387" s="2" t="str">
        <f t="shared" si="51"/>
        <v>Error?</v>
      </c>
    </row>
    <row r="3388" spans="1:4" x14ac:dyDescent="0.2">
      <c r="A3388" s="5">
        <v>3327</v>
      </c>
      <c r="B3388" s="138">
        <f>'Expenditures 15-22'!D217</f>
        <v>222597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216787</v>
      </c>
      <c r="C3390" s="2" t="s">
        <v>573</v>
      </c>
      <c r="D3390" s="2" t="str">
        <f t="shared" si="51"/>
        <v>Error?</v>
      </c>
    </row>
    <row r="3391" spans="1:4" x14ac:dyDescent="0.2">
      <c r="A3391" s="5">
        <v>3330</v>
      </c>
      <c r="B3391" s="138">
        <f>'Expenditures 15-22'!K217</f>
        <v>222597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43610143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4887903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2255500</v>
      </c>
      <c r="D3417" s="2" t="str">
        <f t="shared" si="52"/>
        <v>Error?</v>
      </c>
    </row>
    <row r="3418" spans="1:4" x14ac:dyDescent="0.2">
      <c r="A3418" s="10">
        <v>3357</v>
      </c>
      <c r="D3418" s="2" t="str">
        <f t="shared" si="52"/>
        <v>OK</v>
      </c>
    </row>
    <row r="3419" spans="1:4" x14ac:dyDescent="0.2">
      <c r="A3419" s="5">
        <v>3358</v>
      </c>
      <c r="B3419" s="138">
        <f>'Assets-Liab 5-6'!F4</f>
        <v>12839719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3692777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2798844</v>
      </c>
      <c r="D3425" s="2" t="str">
        <f t="shared" si="52"/>
        <v>Error?</v>
      </c>
    </row>
    <row r="3426" spans="1:4" x14ac:dyDescent="0.2">
      <c r="A3426" s="10">
        <v>3365</v>
      </c>
      <c r="D3426" s="2" t="str">
        <f t="shared" si="52"/>
        <v>OK</v>
      </c>
    </row>
    <row r="3427" spans="1:4" x14ac:dyDescent="0.2">
      <c r="A3427" s="5">
        <v>3366</v>
      </c>
      <c r="B3427" s="138">
        <f>'Assets-Liab 5-6'!I4</f>
        <v>2062702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132401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304058</v>
      </c>
      <c r="C3446" s="2" t="s">
        <v>573</v>
      </c>
      <c r="D3446" s="2" t="str">
        <f t="shared" si="52"/>
        <v>Error?</v>
      </c>
    </row>
    <row r="3447" spans="1:4" x14ac:dyDescent="0.2">
      <c r="A3447" s="5">
        <v>3386</v>
      </c>
      <c r="B3447" s="138">
        <f>'Tax Sched 23'!D16</f>
        <v>183370</v>
      </c>
      <c r="C3447" s="2" t="s">
        <v>573</v>
      </c>
      <c r="D3447" s="2" t="str">
        <f t="shared" si="52"/>
        <v>Error?</v>
      </c>
    </row>
    <row r="3448" spans="1:4" x14ac:dyDescent="0.2">
      <c r="A3448" s="5">
        <v>3387</v>
      </c>
      <c r="B3448" s="138">
        <f>'Tax Sched 23'!C16</f>
        <v>120688</v>
      </c>
      <c r="D3448" s="2" t="str">
        <f t="shared" si="52"/>
        <v>Error?</v>
      </c>
    </row>
    <row r="3449" spans="1:4" x14ac:dyDescent="0.2">
      <c r="A3449" s="5">
        <v>3388</v>
      </c>
      <c r="B3449" s="138">
        <f>'Tax Sched 23'!F16</f>
        <v>136812</v>
      </c>
      <c r="C3449" s="2" t="s">
        <v>573</v>
      </c>
      <c r="D3449" s="2" t="str">
        <f t="shared" si="52"/>
        <v>Error?</v>
      </c>
    </row>
    <row r="3450" spans="1:4" x14ac:dyDescent="0.2">
      <c r="A3450" s="5">
        <v>3389</v>
      </c>
      <c r="B3450" s="138">
        <f>'Tax Sched 23'!E16</f>
        <v>257500</v>
      </c>
      <c r="D3450" s="2" t="str">
        <f t="shared" si="52"/>
        <v>Error?</v>
      </c>
    </row>
    <row r="3451" spans="1:4" x14ac:dyDescent="0.2">
      <c r="A3451" s="5">
        <v>3390</v>
      </c>
      <c r="B3451" s="138">
        <f>'Cap Outlay Deprec 26'!C15</f>
        <v>1713346</v>
      </c>
      <c r="D3451" s="2" t="str">
        <f t="shared" si="52"/>
        <v>Error?</v>
      </c>
    </row>
    <row r="3452" spans="1:4" x14ac:dyDescent="0.2">
      <c r="A3452" s="5">
        <v>3391</v>
      </c>
      <c r="B3452" s="138">
        <f>'Cap Outlay Deprec 26'!D15</f>
        <v>16700575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18413921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18413921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20</v>
      </c>
      <c r="D3484" s="2" t="str">
        <f t="shared" si="53"/>
        <v>Error?</v>
      </c>
    </row>
    <row r="3485" spans="1:4" x14ac:dyDescent="0.2">
      <c r="A3485" s="5">
        <v>3424</v>
      </c>
      <c r="B3485" s="138">
        <f>'Expenditures 15-22'!F125</f>
        <v>9557</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9577</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143176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17500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228052</v>
      </c>
      <c r="D3546" s="2" t="str">
        <f t="shared" si="54"/>
        <v>Error?</v>
      </c>
    </row>
    <row r="3547" spans="1:4" x14ac:dyDescent="0.2">
      <c r="A3547" s="10">
        <v>3486</v>
      </c>
      <c r="D3547" s="2" t="str">
        <f t="shared" si="54"/>
        <v>OK</v>
      </c>
    </row>
    <row r="3548" spans="1:4" x14ac:dyDescent="0.2">
      <c r="A3548" s="5">
        <v>3487</v>
      </c>
      <c r="B3548" s="138">
        <f>'Assets-Liab 5-6'!K6</f>
        <v>363690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600497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363690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363690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236807</v>
      </c>
      <c r="D3567" s="2" t="str">
        <f t="shared" si="54"/>
        <v>Error?</v>
      </c>
    </row>
    <row r="3568" spans="1:4" x14ac:dyDescent="0.2">
      <c r="A3568" s="5">
        <v>3507</v>
      </c>
      <c r="B3568" s="138">
        <f>'Assets-Liab 5-6'!K41</f>
        <v>600497</v>
      </c>
      <c r="C3568" s="2" t="s">
        <v>573</v>
      </c>
      <c r="D3568" s="2" t="str">
        <f t="shared" si="54"/>
        <v>Error?</v>
      </c>
    </row>
    <row r="3569" spans="1:4" x14ac:dyDescent="0.2">
      <c r="A3569" s="5">
        <v>3508</v>
      </c>
      <c r="B3569" s="138">
        <f>'Acct Summary 7-8'!K4</f>
        <v>707770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707770</v>
      </c>
      <c r="C3571" s="2" t="s">
        <v>573</v>
      </c>
      <c r="D3571" s="2" t="str">
        <f t="shared" si="54"/>
        <v>Error?</v>
      </c>
    </row>
    <row r="3572" spans="1:4" x14ac:dyDescent="0.2">
      <c r="A3572" s="5">
        <v>3511</v>
      </c>
      <c r="B3572" s="138">
        <f>'Acct Summary 7-8'!K13</f>
        <v>866701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866701</v>
      </c>
      <c r="C3575" s="2" t="s">
        <v>573</v>
      </c>
      <c r="D3575" s="2" t="str">
        <f t="shared" si="54"/>
        <v>Error?</v>
      </c>
    </row>
    <row r="3576" spans="1:4" x14ac:dyDescent="0.2">
      <c r="A3576" s="5">
        <v>3515</v>
      </c>
      <c r="B3576" s="138">
        <f>'Acct Summary 7-8'!K20</f>
        <v>-158931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-158931</v>
      </c>
      <c r="C3588" s="2" t="s">
        <v>573</v>
      </c>
      <c r="D3588" s="2" t="str">
        <f t="shared" si="55"/>
        <v>Error?</v>
      </c>
    </row>
    <row r="3589" spans="1:4" x14ac:dyDescent="0.2">
      <c r="A3589" s="5">
        <v>3528</v>
      </c>
      <c r="B3589" s="138">
        <f>'Acct Summary 7-8'!K79</f>
        <v>389051</v>
      </c>
      <c r="D3589" s="2" t="str">
        <f t="shared" si="55"/>
        <v>Error?</v>
      </c>
    </row>
    <row r="3590" spans="1:4" x14ac:dyDescent="0.2">
      <c r="A3590" s="5">
        <v>3529</v>
      </c>
      <c r="B3590" s="138">
        <f>'Acct Summary 7-8'!K80</f>
        <v>6687</v>
      </c>
      <c r="D3590" s="2" t="str">
        <f t="shared" si="55"/>
        <v>Error?</v>
      </c>
    </row>
    <row r="3591" spans="1:4" x14ac:dyDescent="0.2">
      <c r="A3591" s="5">
        <v>3530</v>
      </c>
      <c r="B3591" s="138">
        <f>'Acct Summary 7-8'!K81</f>
        <v>236807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69679</v>
      </c>
      <c r="D3631" s="2" t="str">
        <f t="shared" si="55"/>
        <v>Error?</v>
      </c>
    </row>
    <row r="3632" spans="1:4" x14ac:dyDescent="0.2">
      <c r="A3632" s="5">
        <v>3571</v>
      </c>
      <c r="B3632" s="138">
        <f>'Expenditures 15-22'!E349</f>
        <v>31095</v>
      </c>
      <c r="D3632" s="2" t="str">
        <f t="shared" si="55"/>
        <v>Error?</v>
      </c>
    </row>
    <row r="3633" spans="1:4" x14ac:dyDescent="0.2">
      <c r="A3633" s="5">
        <v>3572</v>
      </c>
      <c r="B3633" s="138">
        <f>'Expenditures 15-22'!E350</f>
        <v>100774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100774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155911</v>
      </c>
      <c r="D3645" s="2" t="str">
        <f t="shared" si="55"/>
        <v>Error?</v>
      </c>
    </row>
    <row r="3646" spans="1:4" x14ac:dyDescent="0.2">
      <c r="A3646" s="5">
        <v>3585</v>
      </c>
      <c r="B3646" s="138">
        <f>'Expenditures 15-22'!G349</f>
        <v>610016</v>
      </c>
      <c r="D3646" s="2" t="str">
        <f t="shared" si="55"/>
        <v>Error?</v>
      </c>
    </row>
    <row r="3647" spans="1:4" x14ac:dyDescent="0.2">
      <c r="A3647" s="5">
        <v>3586</v>
      </c>
      <c r="B3647" s="138">
        <f>'Expenditures 15-22'!G350</f>
        <v>765927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765927</v>
      </c>
      <c r="C3649" s="2" t="s">
        <v>573</v>
      </c>
      <c r="D3649" s="2" t="str">
        <f t="shared" si="56"/>
        <v>Error?</v>
      </c>
    </row>
    <row r="3650" spans="1:4" x14ac:dyDescent="0.2">
      <c r="A3650" s="5">
        <v>3589</v>
      </c>
      <c r="B3650" s="138">
        <f>'Expenditures 15-22'!G367</f>
        <v>765927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225590</v>
      </c>
      <c r="C3668" s="2" t="s">
        <v>573</v>
      </c>
      <c r="D3668" s="2" t="str">
        <f t="shared" si="56"/>
        <v>Error?</v>
      </c>
    </row>
    <row r="3669" spans="1:4" x14ac:dyDescent="0.2">
      <c r="A3669" s="5">
        <v>3608</v>
      </c>
      <c r="B3669" s="138">
        <f>'Expenditures 15-22'!K349</f>
        <v>641111</v>
      </c>
      <c r="C3669" s="2" t="s">
        <v>573</v>
      </c>
      <c r="D3669" s="2" t="str">
        <f t="shared" si="56"/>
        <v>Error?</v>
      </c>
    </row>
    <row r="3670" spans="1:4" x14ac:dyDescent="0.2">
      <c r="A3670" s="5">
        <v>3609</v>
      </c>
      <c r="B3670" s="138">
        <f>'Expenditures 15-22'!K350</f>
        <v>866701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866701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866701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-158931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996481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15374767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56821883</v>
      </c>
      <c r="C4122" s="2" t="s">
        <v>573</v>
      </c>
      <c r="D4122" s="2" t="str">
        <f t="shared" si="63"/>
        <v>Error?</v>
      </c>
    </row>
    <row r="4123" spans="1:4" x14ac:dyDescent="0.2">
      <c r="A4123" s="5">
        <v>4062</v>
      </c>
      <c r="B4123" s="138">
        <f>'Acct Summary 7-8'!D10</f>
        <v>6809466</v>
      </c>
      <c r="C4123" s="2" t="s">
        <v>573</v>
      </c>
      <c r="D4123" s="2" t="str">
        <f t="shared" si="63"/>
        <v>Error?</v>
      </c>
    </row>
    <row r="4124" spans="1:4" x14ac:dyDescent="0.2">
      <c r="A4124" s="5">
        <v>4063</v>
      </c>
      <c r="B4124" s="138">
        <f>'Acct Summary 7-8'!E10</f>
        <v>1974478</v>
      </c>
      <c r="C4124" s="2" t="s">
        <v>573</v>
      </c>
      <c r="D4124" s="2" t="str">
        <f t="shared" si="63"/>
        <v>Error?</v>
      </c>
    </row>
    <row r="4125" spans="1:4" x14ac:dyDescent="0.2">
      <c r="A4125" s="5">
        <v>4064</v>
      </c>
      <c r="B4125" s="138">
        <f>'Acct Summary 7-8'!F10</f>
        <v>2043216</v>
      </c>
      <c r="C4125" s="2" t="s">
        <v>573</v>
      </c>
      <c r="D4125" s="2" t="str">
        <f t="shared" si="63"/>
        <v>Error?</v>
      </c>
    </row>
    <row r="4126" spans="1:4" x14ac:dyDescent="0.2">
      <c r="A4126" s="5">
        <v>4065</v>
      </c>
      <c r="B4126" s="138">
        <f>'Acct Summary 7-8'!G10</f>
        <v>903718</v>
      </c>
      <c r="C4126" s="2" t="s">
        <v>573</v>
      </c>
      <c r="D4126" s="2" t="str">
        <f t="shared" si="63"/>
        <v>Error?</v>
      </c>
    </row>
    <row r="4127" spans="1:4" x14ac:dyDescent="0.2">
      <c r="A4127" s="5">
        <v>4066</v>
      </c>
      <c r="B4127" s="138">
        <f>'Acct Summary 7-8'!H10</f>
        <v>3</v>
      </c>
      <c r="C4127" s="2" t="s">
        <v>573</v>
      </c>
      <c r="D4127" s="2" t="str">
        <f t="shared" si="63"/>
        <v>Error?</v>
      </c>
    </row>
    <row r="4128" spans="1:4" x14ac:dyDescent="0.2">
      <c r="A4128" s="5">
        <v>4067</v>
      </c>
      <c r="B4128" s="138">
        <f>'Acct Summary 7-8'!I10</f>
        <v>278892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707770</v>
      </c>
      <c r="C4130" s="2" t="s">
        <v>573</v>
      </c>
      <c r="D4130" s="2" t="str">
        <f t="shared" si="63"/>
        <v>Error?</v>
      </c>
    </row>
    <row r="4131" spans="1:4" x14ac:dyDescent="0.2">
      <c r="A4131" s="5">
        <v>4070</v>
      </c>
      <c r="B4131" s="138">
        <f>'Acct Summary 7-8'!C18</f>
        <v>15374767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51587665</v>
      </c>
      <c r="C4136" s="2" t="s">
        <v>573</v>
      </c>
      <c r="D4136" s="2" t="str">
        <f t="shared" si="63"/>
        <v>Error?</v>
      </c>
    </row>
    <row r="4137" spans="1:4" x14ac:dyDescent="0.2">
      <c r="A4137" s="5">
        <v>4076</v>
      </c>
      <c r="B4137" s="138">
        <f>'Acct Summary 7-8'!D19</f>
        <v>5582211</v>
      </c>
      <c r="C4137" s="2" t="s">
        <v>573</v>
      </c>
      <c r="D4137" s="2" t="str">
        <f t="shared" si="63"/>
        <v>Error?</v>
      </c>
    </row>
    <row r="4138" spans="1:4" x14ac:dyDescent="0.2">
      <c r="A4138" s="5">
        <v>4077</v>
      </c>
      <c r="B4138" s="138">
        <f>'Acct Summary 7-8'!E19</f>
        <v>3768935</v>
      </c>
      <c r="C4138" s="2" t="s">
        <v>573</v>
      </c>
      <c r="D4138" s="2" t="str">
        <f t="shared" si="63"/>
        <v>Error?</v>
      </c>
    </row>
    <row r="4139" spans="1:4" x14ac:dyDescent="0.2">
      <c r="A4139" s="5">
        <v>4078</v>
      </c>
      <c r="B4139" s="138">
        <f>'Acct Summary 7-8'!F19</f>
        <v>2168661</v>
      </c>
      <c r="C4139" s="2" t="s">
        <v>573</v>
      </c>
      <c r="D4139" s="2" t="str">
        <f t="shared" si="63"/>
        <v>Error?</v>
      </c>
    </row>
    <row r="4140" spans="1:4" x14ac:dyDescent="0.2">
      <c r="A4140" s="5">
        <v>4079</v>
      </c>
      <c r="B4140" s="138">
        <f>'Acct Summary 7-8'!G19</f>
        <v>1300415</v>
      </c>
      <c r="C4140" s="2" t="s">
        <v>573</v>
      </c>
      <c r="D4140" s="2" t="str">
        <f t="shared" si="63"/>
        <v>Error?</v>
      </c>
    </row>
    <row r="4141" spans="1:4" x14ac:dyDescent="0.2">
      <c r="A4141" s="5">
        <v>4080</v>
      </c>
      <c r="B4141" s="138">
        <f>'Acct Summary 7-8'!H19</f>
        <v>13852901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866701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35895000</v>
      </c>
      <c r="C4171" s="2" t="s">
        <v>573</v>
      </c>
      <c r="D4171" s="2" t="str">
        <f t="shared" si="64"/>
        <v>Error?</v>
      </c>
    </row>
    <row r="4172" spans="1:4" x14ac:dyDescent="0.2">
      <c r="A4172" s="5">
        <v>4111</v>
      </c>
      <c r="B4172" s="138">
        <f>'Short-Term Long-Term Debt 24'!J49</f>
        <v>33631693</v>
      </c>
      <c r="C4172" s="2" t="s">
        <v>573</v>
      </c>
      <c r="D4172" s="2" t="str">
        <f t="shared" si="64"/>
        <v>Error?</v>
      </c>
    </row>
    <row r="4173" spans="1:4" x14ac:dyDescent="0.2">
      <c r="A4173" s="5">
        <v>4112</v>
      </c>
      <c r="B4173" s="138">
        <f>'Short-Term Long-Term Debt 24'!H49</f>
        <v>1800000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3982.7000000000003</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125.8</v>
      </c>
      <c r="C4267" s="2" t="s">
        <v>573</v>
      </c>
      <c r="D4267" s="2" t="str">
        <f t="shared" si="65"/>
        <v>Error?</v>
      </c>
      <c r="E4267" s="128"/>
    </row>
    <row r="4268" spans="1:5" x14ac:dyDescent="0.2">
      <c r="A4268" s="12">
        <v>4207</v>
      </c>
      <c r="B4268" s="138">
        <f>('FP Info 3'!J10)*100000</f>
        <v>4659</v>
      </c>
      <c r="C4268" s="2" t="s">
        <v>573</v>
      </c>
      <c r="D4268" s="2" t="str">
        <f t="shared" si="65"/>
        <v>Error?</v>
      </c>
    </row>
    <row r="4269" spans="1:5" x14ac:dyDescent="0.2">
      <c r="A4269" s="12">
        <v>4208</v>
      </c>
      <c r="B4269" s="138">
        <f>'FP Info 3'!J16</f>
        <v>64498468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164439</v>
      </c>
      <c r="D4300" s="2" t="str">
        <f t="shared" si="66"/>
        <v>Error?</v>
      </c>
    </row>
    <row r="4301" spans="1:4" x14ac:dyDescent="0.2">
      <c r="A4301" s="5">
        <v>4240</v>
      </c>
      <c r="B4301" s="138">
        <f>'Rest Tax Levies-Tort Im 25'!G37</f>
        <v>47361</v>
      </c>
      <c r="D4301" s="2" t="str">
        <f t="shared" si="66"/>
        <v>Error?</v>
      </c>
    </row>
    <row r="4302" spans="1:4" x14ac:dyDescent="0.2">
      <c r="A4302" s="5">
        <v>4241</v>
      </c>
      <c r="B4302" s="138">
        <f>'Rest Tax Levies-Tort Im 25'!G38</f>
        <v>37835</v>
      </c>
      <c r="D4302" s="2" t="str">
        <f t="shared" si="66"/>
        <v>Error?</v>
      </c>
    </row>
    <row r="4303" spans="1:4" x14ac:dyDescent="0.2">
      <c r="A4303" s="5">
        <v>4242</v>
      </c>
      <c r="B4303" s="138">
        <f>'Rest Tax Levies-Tort Im 25'!G39</f>
        <v>89244</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22245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91309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231813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193212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78777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28.8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36289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51843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715278055</v>
      </c>
      <c r="D4995" s="2" t="str">
        <f t="shared" si="77"/>
        <v>Error?</v>
      </c>
    </row>
    <row r="4996" spans="1:4" x14ac:dyDescent="0.2">
      <c r="A4996" s="12">
        <v>4935</v>
      </c>
      <c r="B4996" s="138">
        <f>'FP Info 3'!H31</f>
        <v>49354185.795000002</v>
      </c>
      <c r="D4996" s="2" t="str">
        <f t="shared" si="77"/>
        <v>Error?</v>
      </c>
    </row>
    <row r="4997" spans="1:4" x14ac:dyDescent="0.2">
      <c r="A4997" s="12">
        <v>4936</v>
      </c>
      <c r="B4997" s="138">
        <f>'FP Info 3'!H37</f>
        <v>35895000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14000000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14000000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25915639</v>
      </c>
      <c r="D5061" s="2" t="str">
        <f t="shared" si="78"/>
        <v>Error?</v>
      </c>
    </row>
    <row r="5062" spans="1:4" x14ac:dyDescent="0.2">
      <c r="A5062" s="10">
        <v>5001</v>
      </c>
      <c r="D5062" s="2" t="str">
        <f t="shared" si="78"/>
        <v>OK</v>
      </c>
    </row>
    <row r="5063" spans="1:4" x14ac:dyDescent="0.2">
      <c r="A5063" s="5">
        <v>5002</v>
      </c>
      <c r="B5063" s="138">
        <f>'Revenues 9-14'!C7</f>
        <v>2754730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28670369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1228318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1228318</v>
      </c>
      <c r="C5087" s="2" t="s">
        <v>573</v>
      </c>
      <c r="D5087" s="2" t="str">
        <f t="shared" si="78"/>
        <v>Error?</v>
      </c>
    </row>
    <row r="5088" spans="1:4" x14ac:dyDescent="0.2">
      <c r="A5088" s="5">
        <v>5027</v>
      </c>
      <c r="B5088" s="138">
        <f>'Revenues 9-14'!C65</f>
        <v>1185387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1185387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26988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2072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29060</v>
      </c>
      <c r="C5096" s="2" t="s">
        <v>573</v>
      </c>
      <c r="D5096" s="2" t="str">
        <f t="shared" si="78"/>
        <v>Error?</v>
      </c>
    </row>
    <row r="5097" spans="1:4" x14ac:dyDescent="0.2">
      <c r="A5097" s="5">
        <v>5036</v>
      </c>
      <c r="B5097" s="138">
        <f>'Revenues 9-14'!C77</f>
        <v>19392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145584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9440</v>
      </c>
      <c r="D5101" s="2" t="str">
        <f t="shared" si="78"/>
        <v>Error?</v>
      </c>
    </row>
    <row r="5102" spans="1:4" x14ac:dyDescent="0.2">
      <c r="A5102" s="5">
        <v>5041</v>
      </c>
      <c r="B5102" s="138">
        <f>'Revenues 9-14'!C82</f>
        <v>174416</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42912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5956</v>
      </c>
      <c r="D5119" s="2" t="str">
        <f t="shared" ref="D5119:D5182" si="79">IF(ISBLANK(B5119),"OK",IF(A5119-B5119=0,"OK","Error?"))</f>
        <v>Error?</v>
      </c>
    </row>
    <row r="5120" spans="1:4" x14ac:dyDescent="0.2">
      <c r="A5120" s="5">
        <v>5059</v>
      </c>
      <c r="B5120" s="138">
        <f>'Revenues 9-14'!C108</f>
        <v>86982</v>
      </c>
      <c r="C5120" s="2" t="s">
        <v>573</v>
      </c>
      <c r="D5120" s="2" t="str">
        <f t="shared" si="79"/>
        <v>Error?</v>
      </c>
    </row>
    <row r="5121" spans="1:4" x14ac:dyDescent="0.2">
      <c r="A5121" s="5">
        <v>5060</v>
      </c>
      <c r="B5121" s="138">
        <f>'Revenues 9-14'!C109</f>
        <v>31374532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6332658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6332658</v>
      </c>
      <c r="C5132" s="2" t="s">
        <v>573</v>
      </c>
      <c r="D5132" s="2" t="str">
        <f t="shared" si="79"/>
        <v>Error?</v>
      </c>
    </row>
    <row r="5133" spans="1:4" x14ac:dyDescent="0.2">
      <c r="A5133" s="5">
        <v>5072</v>
      </c>
      <c r="B5133" s="138">
        <f>'Revenues 9-14'!C125</f>
        <v>165543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43252</v>
      </c>
      <c r="D5137" s="2" t="str">
        <f t="shared" si="79"/>
        <v>Error?</v>
      </c>
    </row>
    <row r="5138" spans="1:4" x14ac:dyDescent="0.2">
      <c r="A5138" s="10">
        <v>5077</v>
      </c>
      <c r="D5138" s="2" t="str">
        <f t="shared" si="79"/>
        <v>OK</v>
      </c>
    </row>
    <row r="5139" spans="1:4" x14ac:dyDescent="0.2">
      <c r="A5139" s="5">
        <v>5078</v>
      </c>
      <c r="B5139" s="138">
        <f>'Revenues 9-14'!C129</f>
        <v>703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209498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2506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2506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26522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519641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810010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7142668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838098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486052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1324150</v>
      </c>
      <c r="C5246" s="2" t="s">
        <v>573</v>
      </c>
      <c r="D5246" s="2" t="str">
        <f t="shared" si="80"/>
        <v>Error?</v>
      </c>
    </row>
    <row r="5247" spans="1:4" x14ac:dyDescent="0.2">
      <c r="A5247" s="5">
        <v>5186</v>
      </c>
      <c r="B5247" s="138">
        <f>'Revenues 9-14'!C200</f>
        <v>647641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669886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11666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317324</v>
      </c>
      <c r="D5278" s="2" t="str">
        <f t="shared" si="81"/>
        <v>Error?</v>
      </c>
    </row>
    <row r="5279" spans="1:4" x14ac:dyDescent="0.2">
      <c r="A5279" s="5">
        <v>5218</v>
      </c>
      <c r="B5279" s="138">
        <f>'Revenues 9-14'!C214</f>
        <v>11779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340769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2929916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2929916</v>
      </c>
      <c r="C5326" s="2" t="s">
        <v>573</v>
      </c>
      <c r="D5326" s="2" t="str">
        <f t="shared" si="82"/>
        <v>Error?</v>
      </c>
    </row>
    <row r="5327" spans="1:5" x14ac:dyDescent="0.2">
      <c r="A5327" s="5">
        <v>5266</v>
      </c>
      <c r="B5327" s="138">
        <f>'Revenues 9-14'!C268</f>
        <v>41447116</v>
      </c>
      <c r="C5327" s="2" t="s">
        <v>573</v>
      </c>
      <c r="D5327" s="2" t="str">
        <f t="shared" si="82"/>
        <v>Error?</v>
      </c>
    </row>
    <row r="5328" spans="1:5" x14ac:dyDescent="0.2">
      <c r="A5328" s="5">
        <v>5267</v>
      </c>
      <c r="B5328" s="138">
        <f>'Revenues 9-14'!D5</f>
        <v>3790168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3790168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2762900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2762900</v>
      </c>
      <c r="C5339" s="2" t="s">
        <v>573</v>
      </c>
      <c r="D5339" s="2" t="str">
        <f t="shared" si="82"/>
        <v>Error?</v>
      </c>
    </row>
    <row r="5340" spans="1:4" x14ac:dyDescent="0.2">
      <c r="A5340" s="5">
        <v>5279</v>
      </c>
      <c r="B5340" s="138">
        <f>'Revenues 9-14'!D65</f>
        <v>150610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150610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94738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850</v>
      </c>
      <c r="D5354" s="2" t="str">
        <f t="shared" si="82"/>
        <v>Error?</v>
      </c>
    </row>
    <row r="5355" spans="1:4" x14ac:dyDescent="0.2">
      <c r="A5355" s="5">
        <v>5294</v>
      </c>
      <c r="B5355" s="138">
        <f>'Revenues 9-14'!D108</f>
        <v>105788</v>
      </c>
      <c r="C5355" s="2" t="s">
        <v>573</v>
      </c>
      <c r="D5355" s="2" t="str">
        <f t="shared" si="82"/>
        <v>Error?</v>
      </c>
    </row>
    <row r="5356" spans="1:4" x14ac:dyDescent="0.2">
      <c r="A5356" s="5">
        <v>5295</v>
      </c>
      <c r="B5356" s="138">
        <f>'Revenues 9-14'!D109</f>
        <v>6809466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6809466</v>
      </c>
      <c r="C5508" s="2" t="s">
        <v>573</v>
      </c>
      <c r="D5508" s="2" t="str">
        <f t="shared" si="85"/>
        <v>Error?</v>
      </c>
    </row>
    <row r="5509" spans="1:4" x14ac:dyDescent="0.2">
      <c r="A5509" s="5">
        <v>5448</v>
      </c>
      <c r="B5509" s="138">
        <f>'Revenues 9-14'!E5</f>
        <v>1899313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1899313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71174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71174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3991</v>
      </c>
      <c r="D5525" s="2" t="str">
        <f t="shared" si="85"/>
        <v>Error?</v>
      </c>
    </row>
    <row r="5526" spans="1:4" x14ac:dyDescent="0.2">
      <c r="A5526" s="5">
        <v>5465</v>
      </c>
      <c r="B5526" s="138">
        <f>'Revenues 9-14'!E108</f>
        <v>3991</v>
      </c>
      <c r="C5526" s="2" t="s">
        <v>573</v>
      </c>
      <c r="D5526" s="2" t="str">
        <f t="shared" si="85"/>
        <v>Error?</v>
      </c>
    </row>
    <row r="5527" spans="1:4" x14ac:dyDescent="0.2">
      <c r="A5527" s="5">
        <v>5466</v>
      </c>
      <c r="B5527" s="138">
        <f>'Revenues 9-14'!E109</f>
        <v>1974478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1974478</v>
      </c>
      <c r="C5552" s="2" t="s">
        <v>573</v>
      </c>
      <c r="D5552" s="2" t="str">
        <f t="shared" si="85"/>
        <v>Error?</v>
      </c>
    </row>
    <row r="5553" spans="1:4" x14ac:dyDescent="0.2">
      <c r="A5553" s="5">
        <v>5492</v>
      </c>
      <c r="B5553" s="138">
        <f>'Revenues 9-14'!F5</f>
        <v>1147682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1147682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1609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1609</v>
      </c>
      <c r="C5579" s="2" t="s">
        <v>573</v>
      </c>
      <c r="D5579" s="2" t="str">
        <f t="shared" si="86"/>
        <v>Error?</v>
      </c>
    </row>
    <row r="5580" spans="1:4" x14ac:dyDescent="0.2">
      <c r="A5580" s="5">
        <v>5519</v>
      </c>
      <c r="B5580" s="138">
        <f>'Revenues 9-14'!F65</f>
        <v>75879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75879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1832</v>
      </c>
      <c r="D5586" s="2" t="str">
        <f t="shared" si="86"/>
        <v>Error?</v>
      </c>
    </row>
    <row r="5587" spans="1:4" x14ac:dyDescent="0.2">
      <c r="A5587" s="5">
        <v>5526</v>
      </c>
      <c r="B5587" s="138">
        <f>'Revenues 9-14'!F108</f>
        <v>1832</v>
      </c>
      <c r="C5587" s="2" t="s">
        <v>573</v>
      </c>
      <c r="D5587" s="2" t="str">
        <f t="shared" si="86"/>
        <v>Error?</v>
      </c>
    </row>
    <row r="5588" spans="1:4" x14ac:dyDescent="0.2">
      <c r="A5588" s="5">
        <v>5527</v>
      </c>
      <c r="B5588" s="138">
        <f>'Revenues 9-14'!F109</f>
        <v>1227002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371184</v>
      </c>
      <c r="D5615" s="2" t="str">
        <f t="shared" si="86"/>
        <v>Error?</v>
      </c>
    </row>
    <row r="5616" spans="1:4" x14ac:dyDescent="0.2">
      <c r="A5616" s="10">
        <v>5555</v>
      </c>
      <c r="D5616" s="2" t="str">
        <f t="shared" si="86"/>
        <v>OK</v>
      </c>
    </row>
    <row r="5617" spans="1:5" x14ac:dyDescent="0.2">
      <c r="A5617" s="5">
        <v>5556</v>
      </c>
      <c r="B5617" s="138">
        <f>'Revenues 9-14'!F153</f>
        <v>445030</v>
      </c>
      <c r="D5617" s="2" t="str">
        <f t="shared" si="86"/>
        <v>Error?</v>
      </c>
    </row>
    <row r="5618" spans="1:5" x14ac:dyDescent="0.2">
      <c r="A5618" s="5">
        <v>5557</v>
      </c>
      <c r="B5618" s="138">
        <f>'Revenues 9-14'!F155</f>
        <v>816214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816214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816214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2043216</v>
      </c>
      <c r="C5720" s="2" t="s">
        <v>573</v>
      </c>
      <c r="D5720" s="2" t="str">
        <f t="shared" si="88"/>
        <v>Error?</v>
      </c>
    </row>
    <row r="5721" spans="1:4" x14ac:dyDescent="0.2">
      <c r="A5721" s="5">
        <v>5660</v>
      </c>
      <c r="B5721" s="138">
        <f>'Revenues 9-14'!G5</f>
        <v>268240</v>
      </c>
      <c r="D5721" s="2" t="str">
        <f t="shared" si="88"/>
        <v>Error?</v>
      </c>
    </row>
    <row r="5722" spans="1:4" x14ac:dyDescent="0.2">
      <c r="A5722" s="5">
        <v>5661</v>
      </c>
      <c r="B5722" s="138">
        <f>'Revenues 9-14'!G7</f>
        <v>0</v>
      </c>
      <c r="D5722" s="2" t="str">
        <f t="shared" si="88"/>
        <v>Error?</v>
      </c>
    </row>
    <row r="5723" spans="1:4" x14ac:dyDescent="0.2">
      <c r="A5723" s="5">
        <v>5662</v>
      </c>
      <c r="B5723" s="138">
        <f>'Revenues 9-14'!G8</f>
        <v>304058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572298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300000</v>
      </c>
      <c r="C5730" s="2" t="s">
        <v>573</v>
      </c>
      <c r="D5730" s="2" t="str">
        <f t="shared" si="88"/>
        <v>Error?</v>
      </c>
    </row>
    <row r="5731" spans="1:4" x14ac:dyDescent="0.2">
      <c r="A5731" s="5">
        <v>5670</v>
      </c>
      <c r="B5731" s="138">
        <f>'Revenues 9-14'!G65</f>
        <v>31420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31420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903718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v>
      </c>
      <c r="C5915" s="2" t="s">
        <v>573</v>
      </c>
      <c r="D5915" s="2" t="str">
        <f t="shared" si="91"/>
        <v>Error?</v>
      </c>
    </row>
    <row r="5916" spans="1:4" x14ac:dyDescent="0.2">
      <c r="A5916" s="5">
        <v>5855</v>
      </c>
      <c r="B5916" s="138">
        <f>'Revenues 9-14'!I5</f>
        <v>264687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264687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14205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278892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680909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680909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26861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26861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707770</v>
      </c>
      <c r="C6023" s="2" t="s">
        <v>573</v>
      </c>
      <c r="D6023" s="2" t="str">
        <f t="shared" si="93"/>
        <v>Error?</v>
      </c>
    </row>
    <row r="6024" spans="1:5" x14ac:dyDescent="0.2">
      <c r="A6024" s="5">
        <v>5963</v>
      </c>
      <c r="B6024" s="138">
        <f>'Revenues 9-14'!G109</f>
        <v>903718</v>
      </c>
      <c r="C6024" s="2" t="s">
        <v>573</v>
      </c>
      <c r="D6024" s="2" t="str">
        <f t="shared" si="93"/>
        <v>Error?</v>
      </c>
    </row>
    <row r="6025" spans="1:5" x14ac:dyDescent="0.2">
      <c r="A6025" s="5">
        <v>5964</v>
      </c>
      <c r="B6025" s="138">
        <f>'Revenues 9-14'!H109</f>
        <v>3</v>
      </c>
      <c r="C6025" s="2" t="s">
        <v>573</v>
      </c>
      <c r="D6025" s="2" t="str">
        <f t="shared" si="93"/>
        <v>Error?</v>
      </c>
    </row>
    <row r="6026" spans="1:5" x14ac:dyDescent="0.2">
      <c r="A6026" s="5">
        <v>5965</v>
      </c>
      <c r="B6026" s="138">
        <f>'Revenues 9-14'!I109</f>
        <v>278892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707770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90106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2298.5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630058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202376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477623</v>
      </c>
      <c r="D6099" s="2" t="str">
        <f t="shared" si="94"/>
        <v>Error?</v>
      </c>
      <c r="E6099" s="2" t="s">
        <v>190</v>
      </c>
    </row>
    <row r="6100" spans="1:5" x14ac:dyDescent="0.2">
      <c r="A6100">
        <v>6039</v>
      </c>
      <c r="B6100" s="138">
        <f>'Assets-Liab 5-6'!D9</f>
        <v>37026</v>
      </c>
      <c r="D6100" s="2" t="str">
        <f t="shared" si="94"/>
        <v>Error?</v>
      </c>
      <c r="E6100" s="2" t="s">
        <v>190</v>
      </c>
    </row>
    <row r="6101" spans="1:5" x14ac:dyDescent="0.2">
      <c r="A6101">
        <v>6040</v>
      </c>
      <c r="B6101" s="138">
        <f>'Assets-Liab 5-6'!E9</f>
        <v>7807</v>
      </c>
      <c r="D6101" s="2" t="str">
        <f t="shared" si="94"/>
        <v>Error?</v>
      </c>
      <c r="E6101" s="2" t="s">
        <v>190</v>
      </c>
    </row>
    <row r="6102" spans="1:5" x14ac:dyDescent="0.2">
      <c r="A6102">
        <v>6041</v>
      </c>
      <c r="B6102" s="138">
        <f>'Assets-Liab 5-6'!F9</f>
        <v>107606</v>
      </c>
      <c r="D6102" s="2" t="str">
        <f t="shared" si="94"/>
        <v>Error?</v>
      </c>
      <c r="E6102" s="2" t="s">
        <v>190</v>
      </c>
    </row>
    <row r="6103" spans="1:5" x14ac:dyDescent="0.2">
      <c r="A6103">
        <f>A6102+1</f>
        <v>6042</v>
      </c>
      <c r="B6103" s="138">
        <f>'Assets-Liab 5-6'!G9</f>
        <v>32183</v>
      </c>
      <c r="D6103" s="2" t="str">
        <f t="shared" si="94"/>
        <v>Error?</v>
      </c>
      <c r="E6103" s="2" t="s">
        <v>190</v>
      </c>
    </row>
    <row r="6104" spans="1:5" x14ac:dyDescent="0.2">
      <c r="A6104">
        <v>6043</v>
      </c>
      <c r="B6104" s="138">
        <f>'Assets-Liab 5-6'!H9</f>
        <v>15</v>
      </c>
      <c r="D6104" s="2" t="str">
        <f t="shared" si="94"/>
        <v>Error?</v>
      </c>
      <c r="E6104" s="2" t="s">
        <v>190</v>
      </c>
    </row>
    <row r="6105" spans="1:5" x14ac:dyDescent="0.2">
      <c r="A6105">
        <v>6044</v>
      </c>
      <c r="B6105" s="138">
        <f>'Assets-Liab 5-6'!I9</f>
        <v>13494</v>
      </c>
      <c r="D6105" s="2" t="str">
        <f t="shared" si="94"/>
        <v>Error?</v>
      </c>
      <c r="E6105" s="2" t="s">
        <v>190</v>
      </c>
    </row>
    <row r="6106" spans="1:5" x14ac:dyDescent="0.2">
      <c r="A6106">
        <v>6045</v>
      </c>
      <c r="B6106" s="138">
        <f>'Assets-Liab 5-6'!J9</f>
        <v>3893</v>
      </c>
      <c r="D6106" s="2" t="str">
        <f t="shared" si="94"/>
        <v>Error?</v>
      </c>
      <c r="E6106" s="2" t="s">
        <v>190</v>
      </c>
    </row>
    <row r="6107" spans="1:5" x14ac:dyDescent="0.2">
      <c r="A6107">
        <v>6046</v>
      </c>
      <c r="B6107" s="138">
        <f>'Assets-Liab 5-6'!K9</f>
        <v>8755</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555246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19491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1030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348856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805</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159250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159250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395996</v>
      </c>
      <c r="D6215" s="2" t="str">
        <f t="shared" si="96"/>
        <v>Error?</v>
      </c>
      <c r="E6215" s="2" t="s">
        <v>190</v>
      </c>
    </row>
    <row r="6216" spans="1:5" x14ac:dyDescent="0.2">
      <c r="A6216">
        <v>6155</v>
      </c>
      <c r="B6216" s="138">
        <f>'Assets-Liab 5-6'!J41</f>
        <v>555246</v>
      </c>
      <c r="D6216" s="2" t="str">
        <f t="shared" si="96"/>
        <v>Error?</v>
      </c>
      <c r="E6216" s="2" t="s">
        <v>190</v>
      </c>
    </row>
    <row r="6217" spans="1:5" x14ac:dyDescent="0.2">
      <c r="A6217">
        <v>6156</v>
      </c>
      <c r="B6217" s="138">
        <f>'Assets-Liab 5-6'!J4</f>
        <v>392103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159250</v>
      </c>
      <c r="D6219" s="2" t="str">
        <f t="shared" si="96"/>
        <v>Error?</v>
      </c>
      <c r="E6219" s="2" t="s">
        <v>190</v>
      </c>
    </row>
    <row r="6220" spans="1:5" x14ac:dyDescent="0.2">
      <c r="A6220">
        <v>6159</v>
      </c>
      <c r="B6220" s="138">
        <f>'Acct Summary 7-8'!J4</f>
        <v>360366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360366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360366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252633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252633</v>
      </c>
      <c r="D6229" s="2" t="str">
        <f t="shared" si="96"/>
        <v>Error?</v>
      </c>
      <c r="E6229" s="2" t="s">
        <v>190</v>
      </c>
    </row>
    <row r="6230" spans="1:5" x14ac:dyDescent="0.2">
      <c r="A6230">
        <v>6169</v>
      </c>
      <c r="B6230" s="138">
        <f>'Acct Summary 7-8'!J20</f>
        <v>107733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107733</v>
      </c>
      <c r="D6263" s="2" t="str">
        <f t="shared" si="96"/>
        <v>Error?</v>
      </c>
      <c r="E6263" s="2" t="s">
        <v>190</v>
      </c>
    </row>
    <row r="6264" spans="1:5" x14ac:dyDescent="0.2">
      <c r="A6264">
        <v>6203</v>
      </c>
      <c r="B6264" s="138">
        <f>'Acct Summary 7-8'!J79</f>
        <v>285289</v>
      </c>
      <c r="D6264" s="2" t="str">
        <f t="shared" si="96"/>
        <v>Error?</v>
      </c>
      <c r="E6264" s="2" t="s">
        <v>190</v>
      </c>
    </row>
    <row r="6265" spans="1:5" x14ac:dyDescent="0.2">
      <c r="A6265">
        <v>6204</v>
      </c>
      <c r="B6265" s="138">
        <f>'Acct Summary 7-8'!J80</f>
        <v>2974</v>
      </c>
      <c r="D6265" s="2" t="str">
        <f t="shared" si="96"/>
        <v>Error?</v>
      </c>
      <c r="E6265" s="2" t="s">
        <v>190</v>
      </c>
    </row>
    <row r="6266" spans="1:5" x14ac:dyDescent="0.2">
      <c r="A6266">
        <v>6205</v>
      </c>
      <c r="B6266" s="138">
        <f>'Acct Summary 7-8'!J81</f>
        <v>395996</v>
      </c>
      <c r="D6266" s="2" t="str">
        <f t="shared" si="96"/>
        <v>Error?</v>
      </c>
      <c r="E6266" s="2" t="s">
        <v>190</v>
      </c>
    </row>
    <row r="6267" spans="1:5" x14ac:dyDescent="0.2">
      <c r="A6267">
        <v>6206</v>
      </c>
      <c r="B6267" s="138">
        <f>'Acct Summary 7-8'!C82</f>
        <v>-10111309</v>
      </c>
      <c r="D6267" s="2" t="str">
        <f t="shared" si="96"/>
        <v>Error?</v>
      </c>
      <c r="E6267" s="2" t="s">
        <v>190</v>
      </c>
    </row>
    <row r="6268" spans="1:5" x14ac:dyDescent="0.2">
      <c r="A6268">
        <v>6207</v>
      </c>
      <c r="B6268" s="138">
        <f>'Acct Summary 7-8'!D82</f>
        <v>1255534</v>
      </c>
      <c r="D6268" s="2" t="str">
        <f t="shared" si="96"/>
        <v>Error?</v>
      </c>
      <c r="E6268" s="2" t="s">
        <v>190</v>
      </c>
    </row>
    <row r="6269" spans="1:5" x14ac:dyDescent="0.2">
      <c r="A6269">
        <v>6208</v>
      </c>
      <c r="B6269" s="138">
        <f>'Acct Summary 7-8'!E82</f>
        <v>65006</v>
      </c>
      <c r="D6269" s="2" t="str">
        <f t="shared" si="96"/>
        <v>Error?</v>
      </c>
      <c r="E6269" s="2" t="s">
        <v>190</v>
      </c>
    </row>
    <row r="6270" spans="1:5" x14ac:dyDescent="0.2">
      <c r="A6270">
        <v>6209</v>
      </c>
      <c r="B6270" s="138">
        <f>'Acct Summary 7-8'!F82</f>
        <v>-25758</v>
      </c>
      <c r="D6270" s="2" t="str">
        <f t="shared" si="96"/>
        <v>Error?</v>
      </c>
      <c r="E6270" s="2" t="s">
        <v>190</v>
      </c>
    </row>
    <row r="6271" spans="1:5" x14ac:dyDescent="0.2">
      <c r="A6271">
        <v>6210</v>
      </c>
      <c r="B6271" s="138">
        <f>'Acct Summary 7-8'!G82</f>
        <v>-372117</v>
      </c>
      <c r="D6271" s="2" t="str">
        <f t="shared" ref="D6271:D6334" si="97">IF(ISBLANK(B6271),"OK",IF(A6271-B6271=0,"OK","Error?"))</f>
        <v>Error?</v>
      </c>
      <c r="E6271" s="2" t="s">
        <v>190</v>
      </c>
    </row>
    <row r="6272" spans="1:5" x14ac:dyDescent="0.2">
      <c r="A6272">
        <v>6211</v>
      </c>
      <c r="B6272" s="138">
        <f>'Acct Summary 7-8'!H82</f>
        <v>147114</v>
      </c>
      <c r="D6272" s="2" t="str">
        <f t="shared" si="97"/>
        <v>Error?</v>
      </c>
      <c r="E6272" s="2" t="s">
        <v>190</v>
      </c>
    </row>
    <row r="6273" spans="1:5" x14ac:dyDescent="0.2">
      <c r="A6273">
        <v>6212</v>
      </c>
      <c r="B6273" s="138">
        <f>'Acct Summary 7-8'!I82</f>
        <v>289198</v>
      </c>
      <c r="D6273" s="2" t="str">
        <f t="shared" si="97"/>
        <v>Error?</v>
      </c>
      <c r="E6273" s="2" t="s">
        <v>190</v>
      </c>
    </row>
    <row r="6274" spans="1:5" x14ac:dyDescent="0.2">
      <c r="A6274">
        <v>6213</v>
      </c>
      <c r="B6274" s="138">
        <f>'Acct Summary 7-8'!J82</f>
        <v>110707</v>
      </c>
      <c r="D6274" s="2" t="str">
        <f t="shared" si="97"/>
        <v>Error?</v>
      </c>
      <c r="E6274" s="2" t="s">
        <v>190</v>
      </c>
    </row>
    <row r="6275" spans="1:5" x14ac:dyDescent="0.2">
      <c r="A6275">
        <v>6214</v>
      </c>
      <c r="B6275" s="138">
        <f>'Acct Summary 7-8'!K82</f>
        <v>-152244</v>
      </c>
      <c r="D6275" s="2" t="str">
        <f t="shared" si="97"/>
        <v>Error?</v>
      </c>
      <c r="E6275" s="2" t="s">
        <v>190</v>
      </c>
    </row>
    <row r="6276" spans="1:5" x14ac:dyDescent="0.2">
      <c r="A6276">
        <v>6215</v>
      </c>
      <c r="B6276" s="138">
        <f>'Acct Summary 7-8'!C83</f>
        <v>-0.22799161757871464</v>
      </c>
      <c r="D6276" s="2" t="str">
        <f t="shared" si="97"/>
        <v>Error?</v>
      </c>
      <c r="E6276" s="2" t="s">
        <v>190</v>
      </c>
    </row>
    <row r="6277" spans="1:5" x14ac:dyDescent="0.2">
      <c r="A6277">
        <v>6216</v>
      </c>
      <c r="B6277" s="138">
        <f>'Acct Summary 7-8'!D83</f>
        <v>0.25493443661827409</v>
      </c>
      <c r="D6277" s="2" t="str">
        <f t="shared" si="97"/>
        <v>Error?</v>
      </c>
      <c r="E6277" s="2" t="s">
        <v>190</v>
      </c>
    </row>
    <row r="6278" spans="1:5" x14ac:dyDescent="0.2">
      <c r="A6278">
        <v>6217</v>
      </c>
      <c r="B6278" s="138">
        <f>'Acct Summary 7-8'!E83</f>
        <v>2.8721689103599291E-2</v>
      </c>
      <c r="D6278" s="2" t="str">
        <f t="shared" si="97"/>
        <v>Error?</v>
      </c>
      <c r="E6278" s="2" t="s">
        <v>190</v>
      </c>
    </row>
    <row r="6279" spans="1:5" x14ac:dyDescent="0.2">
      <c r="A6279">
        <v>6218</v>
      </c>
      <c r="B6279" s="138">
        <f>'Acct Summary 7-8'!F83</f>
        <v>-1.9591011955856562E-3</v>
      </c>
      <c r="D6279" s="2" t="str">
        <f t="shared" si="97"/>
        <v>Error?</v>
      </c>
      <c r="E6279" s="2" t="s">
        <v>190</v>
      </c>
    </row>
    <row r="6280" spans="1:5" x14ac:dyDescent="0.2">
      <c r="A6280">
        <v>6219</v>
      </c>
      <c r="B6280" s="138">
        <f>'Acct Summary 7-8'!G83</f>
        <v>-9.989825394098191E-2</v>
      </c>
      <c r="D6280" s="2" t="str">
        <f t="shared" si="97"/>
        <v>Error?</v>
      </c>
      <c r="E6280" s="2" t="s">
        <v>190</v>
      </c>
    </row>
    <row r="6281" spans="1:5" x14ac:dyDescent="0.2">
      <c r="A6281">
        <v>6220</v>
      </c>
      <c r="B6281" s="138">
        <f>'Acct Summary 7-8'!H83</f>
        <v>5.2562133355056474E-2</v>
      </c>
      <c r="D6281" s="2" t="str">
        <f t="shared" si="97"/>
        <v>Error?</v>
      </c>
      <c r="E6281" s="2" t="s">
        <v>190</v>
      </c>
    </row>
    <row r="6282" spans="1:5" x14ac:dyDescent="0.2">
      <c r="A6282">
        <v>6221</v>
      </c>
      <c r="B6282" s="138">
        <f>'Acct Summary 7-8'!I83</f>
        <v>0.13929224408485519</v>
      </c>
      <c r="D6282" s="2" t="str">
        <f t="shared" si="97"/>
        <v>Error?</v>
      </c>
      <c r="E6282" s="2" t="s">
        <v>190</v>
      </c>
    </row>
    <row r="6283" spans="1:5" x14ac:dyDescent="0.2">
      <c r="A6283">
        <v>6222</v>
      </c>
      <c r="B6283" s="138">
        <f>'Acct Summary 7-8'!J83</f>
        <v>0.27956595521166883</v>
      </c>
      <c r="D6283" s="2" t="str">
        <f t="shared" si="97"/>
        <v>Error?</v>
      </c>
      <c r="E6283" s="2" t="s">
        <v>190</v>
      </c>
    </row>
    <row r="6284" spans="1:5" x14ac:dyDescent="0.2">
      <c r="A6284">
        <v>6223</v>
      </c>
      <c r="B6284" s="138">
        <f>'Acct Summary 7-8'!K83</f>
        <v>-0.64290329255469647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1853500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14000000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324315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324315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13597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13597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22454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22454</v>
      </c>
      <c r="D6351" s="2" t="str">
        <f t="shared" si="98"/>
        <v>Error?</v>
      </c>
      <c r="E6351" s="2" t="s">
        <v>190</v>
      </c>
    </row>
    <row r="6352" spans="1:5" x14ac:dyDescent="0.2">
      <c r="A6352">
        <v>6291</v>
      </c>
      <c r="B6352" s="138">
        <f>'Revenues 9-14'!J109</f>
        <v>360366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521326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2321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750592</v>
      </c>
      <c r="D6848" s="2" t="str">
        <f t="shared" si="106"/>
        <v>Error?</v>
      </c>
    </row>
    <row r="6849" spans="1:4" x14ac:dyDescent="0.2">
      <c r="A6849">
        <v>6788</v>
      </c>
      <c r="B6849" s="138">
        <f>'Expenditures 15-22'!I8</f>
        <v>1146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229227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670384</v>
      </c>
      <c r="D6880" s="2" t="str">
        <f t="shared" si="106"/>
        <v>Error?</v>
      </c>
    </row>
    <row r="6881" spans="1:4" x14ac:dyDescent="0.2">
      <c r="A6881">
        <v>6820</v>
      </c>
      <c r="B6881" s="138">
        <f>'Expenditures 15-22'!K22</f>
        <v>670384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3467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6170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6170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86246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86246</v>
      </c>
      <c r="D6940" s="2" t="str">
        <f t="shared" si="107"/>
        <v>Error?</v>
      </c>
    </row>
    <row r="6941" spans="1:4" x14ac:dyDescent="0.2">
      <c r="A6941">
        <v>6880</v>
      </c>
      <c r="B6941" s="138">
        <f>'Expenditures 15-22'!L52</f>
        <v>114000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860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860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7030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546679</v>
      </c>
      <c r="D6983" s="2" t="str">
        <f t="shared" si="108"/>
        <v>Error?</v>
      </c>
    </row>
    <row r="6984" spans="1:4" x14ac:dyDescent="0.2">
      <c r="A6984">
        <v>6923</v>
      </c>
      <c r="B6984" s="138">
        <f>'Expenditures 15-22'!K86</f>
        <v>546679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546679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10497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2049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2049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2049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252633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2049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360366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27442</v>
      </c>
      <c r="D7073" s="2" t="str">
        <f t="shared" si="109"/>
        <v>Error?</v>
      </c>
    </row>
    <row r="7074" spans="1:4" x14ac:dyDescent="0.2">
      <c r="A7074">
        <v>7013</v>
      </c>
      <c r="B7074" s="138">
        <f>'Expenditures 15-22'!K216</f>
        <v>27442</v>
      </c>
      <c r="D7074" s="2" t="str">
        <f t="shared" si="109"/>
        <v>Error?</v>
      </c>
    </row>
    <row r="7075" spans="1:4" x14ac:dyDescent="0.2">
      <c r="A7075">
        <v>7014</v>
      </c>
      <c r="B7075" s="138">
        <f>'Expenditures 15-22'!D218</f>
        <v>8284</v>
      </c>
      <c r="D7075" s="2" t="str">
        <f t="shared" si="109"/>
        <v>Error?</v>
      </c>
    </row>
    <row r="7076" spans="1:4" x14ac:dyDescent="0.2">
      <c r="A7076">
        <v>7015</v>
      </c>
      <c r="B7076" s="138">
        <f>'Expenditures 15-22'!K218</f>
        <v>8284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125554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125554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89244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89244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252633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252633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252633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252633</v>
      </c>
      <c r="D7224" s="2" t="str">
        <f t="shared" si="111"/>
        <v>Error?</v>
      </c>
    </row>
    <row r="7225" spans="1:4" x14ac:dyDescent="0.2">
      <c r="A7225">
        <v>7164</v>
      </c>
      <c r="B7225" s="138">
        <f>'Expenditures 15-22'!K343</f>
        <v>107733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193916</v>
      </c>
      <c r="D7246" s="2" t="str">
        <f t="shared" si="112"/>
        <v>Error?</v>
      </c>
    </row>
    <row r="7247" spans="1:4" x14ac:dyDescent="0.2">
      <c r="A7247">
        <f t="shared" si="113"/>
        <v>7186</v>
      </c>
      <c r="B7247" s="138">
        <f>'Expenditures 15-22'!E7</f>
        <v>22854</v>
      </c>
      <c r="D7247" s="2" t="str">
        <f t="shared" si="112"/>
        <v>Error?</v>
      </c>
    </row>
    <row r="7248" spans="1:4" x14ac:dyDescent="0.2">
      <c r="A7248">
        <f t="shared" si="113"/>
        <v>7187</v>
      </c>
      <c r="B7248" s="138">
        <f>'Expenditures 15-22'!F7</f>
        <v>11722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774</v>
      </c>
      <c r="D7250" s="2" t="str">
        <f t="shared" si="112"/>
        <v>Error?</v>
      </c>
    </row>
    <row r="7251" spans="1:4" x14ac:dyDescent="0.2">
      <c r="A7251">
        <f t="shared" si="113"/>
        <v>7190</v>
      </c>
      <c r="B7251" s="138">
        <f>'Expenditures 15-22'!C9</f>
        <v>172838</v>
      </c>
      <c r="D7251" s="2" t="str">
        <f t="shared" si="112"/>
        <v>Error?</v>
      </c>
    </row>
    <row r="7252" spans="1:4" x14ac:dyDescent="0.2">
      <c r="A7252">
        <f t="shared" si="113"/>
        <v>7191</v>
      </c>
      <c r="B7252" s="138">
        <f>'Expenditures 15-22'!D9</f>
        <v>56389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12546</v>
      </c>
      <c r="D7624" s="2" t="str">
        <f t="shared" si="124"/>
        <v>Error?</v>
      </c>
      <c r="E7624" s="2" t="s">
        <v>19</v>
      </c>
    </row>
    <row r="7625" spans="1:5" x14ac:dyDescent="0.2">
      <c r="A7625">
        <f t="shared" si="123"/>
        <v>7564</v>
      </c>
      <c r="B7625" s="138">
        <f>'Cap Outlay Deprec 26'!I17</f>
        <v>1254.5999999999999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3110990.6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1853500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14000000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29582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29582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8253</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8253</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2754730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2311026</v>
      </c>
      <c r="D7797" s="2" t="str">
        <f t="shared" si="127"/>
        <v>Error?</v>
      </c>
      <c r="E7797" s="4" t="s">
        <v>1902</v>
      </c>
    </row>
    <row r="7798" spans="1:5" x14ac:dyDescent="0.2">
      <c r="A7798">
        <v>7737</v>
      </c>
      <c r="B7798" s="138">
        <f>'Contracts Paid in CY 29'!F141</f>
        <v>175000</v>
      </c>
      <c r="D7798" s="2" t="str">
        <f t="shared" si="127"/>
        <v>Error?</v>
      </c>
      <c r="E7798" s="4" t="s">
        <v>1902</v>
      </c>
    </row>
    <row r="7799" spans="1:5" x14ac:dyDescent="0.2">
      <c r="A7799">
        <v>7738</v>
      </c>
      <c r="B7799" s="138">
        <f>'Contracts Paid in CY 29'!G141</f>
        <v>2136026</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1987</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Mannheim SD 83</v>
      </c>
      <c r="B7" s="2403"/>
      <c r="C7" s="2403"/>
      <c r="D7" s="2404"/>
      <c r="E7" s="2405">
        <f>COVER!A13</f>
        <v>6016083002</v>
      </c>
      <c r="F7" s="2406"/>
      <c r="G7" s="2412" t="str">
        <f>COVER!T23</f>
        <v>066-003289</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EVOY, KAMSCHULTE, JACOBS &amp; CO. LLP</v>
      </c>
      <c r="H9" s="2418"/>
      <c r="I9" s="2418"/>
      <c r="J9" s="2418"/>
      <c r="K9" s="2418"/>
      <c r="L9" s="2419"/>
    </row>
    <row r="10" spans="1:29" ht="13.5" customHeight="1" x14ac:dyDescent="0.2">
      <c r="A10" s="2392">
        <f>COVER!A38</f>
        <v>0</v>
      </c>
      <c r="B10" s="2393"/>
      <c r="C10" s="2393"/>
      <c r="D10" s="2393"/>
      <c r="E10" s="2393"/>
      <c r="F10" s="2394"/>
      <c r="G10" s="2386" t="str">
        <f>COVER!T17</f>
        <v>2122 YEOMAN STREET</v>
      </c>
      <c r="H10" s="2387"/>
      <c r="I10" s="2387"/>
      <c r="J10" s="2387"/>
      <c r="K10" s="2387"/>
      <c r="L10" s="2388"/>
    </row>
    <row r="11" spans="1:29" ht="13.5" customHeight="1" x14ac:dyDescent="0.2">
      <c r="A11" s="1184" t="s">
        <v>1519</v>
      </c>
      <c r="B11" s="1185"/>
      <c r="C11" s="1186"/>
      <c r="D11" s="1191"/>
      <c r="E11" s="1186"/>
      <c r="F11" s="1190"/>
      <c r="G11" s="2386" t="str">
        <f>COVER!T19</f>
        <v>WAUKEGAN</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JHENRY@EKJLLP.COM</v>
      </c>
      <c r="J13" s="2399"/>
      <c r="K13" s="2399"/>
      <c r="L13" s="2400"/>
    </row>
    <row r="14" spans="1:29" ht="13.5" customHeight="1" x14ac:dyDescent="0.2">
      <c r="A14" s="2386" t="str">
        <f>COVER!A19</f>
        <v>10401 WEST GRAND AVENUE</v>
      </c>
      <c r="B14" s="2387"/>
      <c r="C14" s="2387"/>
      <c r="D14" s="2387"/>
      <c r="E14" s="2387"/>
      <c r="F14" s="2388"/>
      <c r="G14" s="1195" t="s">
        <v>1185</v>
      </c>
      <c r="H14" s="1193"/>
      <c r="I14" s="1193"/>
      <c r="J14" s="1193"/>
      <c r="K14" s="1193"/>
      <c r="L14" s="1194"/>
    </row>
    <row r="15" spans="1:29" ht="13.5" customHeight="1" x14ac:dyDescent="0.2">
      <c r="A15" s="2386" t="str">
        <f>COVER!A21</f>
        <v>FRANKLIN PARK</v>
      </c>
      <c r="B15" s="2387"/>
      <c r="C15" s="2387"/>
      <c r="D15" s="2387"/>
      <c r="E15" s="2387"/>
      <c r="F15" s="2388"/>
      <c r="G15" s="2383" t="str">
        <f>COVER!T15</f>
        <v>JAMES HENRY, CPA</v>
      </c>
      <c r="H15" s="2384"/>
      <c r="I15" s="2384"/>
      <c r="J15" s="2384"/>
      <c r="K15" s="2384"/>
      <c r="L15" s="2385"/>
    </row>
    <row r="16" spans="1:29" ht="12.2" customHeight="1" x14ac:dyDescent="0.2">
      <c r="A16" s="2408">
        <f>COVER!A25</f>
        <v>60131</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847-662-8300</v>
      </c>
      <c r="H18" s="2403"/>
      <c r="I18" s="2403"/>
      <c r="J18" s="2403"/>
      <c r="K18" s="2402" t="str">
        <f>COVER!X21</f>
        <v>847-662-8305</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Mannheim SD 83</v>
      </c>
      <c r="B1" s="2401"/>
      <c r="C1" s="2401"/>
      <c r="D1" s="2401"/>
    </row>
    <row r="2" spans="1:11" s="1212" customFormat="1" ht="12.75" x14ac:dyDescent="0.2">
      <c r="A2" s="2425">
        <f>'Single Audit Cover'!E7</f>
        <v>6016083002</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37" sqref="D3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Mannheim SD 83</v>
      </c>
      <c r="B1" s="2428"/>
      <c r="C1" s="2428"/>
      <c r="D1" s="2428"/>
      <c r="E1" s="2428"/>
    </row>
    <row r="2" spans="1:5" x14ac:dyDescent="0.2">
      <c r="A2" s="2429">
        <f>'Single Audit Cover'!E7</f>
        <v>6016083002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2929916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90106</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-231813</v>
      </c>
    </row>
    <row r="19" spans="1:4" ht="13.5" thickBot="1" x14ac:dyDescent="0.25">
      <c r="A19" s="1262" t="s">
        <v>1235</v>
      </c>
      <c r="D19" s="1263">
        <f>SUM(D10:D17)</f>
        <v>2788209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2788209</v>
      </c>
    </row>
    <row r="33" spans="1:4" x14ac:dyDescent="0.2">
      <c r="D33" s="1266"/>
    </row>
    <row r="34" spans="1:4" x14ac:dyDescent="0.2">
      <c r="A34" s="317" t="s">
        <v>1232</v>
      </c>
    </row>
    <row r="35" spans="1:4" x14ac:dyDescent="0.2">
      <c r="A35" s="317" t="s">
        <v>1231</v>
      </c>
      <c r="B35" s="1255" t="s">
        <v>1230</v>
      </c>
      <c r="D35" s="1267">
        <v>2788209</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2788209</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Mannheim SD 83</v>
      </c>
      <c r="C1" s="2432"/>
      <c r="D1" s="2432"/>
      <c r="E1" s="2432"/>
      <c r="F1" s="2432"/>
      <c r="G1" s="2432"/>
      <c r="H1" s="2432"/>
      <c r="I1" s="2432"/>
      <c r="J1" s="2432"/>
      <c r="K1" s="2432"/>
      <c r="L1" s="2432"/>
      <c r="M1" s="2432"/>
    </row>
    <row r="2" spans="2:14" ht="15" x14ac:dyDescent="0.2">
      <c r="B2" s="2433">
        <f>'Single Audit Cover'!E7</f>
        <v>6016083002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2099</v>
      </c>
      <c r="C11" s="1335"/>
      <c r="D11" s="1336"/>
      <c r="E11" s="1337"/>
      <c r="F11" s="1337"/>
      <c r="G11" s="1337"/>
      <c r="H11" s="1337"/>
      <c r="I11" s="1337"/>
      <c r="J11" s="1337"/>
      <c r="K11" s="1337"/>
      <c r="L11" s="1337">
        <f>+G11+I11+K11</f>
        <v>0</v>
      </c>
      <c r="M11" s="1337"/>
    </row>
    <row r="12" spans="2:14" ht="20.100000000000001" customHeight="1" x14ac:dyDescent="0.2">
      <c r="B12" s="1334" t="s">
        <v>2098</v>
      </c>
      <c r="C12" s="1338"/>
      <c r="D12" s="1339"/>
      <c r="E12" s="1340"/>
      <c r="F12" s="1340"/>
      <c r="G12" s="1340"/>
      <c r="H12" s="1340"/>
      <c r="I12" s="1340"/>
      <c r="J12" s="1340"/>
      <c r="K12" s="1340"/>
      <c r="L12" s="1337">
        <f t="shared" ref="L12:L27" si="0">+G12+I12+K12</f>
        <v>0</v>
      </c>
      <c r="M12" s="1340"/>
    </row>
    <row r="13" spans="2:14" ht="20.100000000000001" customHeight="1" x14ac:dyDescent="0.2">
      <c r="B13" s="1334" t="s">
        <v>2100</v>
      </c>
      <c r="C13" s="1338"/>
      <c r="D13" s="1339"/>
      <c r="E13" s="1340"/>
      <c r="F13" s="1340"/>
      <c r="G13" s="1340"/>
      <c r="H13" s="1340"/>
      <c r="I13" s="1340"/>
      <c r="J13" s="1340"/>
      <c r="K13" s="1340"/>
      <c r="L13" s="1337">
        <f t="shared" si="0"/>
        <v>0</v>
      </c>
      <c r="M13" s="1340"/>
    </row>
    <row r="14" spans="2:14" ht="20.100000000000001" customHeight="1" x14ac:dyDescent="0.2">
      <c r="B14" s="1334" t="s">
        <v>2101</v>
      </c>
      <c r="C14" s="1338">
        <v>10.555</v>
      </c>
      <c r="D14" s="1339" t="s">
        <v>2102</v>
      </c>
      <c r="E14" s="1340"/>
      <c r="F14" s="1340">
        <v>687300</v>
      </c>
      <c r="G14" s="1340"/>
      <c r="H14" s="1340"/>
      <c r="I14" s="1340">
        <v>687300</v>
      </c>
      <c r="J14" s="1340">
        <v>0</v>
      </c>
      <c r="K14" s="1340"/>
      <c r="L14" s="1337">
        <f t="shared" si="0"/>
        <v>687300</v>
      </c>
      <c r="M14" s="1340"/>
    </row>
    <row r="15" spans="2:14" ht="20.100000000000001" customHeight="1" x14ac:dyDescent="0.2">
      <c r="B15" s="1334" t="s">
        <v>2101</v>
      </c>
      <c r="C15" s="1338">
        <v>10.555</v>
      </c>
      <c r="D15" s="1339" t="s">
        <v>2103</v>
      </c>
      <c r="E15" s="1340">
        <v>638481</v>
      </c>
      <c r="F15" s="1340">
        <v>150798</v>
      </c>
      <c r="G15" s="1340">
        <v>638481</v>
      </c>
      <c r="H15" s="1340">
        <v>0</v>
      </c>
      <c r="I15" s="1340">
        <v>150798</v>
      </c>
      <c r="J15" s="1340">
        <v>0</v>
      </c>
      <c r="K15" s="1340"/>
      <c r="L15" s="1337">
        <f t="shared" si="0"/>
        <v>789279</v>
      </c>
      <c r="M15" s="1340"/>
    </row>
    <row r="16" spans="2:14" ht="20.100000000000001" customHeight="1" x14ac:dyDescent="0.2">
      <c r="B16" s="1334" t="s">
        <v>2104</v>
      </c>
      <c r="C16" s="1338">
        <v>10.553000000000001</v>
      </c>
      <c r="D16" s="1339" t="s">
        <v>2105</v>
      </c>
      <c r="E16" s="1340"/>
      <c r="F16" s="1340">
        <v>393511</v>
      </c>
      <c r="G16" s="1340"/>
      <c r="H16" s="1340"/>
      <c r="I16" s="1340">
        <v>393511</v>
      </c>
      <c r="J16" s="1340">
        <v>0</v>
      </c>
      <c r="K16" s="1340"/>
      <c r="L16" s="1337">
        <f t="shared" si="0"/>
        <v>393511</v>
      </c>
      <c r="M16" s="1340"/>
    </row>
    <row r="17" spans="2:14" ht="20.100000000000001" customHeight="1" x14ac:dyDescent="0.2">
      <c r="B17" s="1334" t="s">
        <v>2104</v>
      </c>
      <c r="C17" s="1338">
        <v>10.553000000000001</v>
      </c>
      <c r="D17" s="1339" t="s">
        <v>2106</v>
      </c>
      <c r="E17" s="1340">
        <v>401938</v>
      </c>
      <c r="F17" s="1340">
        <v>92541</v>
      </c>
      <c r="G17" s="1340">
        <v>401938</v>
      </c>
      <c r="H17" s="1340">
        <v>0</v>
      </c>
      <c r="I17" s="1340">
        <v>92541</v>
      </c>
      <c r="J17" s="1340">
        <v>0</v>
      </c>
      <c r="K17" s="1340"/>
      <c r="L17" s="1337">
        <f t="shared" si="0"/>
        <v>494479</v>
      </c>
      <c r="M17" s="1340"/>
    </row>
    <row r="18" spans="2:14" ht="20.100000000000001" customHeight="1" x14ac:dyDescent="0.2">
      <c r="B18" s="1334" t="s">
        <v>2107</v>
      </c>
      <c r="C18" s="1338">
        <v>10.555</v>
      </c>
      <c r="D18" s="1339" t="s">
        <v>2102</v>
      </c>
      <c r="E18" s="1340"/>
      <c r="F18" s="1340">
        <v>37179</v>
      </c>
      <c r="G18" s="1340"/>
      <c r="H18" s="1340"/>
      <c r="I18" s="1340">
        <v>37179</v>
      </c>
      <c r="J18" s="1340">
        <v>0</v>
      </c>
      <c r="K18" s="1340"/>
      <c r="L18" s="1337">
        <f t="shared" si="0"/>
        <v>37179</v>
      </c>
      <c r="M18" s="1340"/>
    </row>
    <row r="19" spans="2:14" ht="20.100000000000001" customHeight="1" x14ac:dyDescent="0.2">
      <c r="B19" s="1334" t="s">
        <v>2107</v>
      </c>
      <c r="C19" s="1338">
        <v>10.555</v>
      </c>
      <c r="D19" s="1339" t="s">
        <v>2103</v>
      </c>
      <c r="E19" s="1340">
        <v>45824</v>
      </c>
      <c r="F19" s="1340"/>
      <c r="G19" s="1340">
        <v>45824</v>
      </c>
      <c r="H19" s="1340">
        <v>0</v>
      </c>
      <c r="I19" s="1340"/>
      <c r="J19" s="1340">
        <v>0</v>
      </c>
      <c r="K19" s="1340"/>
      <c r="L19" s="1337">
        <f t="shared" si="0"/>
        <v>45824</v>
      </c>
      <c r="M19" s="1340"/>
    </row>
    <row r="20" spans="2:14" ht="20.100000000000001" customHeight="1" x14ac:dyDescent="0.2">
      <c r="B20" s="1334" t="s">
        <v>2109</v>
      </c>
      <c r="C20" s="1338">
        <v>10.555</v>
      </c>
      <c r="D20" s="1339" t="s">
        <v>2108</v>
      </c>
      <c r="E20" s="1340"/>
      <c r="F20" s="1340">
        <v>52927</v>
      </c>
      <c r="G20" s="1340"/>
      <c r="H20" s="1340"/>
      <c r="I20" s="1340">
        <v>52927</v>
      </c>
      <c r="J20" s="1340">
        <v>0</v>
      </c>
      <c r="K20" s="1340"/>
      <c r="L20" s="1337">
        <f t="shared" si="0"/>
        <v>52927</v>
      </c>
      <c r="M20" s="1340"/>
    </row>
    <row r="21" spans="2:14" ht="20.100000000000001" customHeight="1" x14ac:dyDescent="0.2">
      <c r="B21" s="1334" t="s">
        <v>2109</v>
      </c>
      <c r="C21" s="1338">
        <v>10.555</v>
      </c>
      <c r="D21" s="1339" t="s">
        <v>2110</v>
      </c>
      <c r="E21" s="1340">
        <v>42629</v>
      </c>
      <c r="F21" s="1340"/>
      <c r="G21" s="1340">
        <v>42629</v>
      </c>
      <c r="H21" s="1340">
        <v>0</v>
      </c>
      <c r="I21" s="1340"/>
      <c r="J21" s="1340">
        <v>0</v>
      </c>
      <c r="K21" s="1340"/>
      <c r="L21" s="1337">
        <f t="shared" si="0"/>
        <v>42629</v>
      </c>
      <c r="M21" s="1340"/>
    </row>
    <row r="22" spans="2:14" ht="20.100000000000001" customHeight="1" x14ac:dyDescent="0.2">
      <c r="B22" s="1334" t="s">
        <v>2111</v>
      </c>
      <c r="C22" s="1338"/>
      <c r="D22" s="1339"/>
      <c r="E22" s="1340">
        <v>1128872</v>
      </c>
      <c r="F22" s="1340">
        <v>1414256</v>
      </c>
      <c r="G22" s="1340">
        <v>1128872</v>
      </c>
      <c r="H22" s="1340">
        <v>0</v>
      </c>
      <c r="I22" s="1340">
        <v>1414256</v>
      </c>
      <c r="J22" s="1340">
        <v>0</v>
      </c>
      <c r="K22" s="1340"/>
      <c r="L22" s="1337">
        <f t="shared" si="0"/>
        <v>2543128</v>
      </c>
      <c r="M22" s="1340"/>
    </row>
    <row r="23" spans="2:14" ht="20.100000000000001" customHeight="1" x14ac:dyDescent="0.2">
      <c r="B23" s="1334" t="s">
        <v>2112</v>
      </c>
      <c r="C23" s="1338"/>
      <c r="D23" s="1339"/>
      <c r="E23" s="1340">
        <v>1128872</v>
      </c>
      <c r="F23" s="1340">
        <v>1414256</v>
      </c>
      <c r="G23" s="1340">
        <v>1128872</v>
      </c>
      <c r="H23" s="1340">
        <v>0</v>
      </c>
      <c r="I23" s="1340">
        <v>1414256</v>
      </c>
      <c r="J23" s="1340">
        <v>0</v>
      </c>
      <c r="K23" s="1340"/>
      <c r="L23" s="1337">
        <f t="shared" si="0"/>
        <v>2543128</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21" sqref="H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Mannheim SD 83</v>
      </c>
      <c r="C1" s="2432"/>
      <c r="D1" s="2432"/>
      <c r="E1" s="2432"/>
      <c r="F1" s="2432"/>
      <c r="G1" s="2432"/>
      <c r="H1" s="2432"/>
      <c r="I1" s="2432"/>
      <c r="J1" s="2432"/>
      <c r="K1" s="2432"/>
      <c r="L1" s="2432"/>
      <c r="M1" s="2432"/>
    </row>
    <row r="2" spans="2:14" ht="15" x14ac:dyDescent="0.2">
      <c r="B2" s="2433">
        <f>'Single Audit Cover'!E7</f>
        <v>6016083002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2113</v>
      </c>
      <c r="C11" s="1335"/>
      <c r="D11" s="1336"/>
      <c r="E11" s="1337"/>
      <c r="F11" s="1337"/>
      <c r="G11" s="1337"/>
      <c r="H11" s="1337"/>
      <c r="I11" s="1337"/>
      <c r="J11" s="1337"/>
      <c r="K11" s="1337"/>
      <c r="L11" s="1337">
        <f>+G11+I11+K11</f>
        <v>0</v>
      </c>
      <c r="M11" s="1337"/>
    </row>
    <row r="12" spans="2:14" ht="20.100000000000001" customHeight="1" x14ac:dyDescent="0.2">
      <c r="B12" s="1334" t="s">
        <v>2100</v>
      </c>
      <c r="C12" s="1338"/>
      <c r="D12" s="1339"/>
      <c r="E12" s="1340"/>
      <c r="F12" s="1340"/>
      <c r="G12" s="1340"/>
      <c r="H12" s="1340"/>
      <c r="I12" s="1340"/>
      <c r="J12" s="1340"/>
      <c r="K12" s="1340"/>
      <c r="L12" s="1337">
        <f t="shared" ref="L12:L27" si="0">+G12+I12+K12</f>
        <v>0</v>
      </c>
      <c r="M12" s="1340"/>
    </row>
    <row r="13" spans="2:14" ht="20.100000000000001" customHeight="1" x14ac:dyDescent="0.2">
      <c r="B13" s="1334" t="s">
        <v>2114</v>
      </c>
      <c r="C13" s="1338">
        <v>84.01</v>
      </c>
      <c r="D13" s="1339" t="s">
        <v>2115</v>
      </c>
      <c r="E13" s="1340"/>
      <c r="F13" s="1340">
        <v>634214</v>
      </c>
      <c r="G13" s="1340"/>
      <c r="H13" s="1340"/>
      <c r="I13" s="1340">
        <v>637700</v>
      </c>
      <c r="J13" s="1340">
        <v>0</v>
      </c>
      <c r="K13" s="1340"/>
      <c r="L13" s="1337">
        <f t="shared" si="0"/>
        <v>637700</v>
      </c>
      <c r="M13" s="1340"/>
    </row>
    <row r="14" spans="2:14" ht="20.100000000000001" customHeight="1" x14ac:dyDescent="0.2">
      <c r="B14" s="1334" t="s">
        <v>2114</v>
      </c>
      <c r="C14" s="1338">
        <v>84.01</v>
      </c>
      <c r="D14" s="1339" t="s">
        <v>2116</v>
      </c>
      <c r="E14" s="1340">
        <v>628405</v>
      </c>
      <c r="F14" s="1340">
        <v>13427</v>
      </c>
      <c r="G14" s="1340">
        <v>628405</v>
      </c>
      <c r="H14" s="1340">
        <v>0</v>
      </c>
      <c r="I14" s="1340">
        <v>13427</v>
      </c>
      <c r="J14" s="1340">
        <v>0</v>
      </c>
      <c r="K14" s="1340"/>
      <c r="L14" s="1337">
        <f t="shared" si="0"/>
        <v>641832</v>
      </c>
      <c r="M14" s="1340"/>
    </row>
    <row r="15" spans="2:14" ht="20.100000000000001" customHeight="1" x14ac:dyDescent="0.2">
      <c r="B15" s="1334" t="s">
        <v>2117</v>
      </c>
      <c r="C15" s="1338">
        <v>84.01</v>
      </c>
      <c r="D15" s="1339" t="s">
        <v>2118</v>
      </c>
      <c r="E15" s="1340"/>
      <c r="F15" s="1340">
        <v>22245</v>
      </c>
      <c r="G15" s="1340"/>
      <c r="H15" s="1340"/>
      <c r="I15" s="1340">
        <v>22245</v>
      </c>
      <c r="J15" s="1340">
        <v>0</v>
      </c>
      <c r="K15" s="1340"/>
      <c r="L15" s="1337">
        <f t="shared" si="0"/>
        <v>22245</v>
      </c>
      <c r="M15" s="1340"/>
    </row>
    <row r="16" spans="2:14" ht="20.100000000000001" customHeight="1" x14ac:dyDescent="0.2">
      <c r="B16" s="1334" t="s">
        <v>2120</v>
      </c>
      <c r="C16" s="1338">
        <v>84.364999999999995</v>
      </c>
      <c r="D16" s="1339" t="s">
        <v>2119</v>
      </c>
      <c r="E16" s="1340"/>
      <c r="F16" s="1340">
        <v>136376</v>
      </c>
      <c r="G16" s="1340"/>
      <c r="H16" s="1340"/>
      <c r="I16" s="1340">
        <v>136376</v>
      </c>
      <c r="J16" s="1340">
        <v>0</v>
      </c>
      <c r="K16" s="1340"/>
      <c r="L16" s="1337">
        <f t="shared" si="0"/>
        <v>136376</v>
      </c>
      <c r="M16" s="1340"/>
    </row>
    <row r="17" spans="2:14" ht="20.100000000000001" customHeight="1" x14ac:dyDescent="0.2">
      <c r="B17" s="1334" t="s">
        <v>2120</v>
      </c>
      <c r="C17" s="1338">
        <v>84.364999999999995</v>
      </c>
      <c r="D17" s="1339" t="s">
        <v>2121</v>
      </c>
      <c r="E17" s="1340">
        <v>91563</v>
      </c>
      <c r="F17" s="1340">
        <v>56836</v>
      </c>
      <c r="G17" s="1340">
        <v>91563</v>
      </c>
      <c r="H17" s="1340">
        <v>0</v>
      </c>
      <c r="I17" s="1340">
        <v>56836</v>
      </c>
      <c r="J17" s="1340">
        <v>0</v>
      </c>
      <c r="K17" s="1340"/>
      <c r="L17" s="1337">
        <f t="shared" si="0"/>
        <v>148399</v>
      </c>
      <c r="M17" s="1340"/>
    </row>
    <row r="18" spans="2:14" ht="20.100000000000001" customHeight="1" x14ac:dyDescent="0.2">
      <c r="B18" s="1334" t="s">
        <v>2122</v>
      </c>
      <c r="C18" s="1338">
        <v>84.367000000000004</v>
      </c>
      <c r="D18" s="1339" t="s">
        <v>2123</v>
      </c>
      <c r="E18" s="1340"/>
      <c r="F18" s="1340">
        <v>78777</v>
      </c>
      <c r="G18" s="1340"/>
      <c r="H18" s="1340"/>
      <c r="I18" s="1340">
        <v>78777</v>
      </c>
      <c r="J18" s="1340">
        <v>0</v>
      </c>
      <c r="K18" s="1340"/>
      <c r="L18" s="1337">
        <f t="shared" si="0"/>
        <v>78777</v>
      </c>
      <c r="M18" s="1340"/>
    </row>
    <row r="19" spans="2:14" ht="20.100000000000001" customHeight="1" x14ac:dyDescent="0.2">
      <c r="B19" s="1334" t="s">
        <v>2122</v>
      </c>
      <c r="C19" s="1338">
        <v>84.367000000000004</v>
      </c>
      <c r="D19" s="1339" t="s">
        <v>2124</v>
      </c>
      <c r="E19" s="1340">
        <v>91902</v>
      </c>
      <c r="F19" s="1340">
        <v>0</v>
      </c>
      <c r="G19" s="1340">
        <v>91902</v>
      </c>
      <c r="H19" s="1340">
        <v>0</v>
      </c>
      <c r="I19" s="1340">
        <v>0</v>
      </c>
      <c r="J19" s="1340">
        <v>0</v>
      </c>
      <c r="K19" s="1340"/>
      <c r="L19" s="1337">
        <f t="shared" si="0"/>
        <v>91902</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2168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Mannheim SD 83</v>
      </c>
      <c r="C1" s="2432"/>
      <c r="D1" s="2432"/>
      <c r="E1" s="2432"/>
      <c r="F1" s="2432"/>
      <c r="G1" s="2432"/>
      <c r="H1" s="2432"/>
      <c r="I1" s="2432"/>
      <c r="J1" s="2432"/>
      <c r="K1" s="2432"/>
      <c r="L1" s="2432"/>
      <c r="M1" s="2432"/>
    </row>
    <row r="2" spans="2:14" ht="15" x14ac:dyDescent="0.2">
      <c r="B2" s="2433">
        <f>'Single Audit Cover'!E7</f>
        <v>6016083002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2125</v>
      </c>
      <c r="C11" s="1335"/>
      <c r="D11" s="1336"/>
      <c r="E11" s="1337"/>
      <c r="F11" s="1337"/>
      <c r="G11" s="1337"/>
      <c r="H11" s="1337"/>
      <c r="I11" s="1337"/>
      <c r="J11" s="1337"/>
      <c r="K11" s="1337"/>
      <c r="L11" s="1337">
        <f>+G11+I11+K11</f>
        <v>0</v>
      </c>
      <c r="M11" s="1337"/>
    </row>
    <row r="12" spans="2:14" ht="20.100000000000001" customHeight="1" x14ac:dyDescent="0.2">
      <c r="B12" s="1334" t="s">
        <v>2126</v>
      </c>
      <c r="C12" s="1338"/>
      <c r="D12" s="1339"/>
      <c r="E12" s="1340"/>
      <c r="F12" s="1340"/>
      <c r="G12" s="1340"/>
      <c r="H12" s="1340"/>
      <c r="I12" s="1340"/>
      <c r="J12" s="1340"/>
      <c r="K12" s="1340"/>
      <c r="L12" s="1337">
        <f t="shared" ref="L12:L27" si="0">+G12+I12+K12</f>
        <v>0</v>
      </c>
      <c r="M12" s="1340"/>
    </row>
    <row r="13" spans="2:14" ht="20.100000000000001" customHeight="1" x14ac:dyDescent="0.2">
      <c r="B13" s="1334" t="s">
        <v>2127</v>
      </c>
      <c r="C13" s="1338"/>
      <c r="D13" s="1339"/>
      <c r="E13" s="1340"/>
      <c r="F13" s="1340"/>
      <c r="G13" s="1340"/>
      <c r="H13" s="1340"/>
      <c r="I13" s="1340"/>
      <c r="J13" s="1340"/>
      <c r="K13" s="1340"/>
      <c r="L13" s="1337">
        <f t="shared" si="0"/>
        <v>0</v>
      </c>
      <c r="M13" s="1340"/>
    </row>
    <row r="14" spans="2:14" ht="20.100000000000001" customHeight="1" x14ac:dyDescent="0.2">
      <c r="B14" s="1334" t="s">
        <v>2130</v>
      </c>
      <c r="C14" s="1338">
        <v>84.173000000000002</v>
      </c>
      <c r="D14" s="1339" t="s">
        <v>2128</v>
      </c>
      <c r="E14" s="1340"/>
      <c r="F14" s="1340">
        <v>11666</v>
      </c>
      <c r="G14" s="1340"/>
      <c r="H14" s="1340"/>
      <c r="I14" s="1340">
        <v>11666</v>
      </c>
      <c r="J14" s="1340">
        <v>0</v>
      </c>
      <c r="K14" s="1340"/>
      <c r="L14" s="1337">
        <f t="shared" si="0"/>
        <v>11666</v>
      </c>
      <c r="M14" s="1340"/>
    </row>
    <row r="15" spans="2:14" ht="20.100000000000001" customHeight="1" x14ac:dyDescent="0.2">
      <c r="B15" s="1334" t="s">
        <v>2130</v>
      </c>
      <c r="C15" s="1338">
        <v>84.173000000000002</v>
      </c>
      <c r="D15" s="1339" t="s">
        <v>2129</v>
      </c>
      <c r="E15" s="1340">
        <v>11662</v>
      </c>
      <c r="F15" s="1340"/>
      <c r="G15" s="1340">
        <v>11662</v>
      </c>
      <c r="H15" s="1340">
        <v>0</v>
      </c>
      <c r="I15" s="1340"/>
      <c r="J15" s="1340">
        <v>0</v>
      </c>
      <c r="K15" s="1340"/>
      <c r="L15" s="1337">
        <f t="shared" si="0"/>
        <v>11662</v>
      </c>
      <c r="M15" s="1340"/>
    </row>
    <row r="16" spans="2:14" ht="20.100000000000001" customHeight="1" x14ac:dyDescent="0.2">
      <c r="B16" s="1334" t="s">
        <v>2131</v>
      </c>
      <c r="C16" s="1338">
        <v>84.027000000000001</v>
      </c>
      <c r="D16" s="1339" t="s">
        <v>2132</v>
      </c>
      <c r="E16" s="1340"/>
      <c r="F16" s="1340">
        <v>317324</v>
      </c>
      <c r="G16" s="1340"/>
      <c r="H16" s="1340"/>
      <c r="I16" s="1340">
        <v>317324</v>
      </c>
      <c r="J16" s="1340">
        <v>0</v>
      </c>
      <c r="K16" s="1340"/>
      <c r="L16" s="1337">
        <f t="shared" si="0"/>
        <v>317324</v>
      </c>
      <c r="M16" s="1340"/>
    </row>
    <row r="17" spans="2:14" ht="20.100000000000001" customHeight="1" x14ac:dyDescent="0.2">
      <c r="B17" s="1334" t="s">
        <v>2131</v>
      </c>
      <c r="C17" s="1338">
        <v>84.027000000000001</v>
      </c>
      <c r="D17" s="1339" t="s">
        <v>2133</v>
      </c>
      <c r="E17" s="1340">
        <v>391749</v>
      </c>
      <c r="F17" s="1340"/>
      <c r="G17" s="1340">
        <v>391749</v>
      </c>
      <c r="H17" s="1340">
        <v>0</v>
      </c>
      <c r="I17" s="1340"/>
      <c r="J17" s="1340">
        <v>0</v>
      </c>
      <c r="K17" s="1340"/>
      <c r="L17" s="1337">
        <f t="shared" si="0"/>
        <v>391749</v>
      </c>
      <c r="M17" s="1340"/>
    </row>
    <row r="18" spans="2:14" ht="20.100000000000001" customHeight="1" x14ac:dyDescent="0.2">
      <c r="B18" s="1334" t="s">
        <v>2100</v>
      </c>
      <c r="C18" s="1338"/>
      <c r="D18" s="1339"/>
      <c r="E18" s="1340"/>
      <c r="F18" s="1340"/>
      <c r="G18" s="1340"/>
      <c r="H18" s="1340"/>
      <c r="I18" s="1340"/>
      <c r="J18" s="1340"/>
      <c r="K18" s="1340"/>
      <c r="L18" s="1337">
        <f t="shared" si="0"/>
        <v>0</v>
      </c>
      <c r="M18" s="1340"/>
    </row>
    <row r="19" spans="2:14" ht="20.100000000000001" customHeight="1" x14ac:dyDescent="0.2">
      <c r="B19" s="1334" t="s">
        <v>2134</v>
      </c>
      <c r="C19" s="1338">
        <v>84.027000000000001</v>
      </c>
      <c r="D19" s="1339" t="s">
        <v>2135</v>
      </c>
      <c r="E19" s="1340"/>
      <c r="F19" s="1340">
        <v>0</v>
      </c>
      <c r="G19" s="1340"/>
      <c r="H19" s="1340"/>
      <c r="I19" s="1340">
        <v>24982</v>
      </c>
      <c r="J19" s="1340">
        <v>0</v>
      </c>
      <c r="K19" s="1340"/>
      <c r="L19" s="1337">
        <f t="shared" si="0"/>
        <v>24982</v>
      </c>
      <c r="M19" s="1340"/>
    </row>
    <row r="20" spans="2:14" ht="20.100000000000001" customHeight="1" x14ac:dyDescent="0.2">
      <c r="B20" s="1334" t="s">
        <v>2134</v>
      </c>
      <c r="C20" s="1338">
        <v>84.027000000000001</v>
      </c>
      <c r="D20" s="1339" t="s">
        <v>2136</v>
      </c>
      <c r="E20" s="1340"/>
      <c r="F20" s="1340">
        <v>11779</v>
      </c>
      <c r="G20" s="1340">
        <v>11779</v>
      </c>
      <c r="H20" s="1340">
        <v>0</v>
      </c>
      <c r="I20" s="1340"/>
      <c r="J20" s="1340">
        <v>0</v>
      </c>
      <c r="K20" s="1340"/>
      <c r="L20" s="1337">
        <f t="shared" si="0"/>
        <v>11779</v>
      </c>
      <c r="M20" s="1340"/>
    </row>
    <row r="21" spans="2:14" ht="20.100000000000001" customHeight="1" x14ac:dyDescent="0.2">
      <c r="B21" s="1334" t="s">
        <v>2149</v>
      </c>
      <c r="C21" s="1338"/>
      <c r="D21" s="1339"/>
      <c r="E21" s="1340">
        <v>403411</v>
      </c>
      <c r="F21" s="1340">
        <v>340769</v>
      </c>
      <c r="G21" s="1340">
        <v>415190</v>
      </c>
      <c r="H21" s="1340">
        <v>0</v>
      </c>
      <c r="I21" s="1340">
        <v>353972</v>
      </c>
      <c r="J21" s="1340">
        <v>0</v>
      </c>
      <c r="K21" s="1340"/>
      <c r="L21" s="1337">
        <f t="shared" si="0"/>
        <v>769162</v>
      </c>
      <c r="M21" s="1340"/>
    </row>
    <row r="22" spans="2:14" ht="20.100000000000001" customHeight="1" x14ac:dyDescent="0.2">
      <c r="B22" s="1334" t="s">
        <v>2137</v>
      </c>
      <c r="C22" s="1338"/>
      <c r="D22" s="1339"/>
      <c r="E22" s="1340">
        <v>1215281</v>
      </c>
      <c r="F22" s="1340">
        <v>1282644</v>
      </c>
      <c r="G22" s="1340">
        <v>1227060</v>
      </c>
      <c r="H22" s="1340">
        <v>0</v>
      </c>
      <c r="I22" s="1340">
        <v>1299333</v>
      </c>
      <c r="J22" s="1340">
        <v>0</v>
      </c>
      <c r="K22" s="1340"/>
      <c r="L22" s="1337">
        <f t="shared" si="0"/>
        <v>2526393</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Mannheim SD 83</v>
      </c>
      <c r="C1" s="2432"/>
      <c r="D1" s="2432"/>
      <c r="E1" s="2432"/>
      <c r="F1" s="2432"/>
      <c r="G1" s="2432"/>
      <c r="H1" s="2432"/>
      <c r="I1" s="2432"/>
      <c r="J1" s="2432"/>
      <c r="K1" s="2432"/>
      <c r="L1" s="2432"/>
      <c r="M1" s="2432"/>
    </row>
    <row r="2" spans="2:14" ht="15" x14ac:dyDescent="0.2">
      <c r="B2" s="2433">
        <f>'Single Audit Cover'!E7</f>
        <v>6016083002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2138</v>
      </c>
      <c r="C11" s="1335"/>
      <c r="D11" s="1336"/>
      <c r="E11" s="1337"/>
      <c r="F11" s="1337"/>
      <c r="G11" s="1337"/>
      <c r="H11" s="1337"/>
      <c r="I11" s="1337"/>
      <c r="J11" s="1337"/>
      <c r="K11" s="1337"/>
      <c r="L11" s="1337">
        <f>+G11+I11+K11</f>
        <v>0</v>
      </c>
      <c r="M11" s="1337"/>
    </row>
    <row r="12" spans="2:14" ht="20.100000000000001" customHeight="1" x14ac:dyDescent="0.2">
      <c r="B12" s="1334" t="s">
        <v>2139</v>
      </c>
      <c r="C12" s="1338"/>
      <c r="D12" s="1339"/>
      <c r="E12" s="1340"/>
      <c r="F12" s="1340"/>
      <c r="G12" s="1340"/>
      <c r="H12" s="1340"/>
      <c r="I12" s="1340"/>
      <c r="J12" s="1340"/>
      <c r="K12" s="1340"/>
      <c r="L12" s="1337">
        <f t="shared" ref="L12:L27" si="0">+G12+I12+K12</f>
        <v>0</v>
      </c>
      <c r="M12" s="1340"/>
    </row>
    <row r="13" spans="2:14" ht="20.100000000000001" customHeight="1" x14ac:dyDescent="0.2">
      <c r="B13" s="1334" t="s">
        <v>2140</v>
      </c>
      <c r="C13" s="1338">
        <v>93.778000000000006</v>
      </c>
      <c r="D13" s="1339" t="s">
        <v>2141</v>
      </c>
      <c r="E13" s="1340"/>
      <c r="F13" s="1340">
        <v>91309</v>
      </c>
      <c r="G13" s="1340"/>
      <c r="H13" s="1340"/>
      <c r="I13" s="1340">
        <v>91309</v>
      </c>
      <c r="J13" s="1340">
        <v>0</v>
      </c>
      <c r="K13" s="1340"/>
      <c r="L13" s="1337">
        <f t="shared" si="0"/>
        <v>91309</v>
      </c>
      <c r="M13" s="1340"/>
    </row>
    <row r="14" spans="2:14" ht="20.100000000000001" customHeight="1" x14ac:dyDescent="0.2">
      <c r="B14" s="1334" t="s">
        <v>2140</v>
      </c>
      <c r="C14" s="1338">
        <v>93.778000000000006</v>
      </c>
      <c r="D14" s="1339" t="s">
        <v>2142</v>
      </c>
      <c r="E14" s="1340">
        <v>57208</v>
      </c>
      <c r="F14" s="1340"/>
      <c r="G14" s="1340">
        <v>57208</v>
      </c>
      <c r="H14" s="1340">
        <v>0</v>
      </c>
      <c r="I14" s="1340"/>
      <c r="J14" s="1340">
        <v>0</v>
      </c>
      <c r="K14" s="1340"/>
      <c r="L14" s="1337">
        <f t="shared" si="0"/>
        <v>57208</v>
      </c>
      <c r="M14" s="1340"/>
    </row>
    <row r="15" spans="2:14" ht="20.100000000000001" customHeight="1" x14ac:dyDescent="0.2">
      <c r="B15" s="1334" t="s">
        <v>2143</v>
      </c>
      <c r="C15" s="1338"/>
      <c r="D15" s="1339"/>
      <c r="E15" s="1340">
        <v>57208</v>
      </c>
      <c r="F15" s="1340">
        <v>91309</v>
      </c>
      <c r="G15" s="1340">
        <v>57208</v>
      </c>
      <c r="H15" s="1340"/>
      <c r="I15" s="1340">
        <v>91309</v>
      </c>
      <c r="J15" s="1340"/>
      <c r="K15" s="1340"/>
      <c r="L15" s="1337">
        <f t="shared" si="0"/>
        <v>148517</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2144</v>
      </c>
      <c r="C18" s="1338"/>
      <c r="D18" s="1339"/>
      <c r="E18" s="1340">
        <v>2401361</v>
      </c>
      <c r="F18" s="1340">
        <v>2788209</v>
      </c>
      <c r="G18" s="1340">
        <v>2413140</v>
      </c>
      <c r="H18" s="1340">
        <v>0</v>
      </c>
      <c r="I18" s="1340">
        <v>2804898</v>
      </c>
      <c r="J18" s="1340">
        <v>0</v>
      </c>
      <c r="K18" s="1340"/>
      <c r="L18" s="1337">
        <f t="shared" si="0"/>
        <v>5218038</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2145</v>
      </c>
      <c r="C24" s="1338"/>
      <c r="D24" s="1339"/>
      <c r="E24" s="1340">
        <v>0</v>
      </c>
      <c r="F24" s="1340">
        <v>90106</v>
      </c>
      <c r="G24" s="1340">
        <v>0</v>
      </c>
      <c r="H24" s="1340">
        <v>0</v>
      </c>
      <c r="I24" s="1340">
        <v>90106</v>
      </c>
      <c r="J24" s="1340">
        <v>0</v>
      </c>
      <c r="K24" s="1340">
        <v>0</v>
      </c>
      <c r="L24" s="1337">
        <f t="shared" si="0"/>
        <v>90106</v>
      </c>
      <c r="M24" s="1340"/>
    </row>
    <row r="25" spans="2:14" ht="20.100000000000001" customHeight="1" x14ac:dyDescent="0.2">
      <c r="B25" s="1334" t="s">
        <v>2146</v>
      </c>
      <c r="C25" s="1338"/>
      <c r="D25" s="1339"/>
      <c r="E25" s="1340">
        <v>0</v>
      </c>
      <c r="F25" s="1340">
        <v>0</v>
      </c>
      <c r="G25" s="1340">
        <v>0</v>
      </c>
      <c r="H25" s="1340">
        <v>0</v>
      </c>
      <c r="I25" s="1340">
        <v>0</v>
      </c>
      <c r="J25" s="1340">
        <v>0</v>
      </c>
      <c r="K25" s="1340">
        <v>0</v>
      </c>
      <c r="L25" s="1337">
        <f t="shared" si="0"/>
        <v>0</v>
      </c>
      <c r="M25" s="1340"/>
    </row>
    <row r="26" spans="2:14" ht="20.100000000000001" customHeight="1" x14ac:dyDescent="0.2">
      <c r="B26" s="1334" t="s">
        <v>2147</v>
      </c>
      <c r="C26" s="1338"/>
      <c r="D26" s="1339"/>
      <c r="E26" s="1340">
        <v>0</v>
      </c>
      <c r="F26" s="1340">
        <v>0</v>
      </c>
      <c r="G26" s="1340">
        <v>0</v>
      </c>
      <c r="H26" s="1340">
        <v>0</v>
      </c>
      <c r="I26" s="1340">
        <v>0</v>
      </c>
      <c r="J26" s="1340">
        <v>0</v>
      </c>
      <c r="K26" s="1340">
        <v>0</v>
      </c>
      <c r="L26" s="1337">
        <f t="shared" si="0"/>
        <v>0</v>
      </c>
      <c r="M26" s="1340"/>
    </row>
    <row r="27" spans="2:14" ht="20.100000000000001" customHeight="1" x14ac:dyDescent="0.2">
      <c r="B27" s="1334" t="s">
        <v>2148</v>
      </c>
      <c r="C27" s="1338"/>
      <c r="D27" s="1339"/>
      <c r="E27" s="1340">
        <v>0</v>
      </c>
      <c r="F27" s="1340">
        <v>0</v>
      </c>
      <c r="G27" s="1340">
        <v>0</v>
      </c>
      <c r="H27" s="1340">
        <v>0</v>
      </c>
      <c r="I27" s="1340">
        <v>0</v>
      </c>
      <c r="J27" s="1340">
        <v>0</v>
      </c>
      <c r="K27" s="1340">
        <v>0</v>
      </c>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C42" sqref="C4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Mannheim SD 83</v>
      </c>
      <c r="B1" s="2445"/>
      <c r="C1" s="2445"/>
      <c r="D1" s="2445"/>
      <c r="E1" s="2445"/>
      <c r="F1" s="2445"/>
    </row>
    <row r="2" spans="1:7" ht="13.5" customHeight="1" x14ac:dyDescent="0.2">
      <c r="A2" s="2433">
        <f>'Single Audit Cover'!E7</f>
        <v>6016083002</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2091</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1730</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2092</v>
      </c>
      <c r="C17" s="1282" t="s">
        <v>2093</v>
      </c>
      <c r="D17" s="2437" t="s">
        <v>2094</v>
      </c>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2095</v>
      </c>
      <c r="B32" s="2438"/>
      <c r="C32" s="2438"/>
      <c r="D32" s="2438"/>
      <c r="E32" s="2438"/>
      <c r="F32" s="2438"/>
    </row>
    <row r="33" spans="1:6" ht="13.5" customHeight="1" x14ac:dyDescent="0.2">
      <c r="A33" s="328" t="s">
        <v>1434</v>
      </c>
      <c r="B33" s="328"/>
      <c r="C33" s="1285">
        <v>37179</v>
      </c>
      <c r="D33" s="1903"/>
      <c r="E33" s="1283"/>
    </row>
    <row r="34" spans="1:6" ht="13.5" customHeight="1" x14ac:dyDescent="0.2">
      <c r="A34" s="328" t="s">
        <v>1836</v>
      </c>
      <c r="B34" s="328"/>
      <c r="C34" s="1286">
        <v>52927</v>
      </c>
      <c r="D34" s="1903" t="s">
        <v>1589</v>
      </c>
      <c r="E34" s="2439">
        <f>+C33+C34</f>
        <v>90106</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1590</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1551</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G41" sqref="G41:I4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Mannheim SD 83</v>
      </c>
      <c r="C1" s="2460"/>
      <c r="D1" s="2460"/>
      <c r="E1" s="2460"/>
      <c r="F1" s="2460"/>
      <c r="G1" s="2460"/>
      <c r="H1" s="2460"/>
      <c r="I1" s="2460"/>
      <c r="J1" s="1406"/>
    </row>
    <row r="2" spans="2:10" s="317" customFormat="1" ht="12.75" customHeight="1" x14ac:dyDescent="0.2">
      <c r="B2" s="2461">
        <f>'Single Audit Cover'!E7</f>
        <v>6016083002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1164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2096</v>
      </c>
      <c r="E29" s="2466"/>
      <c r="F29" s="2466"/>
      <c r="G29" s="2466"/>
      <c r="H29" s="2466"/>
      <c r="I29" s="2466"/>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67" t="s">
        <v>1749</v>
      </c>
      <c r="D37" s="2468"/>
      <c r="E37" s="2468"/>
      <c r="F37" s="2469"/>
      <c r="G37" s="2467" t="s">
        <v>1592</v>
      </c>
      <c r="H37" s="2468"/>
      <c r="I37" s="2469"/>
    </row>
    <row r="38" spans="2:9" ht="16.5" customHeight="1" x14ac:dyDescent="0.2">
      <c r="B38" s="1428" t="s">
        <v>2097</v>
      </c>
      <c r="C38" s="2455" t="s">
        <v>2098</v>
      </c>
      <c r="D38" s="2456"/>
      <c r="E38" s="2456"/>
      <c r="F38" s="2457"/>
      <c r="G38" s="2470">
        <v>1414256</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1414256</v>
      </c>
      <c r="H43" s="2451"/>
      <c r="I43" s="2451"/>
    </row>
    <row r="44" spans="2:9" ht="12.75" customHeight="1" x14ac:dyDescent="0.2"/>
    <row r="45" spans="2:9" ht="12.75" customHeight="1" x14ac:dyDescent="0.2">
      <c r="B45" s="1419" t="s">
        <v>1839</v>
      </c>
      <c r="D45" s="2452">
        <v>2804898</v>
      </c>
      <c r="E45" s="2453"/>
    </row>
    <row r="46" spans="2:9" ht="5.25" customHeight="1" x14ac:dyDescent="0.2">
      <c r="B46" s="1429"/>
      <c r="D46" s="1430"/>
      <c r="E46" s="1431"/>
    </row>
    <row r="47" spans="2:9" ht="12.75" customHeight="1" x14ac:dyDescent="0.2">
      <c r="B47" s="1297" t="s">
        <v>1594</v>
      </c>
      <c r="C47" s="1297"/>
      <c r="D47" s="1432">
        <f>+G43/D45</f>
        <v>0.50420942223210974</v>
      </c>
      <c r="E47" s="1433"/>
      <c r="F47" s="1434"/>
      <c r="I47" s="1435"/>
    </row>
    <row r="48" spans="2:9" ht="9.9499999999999993" customHeight="1" x14ac:dyDescent="0.2"/>
    <row r="49" spans="1:9" x14ac:dyDescent="0.2">
      <c r="B49" s="1365" t="s">
        <v>1273</v>
      </c>
      <c r="C49" s="1279"/>
      <c r="D49" s="1279"/>
      <c r="E49" s="2454">
        <v>750000</v>
      </c>
      <c r="F49" s="2454"/>
      <c r="G49" s="2454"/>
      <c r="H49" s="322"/>
    </row>
    <row r="51" spans="1:9" ht="13.5" customHeight="1" x14ac:dyDescent="0.2">
      <c r="B51" s="1365" t="s">
        <v>1272</v>
      </c>
      <c r="C51" s="1279"/>
      <c r="E51" s="1422" t="s">
        <v>2062</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Mannheim SD 83</v>
      </c>
      <c r="C1" s="2459"/>
      <c r="D1" s="2459"/>
      <c r="E1" s="2459"/>
      <c r="F1" s="2459"/>
      <c r="G1" s="2459"/>
      <c r="H1" s="2459"/>
      <c r="I1" s="2459"/>
      <c r="J1" s="2459"/>
      <c r="K1" s="2459"/>
      <c r="L1" s="1371"/>
      <c r="M1" s="1371"/>
    </row>
    <row r="2" spans="1:13" ht="12" customHeight="1" x14ac:dyDescent="0.2">
      <c r="B2" s="2461">
        <f>'Single Audit Cover'!E7</f>
        <v>6016083002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t="s">
        <v>2093</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t="s">
        <v>2092</v>
      </c>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F13" sqref="F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Mannheim SD 83</v>
      </c>
      <c r="C1" s="2482"/>
      <c r="D1" s="2482"/>
      <c r="E1" s="2482"/>
      <c r="F1" s="2482"/>
      <c r="G1" s="2482"/>
      <c r="H1" s="2482"/>
      <c r="I1" s="2482"/>
      <c r="J1" s="2482"/>
      <c r="K1" s="2482"/>
      <c r="L1" s="1449"/>
    </row>
    <row r="2" spans="1:12" ht="12.75" customHeight="1" x14ac:dyDescent="0.2">
      <c r="B2" s="2483">
        <f>'Single Audit Cover'!E7</f>
        <v>6016083002</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t="s">
        <v>2093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t="s">
        <v>2092</v>
      </c>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Mannheim SD 83</v>
      </c>
      <c r="C1" s="2459"/>
      <c r="D1" s="2459"/>
      <c r="E1" s="1469"/>
    </row>
    <row r="2" spans="2:5" s="1279" customFormat="1" ht="12.75" customHeight="1" x14ac:dyDescent="0.2">
      <c r="B2" s="2461">
        <f>'Single Audit Cover'!E7</f>
        <v>6016083002</v>
      </c>
      <c r="C2" s="2461"/>
      <c r="D2" s="2461"/>
      <c r="E2" s="1470"/>
    </row>
    <row r="3" spans="2:5" ht="12.75" customHeight="1" x14ac:dyDescent="0.2">
      <c r="B3" s="2475" t="s">
        <v>1764</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t="s">
        <v>2092</v>
      </c>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31" sqref="C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715278055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3.9827000000000001E-2</v>
      </c>
      <c r="E10" s="356" t="s">
        <v>1005</v>
      </c>
      <c r="F10" s="355">
        <v>5.4999999999999997E-3</v>
      </c>
      <c r="G10" s="356" t="s">
        <v>1005</v>
      </c>
      <c r="H10" s="355">
        <v>1.258E-3</v>
      </c>
      <c r="I10" s="356" t="s">
        <v>1006</v>
      </c>
      <c r="J10" s="1732">
        <f>ROUND(D10+F10+H10,5)</f>
        <v>4.6589999999999999E-2</v>
      </c>
      <c r="K10" s="222"/>
      <c r="L10" s="355">
        <v>2.8800000000000001E-4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50578690</v>
      </c>
      <c r="E16" s="356"/>
      <c r="F16" s="1733">
        <f>SUM('Acct Summary 7-8'!C17,'Acct Summary 7-8'!D17,'Acct Summary 7-8'!F17)</f>
        <v>43963770</v>
      </c>
      <c r="G16" s="356"/>
      <c r="H16" s="1733">
        <f>SUM(D16-F16)</f>
        <v>6614920</v>
      </c>
      <c r="I16" s="222"/>
      <c r="J16" s="1733">
        <f>SUM('Acct Summary 7-8'!C81,'Acct Summary 7-8'!D81,'Acct Summary 7-8'!F81,'Acct Summary 7-8'!I81)</f>
        <v>64498468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49354185.795000002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35895000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Mannheim SD 83</v>
      </c>
      <c r="E7" s="391"/>
      <c r="G7" s="252"/>
      <c r="H7" s="387"/>
      <c r="I7" s="387"/>
      <c r="J7" s="387"/>
      <c r="K7" s="387"/>
      <c r="L7" s="329"/>
      <c r="M7" s="329"/>
      <c r="N7" s="329"/>
      <c r="O7" s="329"/>
      <c r="P7" s="329"/>
    </row>
    <row r="8" spans="1:18" ht="12.75" x14ac:dyDescent="0.2">
      <c r="A8" s="329"/>
      <c r="B8" s="329"/>
      <c r="C8" s="389" t="s">
        <v>1125</v>
      </c>
      <c r="D8" s="392">
        <f>COVER!A13</f>
        <v>6016083002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64498468</v>
      </c>
      <c r="I12" s="404"/>
      <c r="J12" s="404"/>
      <c r="K12" s="405">
        <f>TRUNC((H12/H13*100000),5)/100000</f>
        <v>1.2752103306</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50578690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43963770</v>
      </c>
      <c r="I17" s="404"/>
      <c r="J17" s="416"/>
      <c r="K17" s="405">
        <f>TRUNC((H17/H18*100000),5)/100000</f>
        <v>0.86921527619999994</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50578690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63400467</v>
      </c>
      <c r="I24" s="422"/>
      <c r="J24" s="422"/>
      <c r="K24" s="423">
        <f>TRUNC(((H24/H25*100000)/100000),2)</f>
        <v>519.15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122121.58332999999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28326083.89508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35895000</v>
      </c>
      <c r="I32" s="420"/>
      <c r="J32" s="420"/>
      <c r="K32" s="423">
        <f>TRUNC(100-((((H32/H33*100))*100)/100),2)</f>
        <v>27.27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49354185.795000002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pane="bottomLeft" activeCell="M44" sqref="M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43610143</v>
      </c>
      <c r="D4" s="466">
        <v>4887903</v>
      </c>
      <c r="E4" s="466">
        <v>2255500</v>
      </c>
      <c r="F4" s="466">
        <v>12839719</v>
      </c>
      <c r="G4" s="466">
        <v>3692777</v>
      </c>
      <c r="H4" s="466">
        <v>2798844</v>
      </c>
      <c r="I4" s="466">
        <v>2062702</v>
      </c>
      <c r="J4" s="467">
        <v>392103</v>
      </c>
      <c r="K4" s="466">
        <v>228052</v>
      </c>
      <c r="L4" s="466">
        <v>132401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v>15575740</v>
      </c>
      <c r="D6" s="466">
        <v>1933566</v>
      </c>
      <c r="E6" s="466">
        <v>1044201</v>
      </c>
      <c r="F6" s="466">
        <v>451558</v>
      </c>
      <c r="G6" s="471">
        <v>252145</v>
      </c>
      <c r="H6" s="471"/>
      <c r="I6" s="466">
        <v>106167</v>
      </c>
      <c r="J6" s="474">
        <v>159250</v>
      </c>
      <c r="K6" s="471">
        <v>363690</v>
      </c>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630058</v>
      </c>
      <c r="D8" s="467"/>
      <c r="E8" s="467"/>
      <c r="F8" s="467">
        <v>202376</v>
      </c>
      <c r="G8" s="478"/>
      <c r="H8" s="467"/>
      <c r="I8" s="474"/>
      <c r="J8" s="474"/>
      <c r="K8" s="479"/>
      <c r="L8" s="480"/>
      <c r="M8" s="468"/>
      <c r="N8" s="469"/>
    </row>
    <row r="9" spans="1:14" ht="13.5" customHeight="1" x14ac:dyDescent="0.2">
      <c r="A9" s="473" t="s">
        <v>270</v>
      </c>
      <c r="B9" s="470">
        <v>160</v>
      </c>
      <c r="C9" s="476">
        <v>477623</v>
      </c>
      <c r="D9" s="467">
        <v>37026</v>
      </c>
      <c r="E9" s="467">
        <v>7807</v>
      </c>
      <c r="F9" s="467">
        <v>107606</v>
      </c>
      <c r="G9" s="467">
        <v>32183</v>
      </c>
      <c r="H9" s="478">
        <v>15</v>
      </c>
      <c r="I9" s="467">
        <v>13494</v>
      </c>
      <c r="J9" s="467">
        <v>3893</v>
      </c>
      <c r="K9" s="467">
        <v>8755</v>
      </c>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60293564</v>
      </c>
      <c r="D13" s="1737">
        <f t="shared" ref="D13:L13" si="0">SUM(D4:D12)</f>
        <v>6858495</v>
      </c>
      <c r="E13" s="1737">
        <f t="shared" si="0"/>
        <v>3307508</v>
      </c>
      <c r="F13" s="1737">
        <f t="shared" si="0"/>
        <v>13601259</v>
      </c>
      <c r="G13" s="1737">
        <f t="shared" si="0"/>
        <v>3977105</v>
      </c>
      <c r="H13" s="1737">
        <f t="shared" si="0"/>
        <v>2798859</v>
      </c>
      <c r="I13" s="1737">
        <f t="shared" si="0"/>
        <v>2182363</v>
      </c>
      <c r="J13" s="1737">
        <f t="shared" si="0"/>
        <v>555246</v>
      </c>
      <c r="K13" s="1737">
        <f t="shared" si="0"/>
        <v>600497</v>
      </c>
      <c r="L13" s="1737">
        <f t="shared" si="0"/>
        <v>132401</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5099610</v>
      </c>
      <c r="N16" s="484"/>
    </row>
    <row r="17" spans="1:14" s="485" customFormat="1" ht="12.75" customHeight="1" x14ac:dyDescent="0.2">
      <c r="A17" s="482" t="s">
        <v>1403</v>
      </c>
      <c r="B17" s="483">
        <v>230</v>
      </c>
      <c r="C17" s="477"/>
      <c r="D17" s="477"/>
      <c r="E17" s="477"/>
      <c r="F17" s="477"/>
      <c r="G17" s="477"/>
      <c r="H17" s="477"/>
      <c r="I17" s="477"/>
      <c r="J17" s="477"/>
      <c r="K17" s="477"/>
      <c r="L17" s="477"/>
      <c r="M17" s="467">
        <v>51071391</v>
      </c>
      <c r="N17" s="484"/>
    </row>
    <row r="18" spans="1:14" s="485" customFormat="1" ht="12.75" customHeight="1" x14ac:dyDescent="0.2">
      <c r="A18" s="482" t="s">
        <v>1404</v>
      </c>
      <c r="B18" s="483">
        <v>240</v>
      </c>
      <c r="C18" s="477"/>
      <c r="D18" s="477"/>
      <c r="E18" s="477"/>
      <c r="F18" s="477"/>
      <c r="G18" s="477"/>
      <c r="H18" s="477"/>
      <c r="I18" s="477"/>
      <c r="J18" s="477"/>
      <c r="K18" s="477"/>
      <c r="L18" s="477"/>
      <c r="M18" s="467">
        <v>2101917</v>
      </c>
      <c r="N18" s="484"/>
    </row>
    <row r="19" spans="1:14" s="485" customFormat="1" ht="12.75" customHeight="1" x14ac:dyDescent="0.2">
      <c r="A19" s="482" t="s">
        <v>1405</v>
      </c>
      <c r="B19" s="483">
        <v>250</v>
      </c>
      <c r="C19" s="477"/>
      <c r="D19" s="477"/>
      <c r="E19" s="477"/>
      <c r="F19" s="477"/>
      <c r="G19" s="477"/>
      <c r="H19" s="477"/>
      <c r="I19" s="477"/>
      <c r="J19" s="477"/>
      <c r="K19" s="477"/>
      <c r="L19" s="477"/>
      <c r="M19" s="467">
        <v>2962944</v>
      </c>
      <c r="N19" s="484"/>
    </row>
    <row r="20" spans="1:14" s="485" customFormat="1" ht="12.75" customHeight="1" x14ac:dyDescent="0.2">
      <c r="A20" s="482" t="s">
        <v>1406</v>
      </c>
      <c r="B20" s="483">
        <v>260</v>
      </c>
      <c r="C20" s="477"/>
      <c r="D20" s="477"/>
      <c r="E20" s="477"/>
      <c r="F20" s="477"/>
      <c r="G20" s="477"/>
      <c r="H20" s="477"/>
      <c r="I20" s="477"/>
      <c r="J20" s="477"/>
      <c r="K20" s="477"/>
      <c r="L20" s="477"/>
      <c r="M20" s="467">
        <v>18413921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2263307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33631693</v>
      </c>
    </row>
    <row r="23" spans="1:14" ht="13.5" customHeight="1" thickBot="1" x14ac:dyDescent="0.25">
      <c r="A23" s="1736" t="s">
        <v>643</v>
      </c>
      <c r="B23" s="1741"/>
      <c r="C23" s="468"/>
      <c r="D23" s="468"/>
      <c r="E23" s="468"/>
      <c r="F23" s="468"/>
      <c r="G23" s="468"/>
      <c r="H23" s="468"/>
      <c r="I23" s="468"/>
      <c r="J23" s="468"/>
      <c r="K23" s="468"/>
      <c r="L23" s="468"/>
      <c r="M23" s="1688">
        <f>SUM(M15:M22)</f>
        <v>79649783</v>
      </c>
      <c r="N23" s="1688">
        <f>SUM(N21:N22)</f>
        <v>35895000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19491</v>
      </c>
      <c r="D27" s="467"/>
      <c r="E27" s="467"/>
      <c r="F27" s="467">
        <v>1030</v>
      </c>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348856</v>
      </c>
      <c r="D30" s="474"/>
      <c r="E30" s="467"/>
      <c r="F30" s="467">
        <v>805</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15575740</v>
      </c>
      <c r="D32" s="492">
        <v>1933566</v>
      </c>
      <c r="E32" s="474">
        <v>1044201</v>
      </c>
      <c r="F32" s="474">
        <v>451558</v>
      </c>
      <c r="G32" s="474">
        <v>252145</v>
      </c>
      <c r="H32" s="474"/>
      <c r="I32" s="474">
        <v>106167</v>
      </c>
      <c r="J32" s="474">
        <v>159250</v>
      </c>
      <c r="K32" s="479">
        <v>363690</v>
      </c>
      <c r="L32" s="468"/>
      <c r="M32" s="468"/>
      <c r="N32" s="468"/>
    </row>
    <row r="33" spans="1:14" ht="13.5" customHeight="1" x14ac:dyDescent="0.2">
      <c r="A33" s="493" t="s">
        <v>303</v>
      </c>
      <c r="B33" s="491">
        <v>493</v>
      </c>
      <c r="C33" s="467"/>
      <c r="D33" s="467"/>
      <c r="E33" s="467"/>
      <c r="F33" s="467"/>
      <c r="G33" s="467"/>
      <c r="H33" s="467"/>
      <c r="I33" s="467"/>
      <c r="J33" s="467"/>
      <c r="K33" s="467"/>
      <c r="L33" s="467">
        <v>132401</v>
      </c>
      <c r="M33" s="468"/>
      <c r="N33" s="469"/>
    </row>
    <row r="34" spans="1:14" ht="13.5" customHeight="1" thickBot="1" x14ac:dyDescent="0.25">
      <c r="A34" s="1738" t="s">
        <v>654</v>
      </c>
      <c r="B34" s="1739"/>
      <c r="C34" s="1740">
        <f>SUM(C25:C33)</f>
        <v>15944087</v>
      </c>
      <c r="D34" s="1740">
        <f t="shared" ref="D34:K34" si="1">SUM(D25:D33)</f>
        <v>1933566</v>
      </c>
      <c r="E34" s="1740">
        <f t="shared" si="1"/>
        <v>1044201</v>
      </c>
      <c r="F34" s="1740">
        <f t="shared" si="1"/>
        <v>453393</v>
      </c>
      <c r="G34" s="1740">
        <f t="shared" si="1"/>
        <v>252145</v>
      </c>
      <c r="H34" s="1740">
        <f t="shared" si="1"/>
        <v>0</v>
      </c>
      <c r="I34" s="1740">
        <f t="shared" si="1"/>
        <v>106167</v>
      </c>
      <c r="J34" s="1740">
        <f t="shared" si="1"/>
        <v>159250</v>
      </c>
      <c r="K34" s="1740">
        <f t="shared" si="1"/>
        <v>363690</v>
      </c>
      <c r="L34" s="1721">
        <f>SUM(L33)</f>
        <v>132401</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35895000</v>
      </c>
    </row>
    <row r="37" spans="1:14" ht="13.5" thickBot="1" x14ac:dyDescent="0.25">
      <c r="A37" s="1736" t="s">
        <v>653</v>
      </c>
      <c r="B37" s="1741"/>
      <c r="C37" s="477"/>
      <c r="D37" s="477"/>
      <c r="E37" s="477"/>
      <c r="F37" s="477"/>
      <c r="G37" s="477"/>
      <c r="H37" s="477"/>
      <c r="I37" s="477"/>
      <c r="J37" s="477"/>
      <c r="K37" s="477"/>
      <c r="L37" s="480"/>
      <c r="M37" s="468"/>
      <c r="N37" s="1688">
        <f>SUM(N36:N36)</f>
        <v>35895000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44349477</v>
      </c>
      <c r="D39" s="466">
        <v>4924929</v>
      </c>
      <c r="E39" s="466">
        <v>2263307</v>
      </c>
      <c r="F39" s="466">
        <v>13147866</v>
      </c>
      <c r="G39" s="466">
        <v>3724960</v>
      </c>
      <c r="H39" s="466">
        <v>2798859</v>
      </c>
      <c r="I39" s="466">
        <v>2076196</v>
      </c>
      <c r="J39" s="467">
        <v>395996</v>
      </c>
      <c r="K39" s="466">
        <v>236807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79649783</v>
      </c>
      <c r="N40" s="497"/>
    </row>
    <row r="41" spans="1:14" ht="13.5" customHeight="1" thickBot="1" x14ac:dyDescent="0.25">
      <c r="A41" s="1736" t="s">
        <v>655</v>
      </c>
      <c r="B41" s="1706"/>
      <c r="C41" s="1688">
        <f>(SUM(C34,C37,C38,C39))</f>
        <v>60293564</v>
      </c>
      <c r="D41" s="1688">
        <f t="shared" ref="D41:L41" si="2">SUM(D34,D37,D38:D39)</f>
        <v>6858495</v>
      </c>
      <c r="E41" s="1688">
        <f t="shared" si="2"/>
        <v>3307508</v>
      </c>
      <c r="F41" s="1688">
        <f t="shared" si="2"/>
        <v>13601259</v>
      </c>
      <c r="G41" s="1688">
        <f t="shared" si="2"/>
        <v>3977105</v>
      </c>
      <c r="H41" s="1688">
        <f t="shared" si="2"/>
        <v>2798859</v>
      </c>
      <c r="I41" s="1688">
        <f t="shared" si="2"/>
        <v>2182363</v>
      </c>
      <c r="J41" s="1688">
        <f t="shared" si="2"/>
        <v>555246</v>
      </c>
      <c r="K41" s="1688">
        <f t="shared" si="2"/>
        <v>600497</v>
      </c>
      <c r="L41" s="1688">
        <f t="shared" si="2"/>
        <v>132401</v>
      </c>
      <c r="M41" s="1688">
        <f>SUM(M40)</f>
        <v>79649783</v>
      </c>
      <c r="N41" s="1688">
        <f>SUM(N37)</f>
        <v>35895000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
      <selection pane="bottomLeft" activeCell="D71" sqref="D7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31374532</v>
      </c>
      <c r="D4" s="1742">
        <f>'Revenues 9-14'!D109</f>
        <v>6809466</v>
      </c>
      <c r="E4" s="1742">
        <f>'Revenues 9-14'!E109</f>
        <v>1974478</v>
      </c>
      <c r="F4" s="1742">
        <f>'Revenues 9-14'!F109</f>
        <v>1227002</v>
      </c>
      <c r="G4" s="1742">
        <f>'Revenues 9-14'!G109</f>
        <v>903718</v>
      </c>
      <c r="H4" s="1742">
        <f>'Revenues 9-14'!H109</f>
        <v>3</v>
      </c>
      <c r="I4" s="1742">
        <f>'Revenues 9-14'!I109</f>
        <v>278892</v>
      </c>
      <c r="J4" s="1742">
        <f>'Revenues 9-14'!J109</f>
        <v>360366</v>
      </c>
      <c r="K4" s="1742">
        <f>'Revenues 9-14'!K109</f>
        <v>707770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7142668</v>
      </c>
      <c r="D6" s="1743">
        <f>'Revenues 9-14'!D170</f>
        <v>0</v>
      </c>
      <c r="E6" s="1743">
        <f>'Revenues 9-14'!E170</f>
        <v>0</v>
      </c>
      <c r="F6" s="1743">
        <f>'Revenues 9-14'!F170</f>
        <v>816214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2929916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41447116</v>
      </c>
      <c r="D8" s="1688">
        <f t="shared" ref="D8:K8" si="0">SUM(D4:D7)</f>
        <v>6809466</v>
      </c>
      <c r="E8" s="1688">
        <f t="shared" si="0"/>
        <v>1974478</v>
      </c>
      <c r="F8" s="1688">
        <f t="shared" si="0"/>
        <v>2043216</v>
      </c>
      <c r="G8" s="1688">
        <f t="shared" si="0"/>
        <v>903718</v>
      </c>
      <c r="H8" s="1688">
        <f t="shared" si="0"/>
        <v>3</v>
      </c>
      <c r="I8" s="1688">
        <f t="shared" si="0"/>
        <v>278892</v>
      </c>
      <c r="J8" s="1688">
        <f t="shared" si="0"/>
        <v>360366</v>
      </c>
      <c r="K8" s="1688">
        <f t="shared" si="0"/>
        <v>707770</v>
      </c>
      <c r="L8" s="347"/>
    </row>
    <row r="9" spans="1:13" ht="15.75" thickTop="1" x14ac:dyDescent="0.2">
      <c r="A9" s="514" t="s">
        <v>1653</v>
      </c>
      <c r="B9" s="515">
        <v>3998</v>
      </c>
      <c r="C9" s="481">
        <v>15374767</v>
      </c>
      <c r="D9" s="516"/>
      <c r="E9" s="481"/>
      <c r="F9" s="481"/>
      <c r="G9" s="517"/>
      <c r="H9" s="481"/>
      <c r="I9" s="509" t="s">
        <v>1169</v>
      </c>
      <c r="J9" s="478"/>
      <c r="K9" s="481"/>
      <c r="L9" s="347"/>
    </row>
    <row r="10" spans="1:13" s="519" customFormat="1" ht="13.5" thickBot="1" x14ac:dyDescent="0.25">
      <c r="A10" s="1736" t="s">
        <v>1173</v>
      </c>
      <c r="B10" s="1709"/>
      <c r="C10" s="1688">
        <f>SUM(C8:C9)</f>
        <v>56821883</v>
      </c>
      <c r="D10" s="1688">
        <f t="shared" ref="D10:K10" si="1">SUM(D8:D9)</f>
        <v>6809466</v>
      </c>
      <c r="E10" s="1688">
        <f t="shared" si="1"/>
        <v>1974478</v>
      </c>
      <c r="F10" s="1688">
        <f t="shared" si="1"/>
        <v>2043216</v>
      </c>
      <c r="G10" s="1688">
        <f t="shared" si="1"/>
        <v>903718</v>
      </c>
      <c r="H10" s="1688">
        <f t="shared" si="1"/>
        <v>3</v>
      </c>
      <c r="I10" s="1688">
        <f t="shared" si="1"/>
        <v>278892</v>
      </c>
      <c r="J10" s="1688">
        <f t="shared" si="1"/>
        <v>360366</v>
      </c>
      <c r="K10" s="1688">
        <f t="shared" si="1"/>
        <v>707770</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23232047</v>
      </c>
      <c r="D12" s="520" t="s">
        <v>1169</v>
      </c>
      <c r="E12" s="468" t="s">
        <v>1169</v>
      </c>
      <c r="F12" s="468" t="s">
        <v>1169</v>
      </c>
      <c r="G12" s="1742">
        <f>'Expenditures 15-22'!K229</f>
        <v>519337</v>
      </c>
      <c r="H12" s="521"/>
      <c r="I12" s="468" t="s">
        <v>1169</v>
      </c>
      <c r="J12" s="468" t="s">
        <v>1169</v>
      </c>
      <c r="K12" s="521" t="s">
        <v>1169</v>
      </c>
      <c r="L12" s="347"/>
    </row>
    <row r="13" spans="1:13" ht="15.75" customHeight="1" x14ac:dyDescent="0.2">
      <c r="A13" s="1576" t="s">
        <v>457</v>
      </c>
      <c r="B13" s="1578">
        <v>2000</v>
      </c>
      <c r="C13" s="1743">
        <f>'Expenditures 15-22'!K74</f>
        <v>11972889</v>
      </c>
      <c r="D13" s="1743">
        <f>'Expenditures 15-22'!K129</f>
        <v>5582211</v>
      </c>
      <c r="E13" s="469" t="s">
        <v>1169</v>
      </c>
      <c r="F13" s="1743">
        <f>'Expenditures 15-22'!K184</f>
        <v>2168661</v>
      </c>
      <c r="G13" s="1743">
        <f>'Expenditures 15-22'!K279</f>
        <v>779697</v>
      </c>
      <c r="H13" s="1743">
        <f>'Expenditures 15-22'!K303</f>
        <v>13852901</v>
      </c>
      <c r="I13" s="468" t="s">
        <v>1169</v>
      </c>
      <c r="J13" s="1743">
        <f>'Expenditures 15-22'!K330</f>
        <v>252633</v>
      </c>
      <c r="K13" s="1747">
        <f>'Expenditures 15-22'!K352</f>
        <v>866701</v>
      </c>
      <c r="L13" s="347"/>
    </row>
    <row r="14" spans="1:13" ht="15.75" customHeight="1" x14ac:dyDescent="0.2">
      <c r="A14" s="1576" t="s">
        <v>449</v>
      </c>
      <c r="B14" s="1578">
        <v>3000</v>
      </c>
      <c r="C14" s="1743">
        <f>'Expenditures 15-22'!K75</f>
        <v>25551</v>
      </c>
      <c r="D14" s="1743">
        <f>'Expenditures 15-22'!K130</f>
        <v>0</v>
      </c>
      <c r="E14" s="520" t="s">
        <v>1169</v>
      </c>
      <c r="F14" s="1743">
        <f>'Expenditures 15-22'!K185</f>
        <v>0</v>
      </c>
      <c r="G14" s="1743">
        <f>'Expenditures 15-22'!K280</f>
        <v>1381</v>
      </c>
      <c r="H14" s="512"/>
      <c r="I14" s="468" t="s">
        <v>1169</v>
      </c>
      <c r="J14" s="468" t="s">
        <v>1169</v>
      </c>
      <c r="K14" s="512" t="s">
        <v>1169</v>
      </c>
      <c r="L14" s="347"/>
    </row>
    <row r="15" spans="1:13" ht="15.75" customHeight="1" x14ac:dyDescent="0.2">
      <c r="A15" s="1576" t="s">
        <v>107</v>
      </c>
      <c r="B15" s="1578">
        <v>4000</v>
      </c>
      <c r="C15" s="1743">
        <f>'Expenditures 15-22'!K102</f>
        <v>982411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3768935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36212898</v>
      </c>
      <c r="D17" s="1688">
        <f t="shared" si="2"/>
        <v>5582211</v>
      </c>
      <c r="E17" s="1688">
        <f t="shared" si="2"/>
        <v>3768935</v>
      </c>
      <c r="F17" s="1688">
        <f t="shared" si="2"/>
        <v>2168661</v>
      </c>
      <c r="G17" s="1688">
        <f t="shared" si="2"/>
        <v>1300415</v>
      </c>
      <c r="H17" s="1688">
        <f t="shared" si="2"/>
        <v>13852901</v>
      </c>
      <c r="I17" s="468"/>
      <c r="J17" s="1688">
        <f>SUM(J12:J16)</f>
        <v>252633</v>
      </c>
      <c r="K17" s="1688">
        <f>SUM(K12:K16)</f>
        <v>866701</v>
      </c>
      <c r="L17" s="347"/>
    </row>
    <row r="18" spans="1:12" ht="15" customHeight="1" thickTop="1" x14ac:dyDescent="0.2">
      <c r="A18" s="1744" t="s">
        <v>1654</v>
      </c>
      <c r="B18" s="1745">
        <v>4180</v>
      </c>
      <c r="C18" s="1742">
        <f t="shared" ref="C18:H18" si="3">C9</f>
        <v>15374767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51587665</v>
      </c>
      <c r="D19" s="1688">
        <f t="shared" si="4"/>
        <v>5582211</v>
      </c>
      <c r="E19" s="1688">
        <f t="shared" si="4"/>
        <v>3768935</v>
      </c>
      <c r="F19" s="1688">
        <f t="shared" si="4"/>
        <v>2168661</v>
      </c>
      <c r="G19" s="1688">
        <f t="shared" si="4"/>
        <v>1300415</v>
      </c>
      <c r="H19" s="1688">
        <f t="shared" si="4"/>
        <v>13852901</v>
      </c>
      <c r="I19" s="468"/>
      <c r="J19" s="1688">
        <f>SUM(J17:J18)</f>
        <v>252633</v>
      </c>
      <c r="K19" s="1688">
        <f>SUM(K17:K18)</f>
        <v>866701</v>
      </c>
      <c r="L19" s="347"/>
    </row>
    <row r="20" spans="1:12" ht="16.5" thickTop="1" thickBot="1" x14ac:dyDescent="0.25">
      <c r="A20" s="2125" t="s">
        <v>1655</v>
      </c>
      <c r="B20" s="2126"/>
      <c r="C20" s="1746">
        <f>C8-C17</f>
        <v>5234218</v>
      </c>
      <c r="D20" s="1746">
        <f t="shared" ref="D20:K20" si="5">D8-D17</f>
        <v>1227255</v>
      </c>
      <c r="E20" s="1746">
        <f t="shared" si="5"/>
        <v>-1794457</v>
      </c>
      <c r="F20" s="1746">
        <f t="shared" si="5"/>
        <v>-125445</v>
      </c>
      <c r="G20" s="1746">
        <f t="shared" si="5"/>
        <v>-396697</v>
      </c>
      <c r="H20" s="1746">
        <f t="shared" si="5"/>
        <v>-13852898</v>
      </c>
      <c r="I20" s="1746">
        <f t="shared" si="5"/>
        <v>278892</v>
      </c>
      <c r="J20" s="1746">
        <f t="shared" si="5"/>
        <v>107733</v>
      </c>
      <c r="K20" s="1746">
        <f t="shared" si="5"/>
        <v>-158931</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14000000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1792</v>
      </c>
      <c r="B30" s="527">
        <v>7160</v>
      </c>
      <c r="C30" s="477"/>
      <c r="D30" s="467"/>
      <c r="E30" s="477"/>
      <c r="F30" s="477"/>
      <c r="G30" s="477"/>
      <c r="H30" s="477"/>
      <c r="I30" s="477"/>
      <c r="J30" s="477"/>
      <c r="K30" s="477"/>
      <c r="L30" s="524"/>
    </row>
    <row r="31" spans="1:12" s="485" customFormat="1" ht="26.25" x14ac:dyDescent="0.2">
      <c r="A31" s="1489" t="s">
        <v>1796</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143176</v>
      </c>
      <c r="D36" s="467"/>
      <c r="E36" s="467"/>
      <c r="F36" s="467">
        <v>17500</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1853500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14000000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143176</v>
      </c>
      <c r="D44" s="1703">
        <f t="shared" ref="D44:K44" si="6">SUM(D24:D43)</f>
        <v>14000000</v>
      </c>
      <c r="E44" s="1703">
        <f t="shared" si="6"/>
        <v>1853500</v>
      </c>
      <c r="F44" s="1703">
        <f t="shared" si="6"/>
        <v>17500</v>
      </c>
      <c r="G44" s="1703">
        <f t="shared" si="6"/>
        <v>0</v>
      </c>
      <c r="H44" s="1703">
        <f t="shared" si="6"/>
        <v>14000000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14000000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v>1853500</v>
      </c>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14000000</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15853500</v>
      </c>
      <c r="D76" s="1703">
        <f t="shared" si="7"/>
        <v>14000000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-15710324</v>
      </c>
      <c r="D77" s="1703">
        <f t="shared" si="8"/>
        <v>0</v>
      </c>
      <c r="E77" s="1703">
        <f t="shared" si="8"/>
        <v>1853500</v>
      </c>
      <c r="F77" s="1703">
        <f t="shared" si="8"/>
        <v>17500</v>
      </c>
      <c r="G77" s="1703">
        <f t="shared" si="8"/>
        <v>0</v>
      </c>
      <c r="H77" s="1703">
        <f t="shared" si="8"/>
        <v>14000000</v>
      </c>
      <c r="I77" s="1703">
        <f t="shared" si="8"/>
        <v>0</v>
      </c>
      <c r="J77" s="1703">
        <f t="shared" si="8"/>
        <v>0</v>
      </c>
      <c r="K77" s="1703">
        <f t="shared" si="8"/>
        <v>0</v>
      </c>
      <c r="L77" s="347"/>
    </row>
    <row r="78" spans="1:12" ht="21.75" customHeight="1" thickTop="1" thickBot="1" x14ac:dyDescent="0.25">
      <c r="A78" s="2121" t="s">
        <v>597</v>
      </c>
      <c r="B78" s="2122"/>
      <c r="C78" s="1702">
        <f t="shared" ref="C78:K78" si="9">C20+C77</f>
        <v>-10476106</v>
      </c>
      <c r="D78" s="1702">
        <f t="shared" si="9"/>
        <v>1227255</v>
      </c>
      <c r="E78" s="1702">
        <f t="shared" si="9"/>
        <v>59043</v>
      </c>
      <c r="F78" s="1702">
        <f t="shared" si="9"/>
        <v>-107945</v>
      </c>
      <c r="G78" s="1702">
        <f t="shared" si="9"/>
        <v>-396697</v>
      </c>
      <c r="H78" s="1702">
        <f t="shared" si="9"/>
        <v>147102</v>
      </c>
      <c r="I78" s="1702">
        <f t="shared" si="9"/>
        <v>278892</v>
      </c>
      <c r="J78" s="1702">
        <f t="shared" si="9"/>
        <v>107733</v>
      </c>
      <c r="K78" s="1702">
        <f t="shared" si="9"/>
        <v>-158931</v>
      </c>
      <c r="L78" s="533"/>
    </row>
    <row r="79" spans="1:12" ht="13.5" thickTop="1" x14ac:dyDescent="0.2">
      <c r="A79" s="1494" t="s">
        <v>1947</v>
      </c>
      <c r="B79" s="534"/>
      <c r="C79" s="478">
        <v>54460786</v>
      </c>
      <c r="D79" s="535">
        <v>3669395</v>
      </c>
      <c r="E79" s="535">
        <v>2198301</v>
      </c>
      <c r="F79" s="535">
        <v>13173624</v>
      </c>
      <c r="G79" s="535">
        <v>4097077</v>
      </c>
      <c r="H79" s="535">
        <v>2651745</v>
      </c>
      <c r="I79" s="535">
        <v>1786998</v>
      </c>
      <c r="J79" s="535">
        <v>285289</v>
      </c>
      <c r="K79" s="535">
        <v>389051</v>
      </c>
      <c r="L79" s="347"/>
    </row>
    <row r="80" spans="1:12" x14ac:dyDescent="0.2">
      <c r="A80" s="2127" t="s">
        <v>1793</v>
      </c>
      <c r="B80" s="2128"/>
      <c r="C80" s="467">
        <v>364797</v>
      </c>
      <c r="D80" s="467">
        <v>28279</v>
      </c>
      <c r="E80" s="467">
        <v>5963</v>
      </c>
      <c r="F80" s="467">
        <v>82187</v>
      </c>
      <c r="G80" s="467">
        <v>24580</v>
      </c>
      <c r="H80" s="467">
        <v>12</v>
      </c>
      <c r="I80" s="467">
        <v>10306</v>
      </c>
      <c r="J80" s="467">
        <v>2974</v>
      </c>
      <c r="K80" s="467">
        <v>6687</v>
      </c>
      <c r="L80" s="347"/>
    </row>
    <row r="81" spans="1:12" ht="13.5" thickBot="1" x14ac:dyDescent="0.25">
      <c r="A81" s="2119" t="s">
        <v>1948</v>
      </c>
      <c r="B81" s="2120"/>
      <c r="C81" s="1688">
        <f>(SUM(C78:C80))</f>
        <v>44349477</v>
      </c>
      <c r="D81" s="1688">
        <f>SUM(D78:D80)</f>
        <v>4924929</v>
      </c>
      <c r="E81" s="1688">
        <f t="shared" ref="E81:K81" si="10">SUM(E78:E80)</f>
        <v>2263307</v>
      </c>
      <c r="F81" s="1688">
        <f t="shared" si="10"/>
        <v>13147866</v>
      </c>
      <c r="G81" s="1688">
        <f t="shared" si="10"/>
        <v>3724960</v>
      </c>
      <c r="H81" s="1688">
        <f t="shared" si="10"/>
        <v>2798859</v>
      </c>
      <c r="I81" s="1688">
        <f t="shared" si="10"/>
        <v>2076196</v>
      </c>
      <c r="J81" s="1688">
        <f t="shared" si="10"/>
        <v>395996</v>
      </c>
      <c r="K81" s="1688">
        <f t="shared" si="10"/>
        <v>236807</v>
      </c>
      <c r="L81" s="347"/>
    </row>
    <row r="82" spans="1:12" ht="0.75" customHeight="1" thickTop="1" thickBot="1" x14ac:dyDescent="0.25">
      <c r="A82" s="536" t="s">
        <v>343</v>
      </c>
      <c r="B82" s="537"/>
      <c r="C82" s="538">
        <f>(C81-C79)</f>
        <v>-10111309</v>
      </c>
      <c r="D82" s="538">
        <f t="shared" ref="D82:K82" si="11">(D81-D79)</f>
        <v>1255534</v>
      </c>
      <c r="E82" s="538">
        <f t="shared" si="11"/>
        <v>65006</v>
      </c>
      <c r="F82" s="538">
        <f t="shared" si="11"/>
        <v>-25758</v>
      </c>
      <c r="G82" s="538">
        <f t="shared" si="11"/>
        <v>-372117</v>
      </c>
      <c r="H82" s="538">
        <f t="shared" si="11"/>
        <v>147114</v>
      </c>
      <c r="I82" s="538">
        <f t="shared" si="11"/>
        <v>289198</v>
      </c>
      <c r="J82" s="538">
        <f t="shared" si="11"/>
        <v>110707</v>
      </c>
      <c r="K82" s="538">
        <f t="shared" si="11"/>
        <v>-152244</v>
      </c>
    </row>
    <row r="83" spans="1:12" ht="14.25" hidden="1" thickTop="1" thickBot="1" x14ac:dyDescent="0.25">
      <c r="A83" s="539" t="s">
        <v>344</v>
      </c>
      <c r="B83" s="464"/>
      <c r="C83" s="540">
        <f>C82/C81</f>
        <v>-0.22799161757871464</v>
      </c>
      <c r="D83" s="540">
        <f t="shared" ref="D83:K83" si="12">D82/D81</f>
        <v>0.25493443661827409</v>
      </c>
      <c r="E83" s="540">
        <f t="shared" si="12"/>
        <v>2.8721689103599291E-2</v>
      </c>
      <c r="F83" s="540">
        <f t="shared" si="12"/>
        <v>-1.9591011955856562E-3</v>
      </c>
      <c r="G83" s="540">
        <f t="shared" si="12"/>
        <v>-9.989825394098191E-2</v>
      </c>
      <c r="H83" s="540">
        <f t="shared" si="12"/>
        <v>5.2562133355056474E-2</v>
      </c>
      <c r="I83" s="540">
        <f t="shared" si="12"/>
        <v>0.13929224408485519</v>
      </c>
      <c r="J83" s="540">
        <f t="shared" si="12"/>
        <v>0.27956595521166883</v>
      </c>
      <c r="K83" s="540">
        <f t="shared" si="12"/>
        <v>-0.64290329255469647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98" activePane="bottomLeft" state="frozen"/>
      <selection pane="bottomLeft" activeCell="C211" sqref="C21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1800</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25915639</v>
      </c>
      <c r="D5" s="481">
        <v>3790168</v>
      </c>
      <c r="E5" s="466">
        <v>1899313</v>
      </c>
      <c r="F5" s="548">
        <v>1147682</v>
      </c>
      <c r="G5" s="466">
        <v>268240</v>
      </c>
      <c r="H5" s="466"/>
      <c r="I5" s="466">
        <v>264687</v>
      </c>
      <c r="J5" s="467">
        <v>324315</v>
      </c>
      <c r="K5" s="466">
        <v>680909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2754730</v>
      </c>
      <c r="D7" s="466"/>
      <c r="E7" s="468"/>
      <c r="F7" s="467"/>
      <c r="G7" s="467"/>
      <c r="H7" s="467"/>
      <c r="I7" s="468"/>
      <c r="J7" s="468"/>
      <c r="K7" s="468"/>
    </row>
    <row r="8" spans="1:12" x14ac:dyDescent="0.2">
      <c r="A8" s="463" t="s">
        <v>413</v>
      </c>
      <c r="B8" s="470">
        <v>1150</v>
      </c>
      <c r="C8" s="475"/>
      <c r="D8" s="475"/>
      <c r="E8" s="477"/>
      <c r="F8" s="477"/>
      <c r="G8" s="481">
        <v>304058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28670369</v>
      </c>
      <c r="D12" s="1707">
        <f t="shared" si="0"/>
        <v>3790168</v>
      </c>
      <c r="E12" s="1707">
        <f t="shared" si="0"/>
        <v>1899313</v>
      </c>
      <c r="F12" s="1707">
        <f t="shared" si="0"/>
        <v>1147682</v>
      </c>
      <c r="G12" s="1707">
        <f t="shared" si="0"/>
        <v>572298</v>
      </c>
      <c r="H12" s="1707">
        <f t="shared" si="0"/>
        <v>0</v>
      </c>
      <c r="I12" s="1707">
        <f t="shared" si="0"/>
        <v>264687</v>
      </c>
      <c r="J12" s="1707">
        <f t="shared" si="0"/>
        <v>324315</v>
      </c>
      <c r="K12" s="1688">
        <f t="shared" si="0"/>
        <v>680909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2762900</v>
      </c>
      <c r="E16" s="466"/>
      <c r="F16" s="466"/>
      <c r="G16" s="466">
        <v>300000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2762900</v>
      </c>
      <c r="E18" s="1710">
        <f t="shared" si="1"/>
        <v>0</v>
      </c>
      <c r="F18" s="1710">
        <f t="shared" si="1"/>
        <v>0</v>
      </c>
      <c r="G18" s="1710">
        <f t="shared" si="1"/>
        <v>300000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1228318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1228318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1609</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1609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1185387</v>
      </c>
      <c r="D65" s="466">
        <v>150610</v>
      </c>
      <c r="E65" s="466">
        <v>71174</v>
      </c>
      <c r="F65" s="467">
        <v>75879</v>
      </c>
      <c r="G65" s="466">
        <v>31420</v>
      </c>
      <c r="H65" s="466">
        <v>3</v>
      </c>
      <c r="I65" s="466">
        <v>14205</v>
      </c>
      <c r="J65" s="467">
        <v>13597</v>
      </c>
      <c r="K65" s="466">
        <v>26861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1185387</v>
      </c>
      <c r="D67" s="1688">
        <f t="shared" ref="D67:K67" si="2">SUM(D65:D66)</f>
        <v>150610</v>
      </c>
      <c r="E67" s="1688">
        <f t="shared" si="2"/>
        <v>71174</v>
      </c>
      <c r="F67" s="1688">
        <f t="shared" si="2"/>
        <v>75879</v>
      </c>
      <c r="G67" s="1688">
        <f t="shared" si="2"/>
        <v>31420</v>
      </c>
      <c r="H67" s="1688">
        <f t="shared" si="2"/>
        <v>3</v>
      </c>
      <c r="I67" s="1688">
        <f t="shared" si="2"/>
        <v>14205</v>
      </c>
      <c r="J67" s="1688">
        <f t="shared" si="2"/>
        <v>13597</v>
      </c>
      <c r="K67" s="1688">
        <f t="shared" si="2"/>
        <v>26861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26988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2072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29060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19392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145584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9440</v>
      </c>
      <c r="D81" s="466"/>
      <c r="E81" s="468"/>
      <c r="F81" s="468"/>
      <c r="G81" s="468"/>
      <c r="H81" s="468"/>
      <c r="I81" s="468"/>
      <c r="J81" s="468"/>
      <c r="K81" s="468"/>
    </row>
    <row r="82" spans="1:11" ht="12.75" customHeight="1" thickBot="1" x14ac:dyDescent="0.25">
      <c r="A82" s="1708" t="s">
        <v>241</v>
      </c>
      <c r="B82" s="1709"/>
      <c r="C82" s="1707">
        <f>SUM(C77:C81)</f>
        <v>174416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10200</v>
      </c>
      <c r="E95" s="521"/>
      <c r="F95" s="521"/>
      <c r="G95" s="521"/>
      <c r="H95" s="521"/>
      <c r="I95" s="521"/>
      <c r="J95" s="521"/>
      <c r="K95" s="521"/>
    </row>
    <row r="96" spans="1:11" ht="12.75" customHeight="1" x14ac:dyDescent="0.2">
      <c r="A96" s="463" t="s">
        <v>391</v>
      </c>
      <c r="B96" s="470">
        <v>1920</v>
      </c>
      <c r="C96" s="551">
        <v>1825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42912</v>
      </c>
      <c r="D99" s="466">
        <v>94738</v>
      </c>
      <c r="E99" s="466"/>
      <c r="F99" s="466"/>
      <c r="G99" s="466"/>
      <c r="H99" s="466"/>
      <c r="I99" s="468"/>
      <c r="J99" s="467">
        <v>22454</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36289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5956</v>
      </c>
      <c r="D107" s="466">
        <v>850</v>
      </c>
      <c r="E107" s="466">
        <v>3991</v>
      </c>
      <c r="F107" s="466">
        <v>1832</v>
      </c>
      <c r="G107" s="466"/>
      <c r="H107" s="466"/>
      <c r="I107" s="466"/>
      <c r="J107" s="467"/>
      <c r="K107" s="466"/>
    </row>
    <row r="108" spans="1:12" ht="12.75" customHeight="1" thickBot="1" x14ac:dyDescent="0.25">
      <c r="A108" s="1708" t="s">
        <v>487</v>
      </c>
      <c r="B108" s="1712"/>
      <c r="C108" s="1707">
        <f>SUM(C95:C107)</f>
        <v>86982</v>
      </c>
      <c r="D108" s="1707">
        <f t="shared" ref="D108:K108" si="3">SUM(D95:D107)</f>
        <v>105788</v>
      </c>
      <c r="E108" s="1707">
        <f t="shared" si="3"/>
        <v>3991</v>
      </c>
      <c r="F108" s="1707">
        <f t="shared" si="3"/>
        <v>1832</v>
      </c>
      <c r="G108" s="1707">
        <f t="shared" si="3"/>
        <v>0</v>
      </c>
      <c r="H108" s="1707">
        <f t="shared" si="3"/>
        <v>0</v>
      </c>
      <c r="I108" s="1707">
        <f t="shared" si="3"/>
        <v>0</v>
      </c>
      <c r="J108" s="1707">
        <f t="shared" si="3"/>
        <v>22454</v>
      </c>
      <c r="K108" s="1688">
        <f t="shared" si="3"/>
        <v>0</v>
      </c>
    </row>
    <row r="109" spans="1:12" ht="14.25" thickTop="1" thickBot="1" x14ac:dyDescent="0.25">
      <c r="A109" s="1713" t="s">
        <v>248</v>
      </c>
      <c r="B109" s="1714" t="s">
        <v>570</v>
      </c>
      <c r="C109" s="1715">
        <f t="shared" ref="C109:K109" si="4">SUM(C12,C18,C40,C63,C67,C75,C82,C93,C108,)</f>
        <v>31374532</v>
      </c>
      <c r="D109" s="1715">
        <f t="shared" si="4"/>
        <v>6809466</v>
      </c>
      <c r="E109" s="1715">
        <f t="shared" si="4"/>
        <v>1974478</v>
      </c>
      <c r="F109" s="1715">
        <f t="shared" si="4"/>
        <v>1227002</v>
      </c>
      <c r="G109" s="1715">
        <f t="shared" si="4"/>
        <v>903718</v>
      </c>
      <c r="H109" s="1715">
        <f t="shared" si="4"/>
        <v>3</v>
      </c>
      <c r="I109" s="1715">
        <f t="shared" si="4"/>
        <v>278892</v>
      </c>
      <c r="J109" s="1715">
        <f t="shared" si="4"/>
        <v>360366</v>
      </c>
      <c r="K109" s="1702">
        <f t="shared" si="4"/>
        <v>707770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6332658</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1799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6332658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165543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43252</v>
      </c>
      <c r="D128" s="561"/>
      <c r="E128" s="468"/>
      <c r="F128" s="466"/>
      <c r="G128" s="468"/>
      <c r="H128" s="468"/>
      <c r="I128" s="468"/>
      <c r="J128" s="468"/>
      <c r="K128" s="468"/>
    </row>
    <row r="129" spans="1:11" ht="12.75" customHeight="1" x14ac:dyDescent="0.2">
      <c r="A129" s="463" t="s">
        <v>1447</v>
      </c>
      <c r="B129" s="562">
        <v>3130</v>
      </c>
      <c r="C129" s="466">
        <v>703</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209498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2506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2506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26522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371184</v>
      </c>
      <c r="G152" s="467"/>
      <c r="H152" s="468"/>
      <c r="I152" s="468"/>
      <c r="J152" s="468"/>
      <c r="K152" s="468"/>
    </row>
    <row r="153" spans="1:11" ht="12.75" customHeight="1" x14ac:dyDescent="0.2">
      <c r="A153" s="463" t="s">
        <v>1057</v>
      </c>
      <c r="B153" s="562">
        <v>3510</v>
      </c>
      <c r="C153" s="551"/>
      <c r="D153" s="466"/>
      <c r="E153" s="561"/>
      <c r="F153" s="466">
        <v>445030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816214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519641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51843</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810010</v>
      </c>
      <c r="D169" s="1722">
        <f t="shared" si="6"/>
        <v>0</v>
      </c>
      <c r="E169" s="1722">
        <f t="shared" si="6"/>
        <v>0</v>
      </c>
      <c r="F169" s="1722">
        <f t="shared" si="6"/>
        <v>816214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7142668</v>
      </c>
      <c r="D170" s="1715">
        <f t="shared" si="7"/>
        <v>0</v>
      </c>
      <c r="E170" s="1715">
        <f t="shared" si="7"/>
        <v>0</v>
      </c>
      <c r="F170" s="1715">
        <f t="shared" si="7"/>
        <v>816214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1801</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838098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486052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1324150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647641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22245</v>
      </c>
      <c r="D203" s="466"/>
      <c r="E203" s="468"/>
      <c r="F203" s="466"/>
      <c r="G203" s="466"/>
      <c r="H203" s="468"/>
      <c r="I203" s="468"/>
      <c r="J203" s="468"/>
      <c r="K203" s="468"/>
    </row>
    <row r="204" spans="1:11" ht="12.75" customHeight="1" thickBot="1" x14ac:dyDescent="0.25">
      <c r="A204" s="1708" t="s">
        <v>400</v>
      </c>
      <c r="B204" s="1709"/>
      <c r="C204" s="1707">
        <f>SUM(C200:C203)</f>
        <v>669886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11666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317324</v>
      </c>
      <c r="D213" s="466"/>
      <c r="E213" s="468"/>
      <c r="F213" s="466"/>
      <c r="G213" s="466"/>
      <c r="H213" s="468"/>
      <c r="I213" s="468"/>
      <c r="J213" s="468"/>
      <c r="K213" s="468"/>
    </row>
    <row r="214" spans="1:11" ht="12.75" customHeight="1" x14ac:dyDescent="0.2">
      <c r="A214" s="463" t="s">
        <v>1054</v>
      </c>
      <c r="B214" s="470">
        <v>4625</v>
      </c>
      <c r="C214" s="551">
        <v>11779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340769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193212</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78777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91309</v>
      </c>
      <c r="D263" s="576"/>
      <c r="E263" s="468"/>
      <c r="F263" s="576"/>
      <c r="G263" s="576"/>
      <c r="H263" s="468"/>
      <c r="I263" s="468"/>
      <c r="J263" s="468"/>
      <c r="K263" s="468"/>
    </row>
    <row r="264" spans="1:11" ht="12.75" customHeight="1" thickTop="1" thickBot="1" x14ac:dyDescent="0.25">
      <c r="A264" s="463" t="s">
        <v>377</v>
      </c>
      <c r="B264" s="470">
        <v>4992</v>
      </c>
      <c r="C264" s="575">
        <v>231813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2929916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2929916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41447116</v>
      </c>
      <c r="D268" s="1715">
        <f t="shared" si="12"/>
        <v>6809466</v>
      </c>
      <c r="E268" s="1715">
        <f t="shared" si="12"/>
        <v>1974478</v>
      </c>
      <c r="F268" s="1715">
        <f t="shared" si="12"/>
        <v>2043216</v>
      </c>
      <c r="G268" s="1715">
        <f t="shared" si="12"/>
        <v>903718</v>
      </c>
      <c r="H268" s="1715">
        <f t="shared" si="12"/>
        <v>3</v>
      </c>
      <c r="I268" s="1715">
        <f t="shared" si="12"/>
        <v>278892</v>
      </c>
      <c r="J268" s="1715">
        <f t="shared" si="12"/>
        <v>360366</v>
      </c>
      <c r="K268" s="1702">
        <f t="shared" si="12"/>
        <v>707770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xSplit="2" ySplit="2" topLeftCell="C56" activePane="bottomRight" state="frozen"/>
      <selection pane="topRight" activeCell="C1" sqref="C1"/>
      <selection pane="bottomLeft" activeCell="A3" sqref="A3"/>
      <selection pane="bottomRight" activeCell="H78" sqref="H7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10085340</v>
      </c>
      <c r="D5" s="466">
        <v>2265804</v>
      </c>
      <c r="E5" s="466">
        <v>252687</v>
      </c>
      <c r="F5" s="466">
        <v>416635</v>
      </c>
      <c r="G5" s="466">
        <v>22460</v>
      </c>
      <c r="H5" s="466">
        <v>385</v>
      </c>
      <c r="I5" s="467">
        <v>2321</v>
      </c>
      <c r="J5" s="467"/>
      <c r="K5" s="1671">
        <f>SUM(C5:J5)</f>
        <v>13045632</v>
      </c>
      <c r="L5" s="466">
        <v>13471068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521326</v>
      </c>
      <c r="D7" s="467">
        <v>193916</v>
      </c>
      <c r="E7" s="467">
        <v>22854</v>
      </c>
      <c r="F7" s="467">
        <v>11722</v>
      </c>
      <c r="G7" s="467"/>
      <c r="H7" s="467">
        <v>774</v>
      </c>
      <c r="I7" s="467"/>
      <c r="J7" s="467"/>
      <c r="K7" s="1671">
        <f t="shared" ref="K7:K32" si="0">SUM(C7:J7)</f>
        <v>750592</v>
      </c>
      <c r="L7" s="466">
        <v>756883</v>
      </c>
    </row>
    <row r="8" spans="1:14" x14ac:dyDescent="0.2">
      <c r="A8" s="1504" t="s">
        <v>164</v>
      </c>
      <c r="B8" s="614">
        <v>1200</v>
      </c>
      <c r="C8" s="466">
        <v>3625488</v>
      </c>
      <c r="D8" s="466">
        <v>986762</v>
      </c>
      <c r="E8" s="466">
        <v>59986</v>
      </c>
      <c r="F8" s="466">
        <v>39294</v>
      </c>
      <c r="G8" s="466"/>
      <c r="H8" s="466"/>
      <c r="I8" s="467">
        <v>1146</v>
      </c>
      <c r="J8" s="467"/>
      <c r="K8" s="1671">
        <f t="shared" si="0"/>
        <v>4712676</v>
      </c>
      <c r="L8" s="466">
        <v>4973204</v>
      </c>
    </row>
    <row r="9" spans="1:14" x14ac:dyDescent="0.2">
      <c r="A9" s="1504" t="s">
        <v>721</v>
      </c>
      <c r="B9" s="614" t="s">
        <v>968</v>
      </c>
      <c r="C9" s="467">
        <v>172838</v>
      </c>
      <c r="D9" s="467">
        <v>56389</v>
      </c>
      <c r="E9" s="467"/>
      <c r="F9" s="467"/>
      <c r="G9" s="467"/>
      <c r="H9" s="467"/>
      <c r="I9" s="467"/>
      <c r="J9" s="467"/>
      <c r="K9" s="1671">
        <f t="shared" si="0"/>
        <v>229227</v>
      </c>
      <c r="L9" s="466">
        <v>240760</v>
      </c>
    </row>
    <row r="10" spans="1:14" x14ac:dyDescent="0.2">
      <c r="A10" s="1504" t="s">
        <v>722</v>
      </c>
      <c r="B10" s="614">
        <v>1250</v>
      </c>
      <c r="C10" s="466">
        <v>265673</v>
      </c>
      <c r="D10" s="466">
        <v>84522</v>
      </c>
      <c r="E10" s="466">
        <v>3345</v>
      </c>
      <c r="F10" s="466">
        <v>104944</v>
      </c>
      <c r="G10" s="466"/>
      <c r="H10" s="466"/>
      <c r="I10" s="467"/>
      <c r="J10" s="467"/>
      <c r="K10" s="1671">
        <f t="shared" si="0"/>
        <v>458484</v>
      </c>
      <c r="L10" s="466">
        <v>399700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257072</v>
      </c>
      <c r="D14" s="466">
        <v>3612</v>
      </c>
      <c r="E14" s="466">
        <v>2999</v>
      </c>
      <c r="F14" s="466">
        <v>4892</v>
      </c>
      <c r="G14" s="466"/>
      <c r="H14" s="466"/>
      <c r="I14" s="467"/>
      <c r="J14" s="467"/>
      <c r="K14" s="1671">
        <f t="shared" si="0"/>
        <v>268575</v>
      </c>
      <c r="L14" s="466">
        <v>257770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2494561</v>
      </c>
      <c r="D18" s="466">
        <v>570682</v>
      </c>
      <c r="E18" s="466">
        <v>2633</v>
      </c>
      <c r="F18" s="466">
        <v>27958</v>
      </c>
      <c r="G18" s="466"/>
      <c r="H18" s="466">
        <v>643</v>
      </c>
      <c r="I18" s="467"/>
      <c r="J18" s="467"/>
      <c r="K18" s="1671">
        <f t="shared" si="0"/>
        <v>3096477</v>
      </c>
      <c r="L18" s="466">
        <v>3249353</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670384</v>
      </c>
      <c r="I22" s="616"/>
      <c r="J22" s="477"/>
      <c r="K22" s="1671">
        <f t="shared" si="0"/>
        <v>670384</v>
      </c>
      <c r="L22" s="471">
        <v>400000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17422298</v>
      </c>
      <c r="D33" s="1670">
        <f t="shared" ref="D33:L33" si="1">SUM(D5:D32)</f>
        <v>4161687</v>
      </c>
      <c r="E33" s="1670">
        <f t="shared" si="1"/>
        <v>344504</v>
      </c>
      <c r="F33" s="1670">
        <f t="shared" si="1"/>
        <v>605445</v>
      </c>
      <c r="G33" s="1670">
        <f t="shared" si="1"/>
        <v>22460</v>
      </c>
      <c r="H33" s="1670">
        <f t="shared" si="1"/>
        <v>672186</v>
      </c>
      <c r="I33" s="1670">
        <f t="shared" si="1"/>
        <v>3467</v>
      </c>
      <c r="J33" s="1670">
        <f t="shared" si="1"/>
        <v>0</v>
      </c>
      <c r="K33" s="1670">
        <f t="shared" si="1"/>
        <v>23232047</v>
      </c>
      <c r="L33" s="1670">
        <f t="shared" si="1"/>
        <v>23748738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456245</v>
      </c>
      <c r="D36" s="481">
        <v>94365</v>
      </c>
      <c r="E36" s="481"/>
      <c r="F36" s="481"/>
      <c r="G36" s="481"/>
      <c r="H36" s="481"/>
      <c r="I36" s="467"/>
      <c r="J36" s="467"/>
      <c r="K36" s="1671">
        <f t="shared" ref="K36:K41" si="2">SUM(C36:J36)</f>
        <v>550610</v>
      </c>
      <c r="L36" s="466">
        <v>546530</v>
      </c>
    </row>
    <row r="37" spans="1:14" x14ac:dyDescent="0.2">
      <c r="A37" s="1504" t="s">
        <v>1090</v>
      </c>
      <c r="B37" s="614">
        <v>2120</v>
      </c>
      <c r="C37" s="466"/>
      <c r="D37" s="466"/>
      <c r="E37" s="466"/>
      <c r="F37" s="466"/>
      <c r="G37" s="466"/>
      <c r="H37" s="466"/>
      <c r="I37" s="467"/>
      <c r="J37" s="467"/>
      <c r="K37" s="1671">
        <f t="shared" si="2"/>
        <v>0</v>
      </c>
      <c r="L37" s="466">
        <v>2600</v>
      </c>
    </row>
    <row r="38" spans="1:14" x14ac:dyDescent="0.2">
      <c r="A38" s="1504" t="s">
        <v>198</v>
      </c>
      <c r="B38" s="614">
        <v>2130</v>
      </c>
      <c r="C38" s="466">
        <v>185284</v>
      </c>
      <c r="D38" s="466">
        <v>78801</v>
      </c>
      <c r="E38" s="466">
        <v>32277</v>
      </c>
      <c r="F38" s="466">
        <v>12541</v>
      </c>
      <c r="G38" s="466"/>
      <c r="H38" s="466"/>
      <c r="I38" s="467"/>
      <c r="J38" s="467"/>
      <c r="K38" s="1671">
        <f t="shared" si="2"/>
        <v>308903</v>
      </c>
      <c r="L38" s="466">
        <v>328100</v>
      </c>
    </row>
    <row r="39" spans="1:14" x14ac:dyDescent="0.2">
      <c r="A39" s="1504" t="s">
        <v>199</v>
      </c>
      <c r="B39" s="614">
        <v>2140</v>
      </c>
      <c r="C39" s="466">
        <v>252</v>
      </c>
      <c r="D39" s="466">
        <v>127</v>
      </c>
      <c r="E39" s="466">
        <v>11025</v>
      </c>
      <c r="F39" s="466"/>
      <c r="G39" s="466"/>
      <c r="H39" s="466"/>
      <c r="I39" s="467"/>
      <c r="J39" s="467"/>
      <c r="K39" s="1671">
        <f t="shared" si="2"/>
        <v>11404</v>
      </c>
      <c r="L39" s="466">
        <v>23940</v>
      </c>
    </row>
    <row r="40" spans="1:14" x14ac:dyDescent="0.2">
      <c r="A40" s="1504" t="s">
        <v>200</v>
      </c>
      <c r="B40" s="614">
        <v>2150</v>
      </c>
      <c r="C40" s="466">
        <v>634159</v>
      </c>
      <c r="D40" s="466">
        <v>143038</v>
      </c>
      <c r="E40" s="466">
        <v>37372</v>
      </c>
      <c r="F40" s="466">
        <v>170</v>
      </c>
      <c r="G40" s="466"/>
      <c r="H40" s="466"/>
      <c r="I40" s="467"/>
      <c r="J40" s="467"/>
      <c r="K40" s="1671">
        <f t="shared" si="2"/>
        <v>814739</v>
      </c>
      <c r="L40" s="466">
        <v>799790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1275940</v>
      </c>
      <c r="D42" s="1670">
        <f t="shared" ref="D42:L42" si="3">SUM(D36:D41)</f>
        <v>316331</v>
      </c>
      <c r="E42" s="1670">
        <f t="shared" si="3"/>
        <v>80674</v>
      </c>
      <c r="F42" s="1670">
        <f t="shared" si="3"/>
        <v>12711</v>
      </c>
      <c r="G42" s="1670">
        <f t="shared" si="3"/>
        <v>0</v>
      </c>
      <c r="H42" s="1670">
        <f t="shared" si="3"/>
        <v>0</v>
      </c>
      <c r="I42" s="1670">
        <f t="shared" si="3"/>
        <v>0</v>
      </c>
      <c r="J42" s="1670">
        <f t="shared" si="3"/>
        <v>0</v>
      </c>
      <c r="K42" s="1670">
        <f t="shared" si="3"/>
        <v>1685656</v>
      </c>
      <c r="L42" s="1670">
        <f t="shared" si="3"/>
        <v>1700960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153721</v>
      </c>
      <c r="D44" s="481">
        <v>48631</v>
      </c>
      <c r="E44" s="481">
        <v>258495</v>
      </c>
      <c r="F44" s="481">
        <v>26013</v>
      </c>
      <c r="G44" s="481"/>
      <c r="H44" s="481"/>
      <c r="I44" s="467"/>
      <c r="J44" s="467"/>
      <c r="K44" s="1672">
        <f>SUM(C44:J44)</f>
        <v>486860</v>
      </c>
      <c r="L44" s="481">
        <v>397007</v>
      </c>
    </row>
    <row r="45" spans="1:14" x14ac:dyDescent="0.2">
      <c r="A45" s="1504" t="s">
        <v>815</v>
      </c>
      <c r="B45" s="614">
        <v>2220</v>
      </c>
      <c r="C45" s="466">
        <v>1302502</v>
      </c>
      <c r="D45" s="466">
        <v>288687</v>
      </c>
      <c r="E45" s="466">
        <v>286336</v>
      </c>
      <c r="F45" s="466">
        <v>501312</v>
      </c>
      <c r="G45" s="466">
        <v>112877</v>
      </c>
      <c r="H45" s="466"/>
      <c r="I45" s="467">
        <v>6170</v>
      </c>
      <c r="J45" s="467"/>
      <c r="K45" s="1672">
        <f>SUM(C45:J45)</f>
        <v>2497884</v>
      </c>
      <c r="L45" s="466">
        <v>2587700</v>
      </c>
    </row>
    <row r="46" spans="1:14" x14ac:dyDescent="0.2">
      <c r="A46" s="1504" t="s">
        <v>816</v>
      </c>
      <c r="B46" s="614">
        <v>2230</v>
      </c>
      <c r="C46" s="466"/>
      <c r="D46" s="466"/>
      <c r="E46" s="466">
        <v>70933</v>
      </c>
      <c r="F46" s="466">
        <v>649</v>
      </c>
      <c r="G46" s="466"/>
      <c r="H46" s="466"/>
      <c r="I46" s="467"/>
      <c r="J46" s="467"/>
      <c r="K46" s="1672">
        <f>SUM(C46:J46)</f>
        <v>71582</v>
      </c>
      <c r="L46" s="466">
        <v>55000</v>
      </c>
    </row>
    <row r="47" spans="1:14" ht="12.75" customHeight="1" thickBot="1" x14ac:dyDescent="0.25">
      <c r="A47" s="1668" t="s">
        <v>561</v>
      </c>
      <c r="B47" s="1669" t="s">
        <v>32</v>
      </c>
      <c r="C47" s="1670">
        <f>SUM(C44:C46)</f>
        <v>1456223</v>
      </c>
      <c r="D47" s="1670">
        <f t="shared" ref="D47:K47" si="4">SUM(D44:D46)</f>
        <v>337318</v>
      </c>
      <c r="E47" s="1670">
        <f t="shared" si="4"/>
        <v>615764</v>
      </c>
      <c r="F47" s="1670">
        <f t="shared" si="4"/>
        <v>527974</v>
      </c>
      <c r="G47" s="1670">
        <f t="shared" si="4"/>
        <v>112877</v>
      </c>
      <c r="H47" s="1670">
        <f t="shared" si="4"/>
        <v>0</v>
      </c>
      <c r="I47" s="1670">
        <f t="shared" si="4"/>
        <v>6170</v>
      </c>
      <c r="J47" s="1670">
        <f t="shared" si="4"/>
        <v>0</v>
      </c>
      <c r="K47" s="1670">
        <f t="shared" si="4"/>
        <v>3056326</v>
      </c>
      <c r="L47" s="1670">
        <f>SUM(L44:L46)</f>
        <v>3039707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129190</v>
      </c>
      <c r="F49" s="481">
        <v>45616</v>
      </c>
      <c r="G49" s="481"/>
      <c r="H49" s="481">
        <v>15091</v>
      </c>
      <c r="I49" s="467"/>
      <c r="J49" s="467"/>
      <c r="K49" s="1672">
        <f>SUM(C49:J49)</f>
        <v>189897</v>
      </c>
      <c r="L49" s="481">
        <v>176000</v>
      </c>
    </row>
    <row r="50" spans="1:14" x14ac:dyDescent="0.2">
      <c r="A50" s="1504" t="s">
        <v>818</v>
      </c>
      <c r="B50" s="614">
        <v>2320</v>
      </c>
      <c r="C50" s="466">
        <v>284031</v>
      </c>
      <c r="D50" s="466">
        <v>48566</v>
      </c>
      <c r="E50" s="466">
        <v>15750</v>
      </c>
      <c r="F50" s="466">
        <v>14192</v>
      </c>
      <c r="G50" s="466"/>
      <c r="H50" s="466">
        <v>10266</v>
      </c>
      <c r="I50" s="467"/>
      <c r="J50" s="467"/>
      <c r="K50" s="1672">
        <f>SUM(C50:J50)</f>
        <v>372805</v>
      </c>
      <c r="L50" s="466">
        <v>362210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86246</v>
      </c>
      <c r="F52" s="474"/>
      <c r="G52" s="474"/>
      <c r="H52" s="474"/>
      <c r="I52" s="474"/>
      <c r="J52" s="474"/>
      <c r="K52" s="1672">
        <f>SUM(C52:J52)</f>
        <v>86246</v>
      </c>
      <c r="L52" s="474">
        <v>114000</v>
      </c>
    </row>
    <row r="53" spans="1:14" ht="12.75" customHeight="1" thickBot="1" x14ac:dyDescent="0.25">
      <c r="A53" s="1668" t="s">
        <v>717</v>
      </c>
      <c r="B53" s="1669" t="s">
        <v>33</v>
      </c>
      <c r="C53" s="1670">
        <f>SUM(C49:C52)</f>
        <v>284031</v>
      </c>
      <c r="D53" s="1670">
        <f t="shared" ref="D53:L53" si="5">SUM(D49:D52)</f>
        <v>48566</v>
      </c>
      <c r="E53" s="1670">
        <f t="shared" si="5"/>
        <v>231186</v>
      </c>
      <c r="F53" s="1670">
        <f t="shared" si="5"/>
        <v>59808</v>
      </c>
      <c r="G53" s="1670">
        <f t="shared" si="5"/>
        <v>0</v>
      </c>
      <c r="H53" s="1670">
        <f t="shared" si="5"/>
        <v>25357</v>
      </c>
      <c r="I53" s="1670">
        <f t="shared" si="5"/>
        <v>0</v>
      </c>
      <c r="J53" s="1670">
        <f t="shared" si="5"/>
        <v>0</v>
      </c>
      <c r="K53" s="1670">
        <f t="shared" si="5"/>
        <v>648948</v>
      </c>
      <c r="L53" s="1670">
        <f t="shared" si="5"/>
        <v>652210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1522227</v>
      </c>
      <c r="D55" s="481">
        <v>500989</v>
      </c>
      <c r="E55" s="481">
        <v>7419</v>
      </c>
      <c r="F55" s="481">
        <v>2161</v>
      </c>
      <c r="G55" s="481"/>
      <c r="H55" s="481">
        <v>2054</v>
      </c>
      <c r="I55" s="467"/>
      <c r="J55" s="467"/>
      <c r="K55" s="1672">
        <f>SUM(C55:J55)</f>
        <v>2034850</v>
      </c>
      <c r="L55" s="481">
        <v>2049610</v>
      </c>
    </row>
    <row r="56" spans="1:14" ht="12.75" customHeight="1" x14ac:dyDescent="0.2">
      <c r="A56" s="1508" t="s">
        <v>376</v>
      </c>
      <c r="B56" s="628">
        <v>2490</v>
      </c>
      <c r="C56" s="466">
        <v>233895</v>
      </c>
      <c r="D56" s="466">
        <v>61353</v>
      </c>
      <c r="E56" s="466">
        <v>1414</v>
      </c>
      <c r="F56" s="466">
        <v>238</v>
      </c>
      <c r="G56" s="466"/>
      <c r="H56" s="466">
        <v>507</v>
      </c>
      <c r="I56" s="467"/>
      <c r="J56" s="467"/>
      <c r="K56" s="1672">
        <f>SUM(C56:J56)</f>
        <v>297407</v>
      </c>
      <c r="L56" s="466">
        <v>307160</v>
      </c>
    </row>
    <row r="57" spans="1:14" s="343" customFormat="1" ht="12.75" customHeight="1" thickBot="1" x14ac:dyDescent="0.25">
      <c r="A57" s="1668" t="s">
        <v>263</v>
      </c>
      <c r="B57" s="1673" t="s">
        <v>34</v>
      </c>
      <c r="C57" s="1674">
        <f>SUM(C55:C56)</f>
        <v>1756122</v>
      </c>
      <c r="D57" s="1674">
        <f t="shared" ref="D57:K57" si="6">SUM(D55:D56)</f>
        <v>562342</v>
      </c>
      <c r="E57" s="1674">
        <f t="shared" si="6"/>
        <v>8833</v>
      </c>
      <c r="F57" s="1674">
        <f t="shared" si="6"/>
        <v>2399</v>
      </c>
      <c r="G57" s="1674">
        <f t="shared" si="6"/>
        <v>0</v>
      </c>
      <c r="H57" s="1674">
        <f t="shared" si="6"/>
        <v>2561</v>
      </c>
      <c r="I57" s="1674">
        <f t="shared" si="6"/>
        <v>0</v>
      </c>
      <c r="J57" s="1674">
        <f t="shared" si="6"/>
        <v>0</v>
      </c>
      <c r="K57" s="1674">
        <f t="shared" si="6"/>
        <v>2332257</v>
      </c>
      <c r="L57" s="1670">
        <f>SUM(L55:L56)</f>
        <v>2356770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132707</v>
      </c>
      <c r="D59" s="481">
        <v>40695</v>
      </c>
      <c r="E59" s="481">
        <v>1757</v>
      </c>
      <c r="F59" s="481">
        <v>112</v>
      </c>
      <c r="G59" s="481"/>
      <c r="H59" s="481">
        <v>276</v>
      </c>
      <c r="I59" s="467"/>
      <c r="J59" s="467"/>
      <c r="K59" s="1672">
        <f t="shared" ref="K59:K64" si="7">SUM(C59:J59)</f>
        <v>175547</v>
      </c>
      <c r="L59" s="481">
        <v>175810</v>
      </c>
      <c r="M59" s="609"/>
      <c r="N59" s="609"/>
    </row>
    <row r="60" spans="1:14" s="343" customFormat="1" x14ac:dyDescent="0.2">
      <c r="A60" s="1504" t="s">
        <v>463</v>
      </c>
      <c r="B60" s="614">
        <v>2520</v>
      </c>
      <c r="C60" s="466">
        <v>302263</v>
      </c>
      <c r="D60" s="466">
        <v>68226</v>
      </c>
      <c r="E60" s="466">
        <v>261783</v>
      </c>
      <c r="F60" s="466">
        <v>9542</v>
      </c>
      <c r="G60" s="466"/>
      <c r="H60" s="466">
        <v>1322</v>
      </c>
      <c r="I60" s="467">
        <v>860</v>
      </c>
      <c r="J60" s="467"/>
      <c r="K60" s="1672">
        <f t="shared" si="7"/>
        <v>643996</v>
      </c>
      <c r="L60" s="466">
        <v>553830</v>
      </c>
      <c r="M60" s="609"/>
      <c r="N60" s="609"/>
    </row>
    <row r="61" spans="1:14" s="343" customFormat="1" x14ac:dyDescent="0.2">
      <c r="A61" s="1504" t="s">
        <v>197</v>
      </c>
      <c r="B61" s="614">
        <v>2540</v>
      </c>
      <c r="C61" s="466">
        <v>1335258</v>
      </c>
      <c r="D61" s="466">
        <v>334997</v>
      </c>
      <c r="E61" s="466">
        <v>4</v>
      </c>
      <c r="F61" s="466">
        <v>758</v>
      </c>
      <c r="G61" s="466"/>
      <c r="H61" s="466"/>
      <c r="I61" s="467"/>
      <c r="J61" s="467"/>
      <c r="K61" s="1672">
        <f t="shared" si="7"/>
        <v>1671017</v>
      </c>
      <c r="L61" s="466">
        <v>1721080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293943</v>
      </c>
      <c r="D63" s="466">
        <v>16995</v>
      </c>
      <c r="E63" s="466">
        <v>996481</v>
      </c>
      <c r="F63" s="466">
        <v>37451</v>
      </c>
      <c r="G63" s="466"/>
      <c r="H63" s="466"/>
      <c r="I63" s="467"/>
      <c r="J63" s="467"/>
      <c r="K63" s="1672">
        <f t="shared" si="7"/>
        <v>1344870</v>
      </c>
      <c r="L63" s="466">
        <v>2373140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2064171</v>
      </c>
      <c r="D65" s="1670">
        <f t="shared" ref="D65:L65" si="8">SUM(D59:D64)</f>
        <v>460913</v>
      </c>
      <c r="E65" s="1670">
        <f t="shared" si="8"/>
        <v>1260025</v>
      </c>
      <c r="F65" s="1670">
        <f t="shared" si="8"/>
        <v>47863</v>
      </c>
      <c r="G65" s="1670">
        <f t="shared" si="8"/>
        <v>0</v>
      </c>
      <c r="H65" s="1670">
        <f t="shared" si="8"/>
        <v>1598</v>
      </c>
      <c r="I65" s="1670">
        <f t="shared" si="8"/>
        <v>860</v>
      </c>
      <c r="J65" s="1670">
        <f t="shared" si="8"/>
        <v>0</v>
      </c>
      <c r="K65" s="1670">
        <f t="shared" si="8"/>
        <v>3835430</v>
      </c>
      <c r="L65" s="1670">
        <f t="shared" si="8"/>
        <v>4823860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25393</v>
      </c>
      <c r="F70" s="466">
        <v>26613</v>
      </c>
      <c r="G70" s="466"/>
      <c r="H70" s="466"/>
      <c r="I70" s="467"/>
      <c r="J70" s="467"/>
      <c r="K70" s="1672">
        <f>SUM(C70:J70)</f>
        <v>52006</v>
      </c>
      <c r="L70" s="466">
        <v>50000</v>
      </c>
      <c r="M70" s="609"/>
      <c r="N70" s="609"/>
    </row>
    <row r="71" spans="1:14" s="343" customFormat="1" x14ac:dyDescent="0.2">
      <c r="A71" s="1504" t="s">
        <v>404</v>
      </c>
      <c r="B71" s="614">
        <v>2660</v>
      </c>
      <c r="C71" s="466">
        <v>121018</v>
      </c>
      <c r="D71" s="466">
        <v>16692</v>
      </c>
      <c r="E71" s="466">
        <v>159826</v>
      </c>
      <c r="F71" s="466">
        <v>1251</v>
      </c>
      <c r="G71" s="466">
        <v>56719</v>
      </c>
      <c r="H71" s="466">
        <v>80</v>
      </c>
      <c r="I71" s="467"/>
      <c r="J71" s="467"/>
      <c r="K71" s="1672">
        <f>SUM(C71:J71)</f>
        <v>355586</v>
      </c>
      <c r="L71" s="466">
        <v>559210</v>
      </c>
      <c r="M71" s="609"/>
      <c r="N71" s="609"/>
    </row>
    <row r="72" spans="1:14" s="343" customFormat="1" ht="12.75" customHeight="1" thickBot="1" x14ac:dyDescent="0.25">
      <c r="A72" s="1668" t="s">
        <v>37</v>
      </c>
      <c r="B72" s="1675" t="s">
        <v>36</v>
      </c>
      <c r="C72" s="1670">
        <f>SUM(C67:C71)</f>
        <v>121018</v>
      </c>
      <c r="D72" s="1670">
        <f t="shared" ref="D72:K72" si="9">SUM(D67:D71)</f>
        <v>16692</v>
      </c>
      <c r="E72" s="1670">
        <f t="shared" si="9"/>
        <v>185219</v>
      </c>
      <c r="F72" s="1670">
        <f t="shared" si="9"/>
        <v>27864</v>
      </c>
      <c r="G72" s="1670">
        <f t="shared" si="9"/>
        <v>56719</v>
      </c>
      <c r="H72" s="1670">
        <f t="shared" si="9"/>
        <v>80</v>
      </c>
      <c r="I72" s="1670">
        <f t="shared" si="9"/>
        <v>0</v>
      </c>
      <c r="J72" s="1670">
        <f t="shared" si="9"/>
        <v>0</v>
      </c>
      <c r="K72" s="1670">
        <f t="shared" si="9"/>
        <v>407592</v>
      </c>
      <c r="L72" s="1670">
        <f>SUM(L67:L71)</f>
        <v>609210</v>
      </c>
      <c r="M72" s="609"/>
      <c r="N72" s="609"/>
    </row>
    <row r="73" spans="1:14" s="343" customFormat="1" ht="14.25" thickTop="1" thickBot="1" x14ac:dyDescent="0.25">
      <c r="A73" s="1510" t="s">
        <v>980</v>
      </c>
      <c r="B73" s="632" t="s">
        <v>574</v>
      </c>
      <c r="C73" s="573"/>
      <c r="D73" s="573"/>
      <c r="E73" s="573"/>
      <c r="F73" s="573">
        <v>6680</v>
      </c>
      <c r="G73" s="573"/>
      <c r="H73" s="573"/>
      <c r="I73" s="531"/>
      <c r="J73" s="531"/>
      <c r="K73" s="1670">
        <f>SUM(C73:J73)</f>
        <v>6680</v>
      </c>
      <c r="L73" s="576">
        <v>6500</v>
      </c>
      <c r="M73" s="609"/>
      <c r="N73" s="609"/>
    </row>
    <row r="74" spans="1:14" ht="12.75" customHeight="1" thickTop="1" thickBot="1" x14ac:dyDescent="0.25">
      <c r="A74" s="1668" t="s">
        <v>811</v>
      </c>
      <c r="B74" s="1676">
        <v>2000</v>
      </c>
      <c r="C74" s="1677">
        <f>SUM(C42,C47,C53,C57,C65,C72,C73)</f>
        <v>6957505</v>
      </c>
      <c r="D74" s="1677">
        <f t="shared" ref="D74:K74" si="10">SUM(D42,D47,D53,D57,D65,D72,D73)</f>
        <v>1742162</v>
      </c>
      <c r="E74" s="1677">
        <f t="shared" si="10"/>
        <v>2381701</v>
      </c>
      <c r="F74" s="1677">
        <f t="shared" si="10"/>
        <v>685299</v>
      </c>
      <c r="G74" s="1677">
        <f t="shared" si="10"/>
        <v>169596</v>
      </c>
      <c r="H74" s="1677">
        <f t="shared" si="10"/>
        <v>29596</v>
      </c>
      <c r="I74" s="1677">
        <f t="shared" si="10"/>
        <v>7030</v>
      </c>
      <c r="J74" s="1677">
        <f t="shared" si="10"/>
        <v>0</v>
      </c>
      <c r="K74" s="1677">
        <f t="shared" si="10"/>
        <v>11972889</v>
      </c>
      <c r="L74" s="1677">
        <f>SUM(L42,L47,L53,L57,L65,L72,L73)</f>
        <v>13189217</v>
      </c>
    </row>
    <row r="75" spans="1:14" s="259" customFormat="1" ht="15.75" customHeight="1" thickTop="1" thickBot="1" x14ac:dyDescent="0.25">
      <c r="A75" s="1610" t="s">
        <v>47</v>
      </c>
      <c r="B75" s="1611" t="s">
        <v>575</v>
      </c>
      <c r="C75" s="573">
        <v>8980</v>
      </c>
      <c r="D75" s="573">
        <v>3614</v>
      </c>
      <c r="E75" s="573">
        <v>2988</v>
      </c>
      <c r="F75" s="573">
        <v>9969</v>
      </c>
      <c r="G75" s="573"/>
      <c r="H75" s="573"/>
      <c r="I75" s="531"/>
      <c r="J75" s="531"/>
      <c r="K75" s="1670">
        <f>SUM(C75:J75)</f>
        <v>25551</v>
      </c>
      <c r="L75" s="576">
        <v>25000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435732</v>
      </c>
      <c r="F79" s="616"/>
      <c r="G79" s="616"/>
      <c r="H79" s="466"/>
      <c r="I79" s="477"/>
      <c r="J79" s="477"/>
      <c r="K79" s="1671">
        <f t="shared" si="11"/>
        <v>435732</v>
      </c>
      <c r="L79" s="466">
        <v>1053450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435732</v>
      </c>
      <c r="F84" s="616"/>
      <c r="G84" s="616"/>
      <c r="H84" s="1670">
        <f>SUM(H78:H83)</f>
        <v>0</v>
      </c>
      <c r="I84" s="477"/>
      <c r="J84" s="477"/>
      <c r="K84" s="1670">
        <f>SUM(K78:K83)</f>
        <v>435732</v>
      </c>
      <c r="L84" s="1670">
        <f>SUM(L78:L83)</f>
        <v>1053450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546679</v>
      </c>
      <c r="I86" s="477"/>
      <c r="J86" s="477"/>
      <c r="K86" s="1677">
        <f t="shared" ref="K86:K98" si="12">H86</f>
        <v>546679</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546679</v>
      </c>
      <c r="I92" s="477"/>
      <c r="J92" s="477"/>
      <c r="K92" s="1677">
        <f t="shared" si="12"/>
        <v>546679</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435732</v>
      </c>
      <c r="F102" s="616"/>
      <c r="G102" s="616"/>
      <c r="H102" s="1677">
        <f>SUM(H84,H92,H100,H101)</f>
        <v>546679</v>
      </c>
      <c r="I102" s="477"/>
      <c r="J102" s="477"/>
      <c r="K102" s="1677">
        <f>SUM(K84,K92,K100,K101)</f>
        <v>982411</v>
      </c>
      <c r="L102" s="1677">
        <f>SUM(L84,L92,L100,L101)</f>
        <v>1053450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24388783</v>
      </c>
      <c r="D114" s="1670">
        <f t="shared" ref="D114:K114" si="13">SUM(D33,D74,D75,D102,D112,D113)</f>
        <v>5907463</v>
      </c>
      <c r="E114" s="1670">
        <f t="shared" si="13"/>
        <v>3164925</v>
      </c>
      <c r="F114" s="1670">
        <f t="shared" si="13"/>
        <v>1300713</v>
      </c>
      <c r="G114" s="1670">
        <f t="shared" si="13"/>
        <v>192056</v>
      </c>
      <c r="H114" s="1670">
        <f>SUM(H33,H74,H75,H102,H112,H113)</f>
        <v>1248461</v>
      </c>
      <c r="I114" s="1670">
        <f t="shared" si="13"/>
        <v>10497</v>
      </c>
      <c r="J114" s="1670">
        <f t="shared" si="13"/>
        <v>0</v>
      </c>
      <c r="K114" s="1670">
        <f t="shared" si="13"/>
        <v>36212898</v>
      </c>
      <c r="L114" s="1670">
        <f>SUM(L33,L74,L75,L102,L112,L113)</f>
        <v>38016405</v>
      </c>
    </row>
    <row r="115" spans="1:14" ht="13.5" thickTop="1" x14ac:dyDescent="0.2">
      <c r="A115" s="2180" t="s">
        <v>996</v>
      </c>
      <c r="B115" s="2181"/>
      <c r="C115" s="618"/>
      <c r="D115" s="618"/>
      <c r="E115" s="618"/>
      <c r="F115" s="618"/>
      <c r="G115" s="618"/>
      <c r="H115" s="618"/>
      <c r="I115" s="618"/>
      <c r="J115" s="618"/>
      <c r="K115" s="1684">
        <f>'Revenues 9-14'!C268-'Expenditures 15-22'!K114</f>
        <v>5234218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950</v>
      </c>
      <c r="F123" s="466"/>
      <c r="G123" s="466">
        <v>3376880</v>
      </c>
      <c r="H123" s="466">
        <v>13035</v>
      </c>
      <c r="I123" s="467"/>
      <c r="J123" s="467"/>
      <c r="K123" s="1670">
        <f>SUM(C123:J123)</f>
        <v>3390865</v>
      </c>
      <c r="L123" s="466">
        <v>4125000</v>
      </c>
    </row>
    <row r="124" spans="1:14" ht="14.25" thickTop="1" thickBot="1" x14ac:dyDescent="0.25">
      <c r="A124" s="1504" t="s">
        <v>197</v>
      </c>
      <c r="B124" s="614">
        <v>2540</v>
      </c>
      <c r="C124" s="466">
        <v>467733</v>
      </c>
      <c r="D124" s="466">
        <v>83129</v>
      </c>
      <c r="E124" s="466">
        <v>684781</v>
      </c>
      <c r="F124" s="466">
        <v>910040</v>
      </c>
      <c r="G124" s="466">
        <v>33992</v>
      </c>
      <c r="H124" s="466">
        <v>45</v>
      </c>
      <c r="I124" s="467">
        <v>2049</v>
      </c>
      <c r="J124" s="467"/>
      <c r="K124" s="1670">
        <f>SUM(C124:J124)</f>
        <v>2181769</v>
      </c>
      <c r="L124" s="466">
        <v>2105680</v>
      </c>
    </row>
    <row r="125" spans="1:14" ht="14.25" thickTop="1" thickBot="1" x14ac:dyDescent="0.25">
      <c r="A125" s="1504" t="s">
        <v>953</v>
      </c>
      <c r="B125" s="614">
        <v>2550</v>
      </c>
      <c r="C125" s="466"/>
      <c r="D125" s="466"/>
      <c r="E125" s="466">
        <v>20</v>
      </c>
      <c r="F125" s="466">
        <v>9557</v>
      </c>
      <c r="G125" s="466"/>
      <c r="H125" s="466"/>
      <c r="I125" s="467"/>
      <c r="J125" s="467"/>
      <c r="K125" s="1670">
        <f>SUM(C125:J125)</f>
        <v>9577</v>
      </c>
      <c r="L125" s="466">
        <v>11000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467733</v>
      </c>
      <c r="D127" s="1670">
        <f t="shared" ref="D127:L127" si="14">SUM(D122:D126)</f>
        <v>83129</v>
      </c>
      <c r="E127" s="1670">
        <f t="shared" si="14"/>
        <v>685751</v>
      </c>
      <c r="F127" s="1670">
        <f t="shared" si="14"/>
        <v>919597</v>
      </c>
      <c r="G127" s="1670">
        <f t="shared" si="14"/>
        <v>3410872</v>
      </c>
      <c r="H127" s="1670">
        <f t="shared" si="14"/>
        <v>13080</v>
      </c>
      <c r="I127" s="1670">
        <f t="shared" si="14"/>
        <v>2049</v>
      </c>
      <c r="J127" s="1670">
        <f t="shared" si="14"/>
        <v>0</v>
      </c>
      <c r="K127" s="1670">
        <f t="shared" si="14"/>
        <v>5582211</v>
      </c>
      <c r="L127" s="1670">
        <f t="shared" si="14"/>
        <v>6241680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467733</v>
      </c>
      <c r="D129" s="1677">
        <f t="shared" ref="D129:L129" si="15">SUM(D120,D127,D128)</f>
        <v>83129</v>
      </c>
      <c r="E129" s="1677">
        <f t="shared" si="15"/>
        <v>685751</v>
      </c>
      <c r="F129" s="1677">
        <f t="shared" si="15"/>
        <v>919597</v>
      </c>
      <c r="G129" s="1677">
        <f t="shared" si="15"/>
        <v>3410872</v>
      </c>
      <c r="H129" s="1677">
        <f t="shared" si="15"/>
        <v>13080</v>
      </c>
      <c r="I129" s="1677">
        <f t="shared" si="15"/>
        <v>2049</v>
      </c>
      <c r="J129" s="1677">
        <f t="shared" si="15"/>
        <v>0</v>
      </c>
      <c r="K129" s="1677">
        <f t="shared" si="15"/>
        <v>5582211</v>
      </c>
      <c r="L129" s="1677">
        <f t="shared" si="15"/>
        <v>6241680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467733</v>
      </c>
      <c r="D151" s="1670">
        <f t="shared" ref="D151:K151" si="16">SUM(D129,D130,D139,D149,D150)</f>
        <v>83129</v>
      </c>
      <c r="E151" s="1670">
        <f t="shared" si="16"/>
        <v>685751</v>
      </c>
      <c r="F151" s="1670">
        <f t="shared" si="16"/>
        <v>919597</v>
      </c>
      <c r="G151" s="1670">
        <f t="shared" si="16"/>
        <v>3410872</v>
      </c>
      <c r="H151" s="1670">
        <f t="shared" si="16"/>
        <v>13080</v>
      </c>
      <c r="I151" s="1670">
        <f t="shared" si="16"/>
        <v>2049</v>
      </c>
      <c r="J151" s="1670">
        <f t="shared" si="16"/>
        <v>0</v>
      </c>
      <c r="K151" s="1670">
        <f t="shared" si="16"/>
        <v>5582211</v>
      </c>
      <c r="L151" s="1670">
        <f>SUM(L129,L130,L139,L149,L150)</f>
        <v>6241680</v>
      </c>
    </row>
    <row r="152" spans="1:14" ht="12.75" customHeight="1" thickTop="1" x14ac:dyDescent="0.2">
      <c r="A152" s="2173" t="s">
        <v>1178</v>
      </c>
      <c r="B152" s="2174"/>
      <c r="C152" s="618"/>
      <c r="D152" s="618"/>
      <c r="E152" s="618"/>
      <c r="F152" s="618"/>
      <c r="G152" s="618"/>
      <c r="H152" s="618"/>
      <c r="I152" s="618"/>
      <c r="J152" s="616"/>
      <c r="K152" s="1684">
        <f>'Revenues 9-14'!D268-'Expenditures 15-22'!K151</f>
        <v>1227255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1845</v>
      </c>
      <c r="C158" s="616"/>
      <c r="D158" s="616"/>
      <c r="E158" s="616"/>
      <c r="F158" s="616"/>
      <c r="G158" s="616"/>
      <c r="H158" s="467"/>
      <c r="I158" s="616"/>
      <c r="J158" s="616"/>
      <c r="K158" s="1671">
        <f>H158</f>
        <v>0</v>
      </c>
      <c r="L158" s="467"/>
      <c r="M158" s="619"/>
      <c r="N158" s="619"/>
    </row>
    <row r="159" spans="1:14" s="620" customFormat="1" ht="12" x14ac:dyDescent="0.2">
      <c r="A159" s="1826" t="s">
        <v>1846</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1964435</v>
      </c>
      <c r="I169" s="616"/>
      <c r="J169" s="616"/>
      <c r="K169" s="1671">
        <f>SUM(C169:H169)</f>
        <v>1964435</v>
      </c>
      <c r="L169" s="656">
        <v>1968440</v>
      </c>
    </row>
    <row r="170" spans="1:14" ht="33.75" customHeight="1" x14ac:dyDescent="0.2">
      <c r="A170" s="669" t="s">
        <v>1670</v>
      </c>
      <c r="B170" s="671" t="s">
        <v>31</v>
      </c>
      <c r="C170" s="616"/>
      <c r="D170" s="616"/>
      <c r="E170" s="616"/>
      <c r="F170" s="616"/>
      <c r="G170" s="616"/>
      <c r="H170" s="569">
        <v>1800000</v>
      </c>
      <c r="I170" s="616"/>
      <c r="J170" s="616"/>
      <c r="K170" s="1671">
        <f>SUM(C170:J170)</f>
        <v>1800000</v>
      </c>
      <c r="L170" s="569">
        <v>1800000</v>
      </c>
    </row>
    <row r="171" spans="1:14" ht="15.75" customHeight="1" x14ac:dyDescent="0.2">
      <c r="A171" s="621" t="s">
        <v>766</v>
      </c>
      <c r="B171" s="672" t="s">
        <v>84</v>
      </c>
      <c r="C171" s="616"/>
      <c r="D171" s="616"/>
      <c r="E171" s="466"/>
      <c r="F171" s="616"/>
      <c r="G171" s="616"/>
      <c r="H171" s="569">
        <v>4500</v>
      </c>
      <c r="I171" s="477"/>
      <c r="J171" s="616"/>
      <c r="K171" s="1671">
        <f>SUM(C171:J171)</f>
        <v>4500</v>
      </c>
      <c r="L171" s="569"/>
    </row>
    <row r="172" spans="1:14" ht="12.75" customHeight="1" thickBot="1" x14ac:dyDescent="0.25">
      <c r="A172" s="1668" t="s">
        <v>638</v>
      </c>
      <c r="B172" s="1669" t="s">
        <v>492</v>
      </c>
      <c r="C172" s="616"/>
      <c r="D172" s="616"/>
      <c r="E172" s="1677">
        <f>SUM(E168,E169,E170,E171)</f>
        <v>0</v>
      </c>
      <c r="F172" s="616"/>
      <c r="G172" s="616"/>
      <c r="H172" s="1677">
        <f>SUM(H168,H169,H170,H171)</f>
        <v>3768935</v>
      </c>
      <c r="I172" s="638"/>
      <c r="J172" s="616"/>
      <c r="K172" s="1677">
        <f>SUM(K168,K169,K170,K171)</f>
        <v>3768935</v>
      </c>
      <c r="L172" s="1677">
        <f>SUM(L168,L169,L170,L171)</f>
        <v>3768440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3768935</v>
      </c>
      <c r="I174" s="638"/>
      <c r="J174" s="616"/>
      <c r="K174" s="1677">
        <f>SUM(K160,K172,K173)</f>
        <v>3768935</v>
      </c>
      <c r="L174" s="1677">
        <f>SUM(L160,L172,L173)</f>
        <v>3768440</v>
      </c>
    </row>
    <row r="175" spans="1:14" ht="13.5" thickTop="1" x14ac:dyDescent="0.2">
      <c r="A175" s="2180" t="s">
        <v>996</v>
      </c>
      <c r="B175" s="2181"/>
      <c r="C175" s="616"/>
      <c r="D175" s="616"/>
      <c r="E175" s="616"/>
      <c r="F175" s="616"/>
      <c r="G175" s="616"/>
      <c r="H175" s="618"/>
      <c r="I175" s="616"/>
      <c r="J175" s="616"/>
      <c r="K175" s="1684">
        <f>'Revenues 9-14'!E268-'Expenditures 15-22'!K174</f>
        <v>-1794457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789674</v>
      </c>
      <c r="D182" s="466">
        <v>135256</v>
      </c>
      <c r="E182" s="466">
        <v>902595</v>
      </c>
      <c r="F182" s="466">
        <v>100134</v>
      </c>
      <c r="G182" s="466">
        <v>240897</v>
      </c>
      <c r="H182" s="466">
        <v>105</v>
      </c>
      <c r="I182" s="467"/>
      <c r="J182" s="467"/>
      <c r="K182" s="1671">
        <f>SUM(C182:J182)</f>
        <v>2168661</v>
      </c>
      <c r="L182" s="466">
        <v>2168480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789674</v>
      </c>
      <c r="D184" s="1677">
        <f t="shared" ref="D184:J184" si="17">SUM(D180,D182,D183)</f>
        <v>135256</v>
      </c>
      <c r="E184" s="1677">
        <f t="shared" si="17"/>
        <v>902595</v>
      </c>
      <c r="F184" s="1677">
        <f t="shared" si="17"/>
        <v>100134</v>
      </c>
      <c r="G184" s="1677">
        <f t="shared" si="17"/>
        <v>240897</v>
      </c>
      <c r="H184" s="1677">
        <f t="shared" si="17"/>
        <v>105</v>
      </c>
      <c r="I184" s="1677">
        <f t="shared" si="17"/>
        <v>0</v>
      </c>
      <c r="J184" s="1677">
        <f t="shared" si="17"/>
        <v>0</v>
      </c>
      <c r="K184" s="1677">
        <f>SUM(K180,K182,K183)</f>
        <v>2168661</v>
      </c>
      <c r="L184" s="1677">
        <f>SUM(L180, L182:L183)</f>
        <v>2168480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789674</v>
      </c>
      <c r="D210" s="1670">
        <f>SUM(D184,D185)</f>
        <v>135256</v>
      </c>
      <c r="E210" s="1670">
        <f>SUM(E184,E185,E196)</f>
        <v>902595</v>
      </c>
      <c r="F210" s="1670">
        <f>SUM(F184,F185)</f>
        <v>100134</v>
      </c>
      <c r="G210" s="1670">
        <f>SUM(G184,G185)</f>
        <v>240897</v>
      </c>
      <c r="H210" s="1670">
        <f>SUM(H184,H185,H196,H208,H209)</f>
        <v>105</v>
      </c>
      <c r="I210" s="1670">
        <f>SUM(I184,I185)</f>
        <v>0</v>
      </c>
      <c r="J210" s="1670">
        <f>SUM(J184,J185)</f>
        <v>0</v>
      </c>
      <c r="K210" s="1671">
        <f>SUM(K184,K185,K196,K208,K209)</f>
        <v>2168661</v>
      </c>
      <c r="L210" s="1670">
        <f>SUM(L184,L185,L196,L208,L209)</f>
        <v>2168480</v>
      </c>
    </row>
    <row r="211" spans="1:14" ht="13.5" thickTop="1" x14ac:dyDescent="0.2">
      <c r="A211" s="2180" t="s">
        <v>996</v>
      </c>
      <c r="B211" s="2181"/>
      <c r="C211" s="618"/>
      <c r="D211" s="618"/>
      <c r="E211" s="618"/>
      <c r="F211" s="618"/>
      <c r="G211" s="618"/>
      <c r="H211" s="618"/>
      <c r="I211" s="616"/>
      <c r="J211" s="616"/>
      <c r="K211" s="1684">
        <f>'Revenues 9-14'!F268-'Expenditures 15-22'!K210</f>
        <v>-125445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216787</v>
      </c>
      <c r="E215" s="616"/>
      <c r="F215" s="616"/>
      <c r="G215" s="616"/>
      <c r="H215" s="616"/>
      <c r="I215" s="616"/>
      <c r="J215" s="616"/>
      <c r="K215" s="1671">
        <f>D215</f>
        <v>216787</v>
      </c>
      <c r="L215" s="466">
        <v>229127</v>
      </c>
    </row>
    <row r="216" spans="1:14" x14ac:dyDescent="0.2">
      <c r="A216" s="1504" t="s">
        <v>163</v>
      </c>
      <c r="B216" s="614" t="s">
        <v>967</v>
      </c>
      <c r="C216" s="616"/>
      <c r="D216" s="467">
        <v>27442</v>
      </c>
      <c r="E216" s="616"/>
      <c r="F216" s="616"/>
      <c r="G216" s="616"/>
      <c r="H216" s="616"/>
      <c r="I216" s="616"/>
      <c r="J216" s="616"/>
      <c r="K216" s="1671">
        <f t="shared" ref="K216:K228" si="19">D216</f>
        <v>27442</v>
      </c>
      <c r="L216" s="466">
        <v>45520</v>
      </c>
    </row>
    <row r="217" spans="1:14" x14ac:dyDescent="0.2">
      <c r="A217" s="1504" t="s">
        <v>164</v>
      </c>
      <c r="B217" s="614">
        <v>1200</v>
      </c>
      <c r="C217" s="616"/>
      <c r="D217" s="466">
        <v>222597</v>
      </c>
      <c r="E217" s="616"/>
      <c r="F217" s="616"/>
      <c r="G217" s="616"/>
      <c r="H217" s="616"/>
      <c r="I217" s="616"/>
      <c r="J217" s="616"/>
      <c r="K217" s="1671">
        <f t="shared" si="19"/>
        <v>222597</v>
      </c>
      <c r="L217" s="466">
        <v>252430</v>
      </c>
    </row>
    <row r="218" spans="1:14" x14ac:dyDescent="0.2">
      <c r="A218" s="1504" t="s">
        <v>278</v>
      </c>
      <c r="B218" s="614" t="s">
        <v>968</v>
      </c>
      <c r="C218" s="616"/>
      <c r="D218" s="467">
        <v>8284</v>
      </c>
      <c r="E218" s="616"/>
      <c r="F218" s="616"/>
      <c r="G218" s="616"/>
      <c r="H218" s="616"/>
      <c r="I218" s="616"/>
      <c r="J218" s="616"/>
      <c r="K218" s="1671">
        <f t="shared" si="19"/>
        <v>8284</v>
      </c>
      <c r="L218" s="466">
        <v>11240</v>
      </c>
    </row>
    <row r="219" spans="1:14" x14ac:dyDescent="0.2">
      <c r="A219" s="1504" t="s">
        <v>279</v>
      </c>
      <c r="B219" s="614">
        <v>1250</v>
      </c>
      <c r="C219" s="616"/>
      <c r="D219" s="466">
        <v>2492</v>
      </c>
      <c r="E219" s="616"/>
      <c r="F219" s="616"/>
      <c r="G219" s="616"/>
      <c r="H219" s="616"/>
      <c r="I219" s="616"/>
      <c r="J219" s="616"/>
      <c r="K219" s="1671">
        <f t="shared" si="19"/>
        <v>2492</v>
      </c>
      <c r="L219" s="466">
        <v>3800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6171</v>
      </c>
      <c r="E223" s="616"/>
      <c r="F223" s="616"/>
      <c r="G223" s="616"/>
      <c r="H223" s="616"/>
      <c r="I223" s="616"/>
      <c r="J223" s="616"/>
      <c r="K223" s="1671">
        <f t="shared" si="19"/>
        <v>6171</v>
      </c>
      <c r="L223" s="466">
        <v>5600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35564</v>
      </c>
      <c r="E227" s="616"/>
      <c r="F227" s="616"/>
      <c r="G227" s="616"/>
      <c r="H227" s="616"/>
      <c r="I227" s="616"/>
      <c r="J227" s="616"/>
      <c r="K227" s="1671">
        <f t="shared" si="19"/>
        <v>35564</v>
      </c>
      <c r="L227" s="466">
        <v>35960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519337</v>
      </c>
      <c r="E229" s="616"/>
      <c r="F229" s="616"/>
      <c r="G229" s="616"/>
      <c r="H229" s="616"/>
      <c r="I229" s="616"/>
      <c r="J229" s="616"/>
      <c r="K229" s="1670">
        <f>SUM(K215:K228)</f>
        <v>519337</v>
      </c>
      <c r="L229" s="1670">
        <f>SUM(L215:L228)</f>
        <v>583677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6435</v>
      </c>
      <c r="E232" s="616"/>
      <c r="F232" s="616"/>
      <c r="G232" s="616"/>
      <c r="H232" s="616"/>
      <c r="I232" s="616"/>
      <c r="J232" s="616"/>
      <c r="K232" s="1671">
        <f t="shared" ref="K232:K237" si="20">D232</f>
        <v>6435</v>
      </c>
      <c r="L232" s="466">
        <v>6650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31851</v>
      </c>
      <c r="E234" s="616"/>
      <c r="F234" s="616"/>
      <c r="G234" s="616"/>
      <c r="H234" s="616"/>
      <c r="I234" s="616"/>
      <c r="J234" s="616"/>
      <c r="K234" s="1671">
        <f t="shared" si="20"/>
        <v>31851</v>
      </c>
      <c r="L234" s="466">
        <v>44150</v>
      </c>
    </row>
    <row r="235" spans="1:12" x14ac:dyDescent="0.2">
      <c r="A235" s="1504" t="s">
        <v>199</v>
      </c>
      <c r="B235" s="614">
        <v>2140</v>
      </c>
      <c r="C235" s="616"/>
      <c r="D235" s="466">
        <v>582</v>
      </c>
      <c r="E235" s="616"/>
      <c r="F235" s="616"/>
      <c r="G235" s="616"/>
      <c r="H235" s="616"/>
      <c r="I235" s="616"/>
      <c r="J235" s="616"/>
      <c r="K235" s="1671">
        <f t="shared" si="20"/>
        <v>582</v>
      </c>
      <c r="L235" s="466">
        <v>470</v>
      </c>
    </row>
    <row r="236" spans="1:12" x14ac:dyDescent="0.2">
      <c r="A236" s="1504" t="s">
        <v>200</v>
      </c>
      <c r="B236" s="614">
        <v>2150</v>
      </c>
      <c r="C236" s="616"/>
      <c r="D236" s="466">
        <v>8863</v>
      </c>
      <c r="E236" s="616"/>
      <c r="F236" s="616"/>
      <c r="G236" s="616"/>
      <c r="H236" s="616"/>
      <c r="I236" s="616"/>
      <c r="J236" s="616"/>
      <c r="K236" s="1671">
        <f t="shared" si="20"/>
        <v>8863</v>
      </c>
      <c r="L236" s="466">
        <v>9370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47731</v>
      </c>
      <c r="E238" s="616"/>
      <c r="F238" s="616"/>
      <c r="G238" s="616"/>
      <c r="H238" s="616"/>
      <c r="I238" s="616"/>
      <c r="J238" s="616"/>
      <c r="K238" s="1670">
        <f>SUM(K232:K237)</f>
        <v>47731</v>
      </c>
      <c r="L238" s="1670">
        <f>SUM(L232:L237)</f>
        <v>60640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3127</v>
      </c>
      <c r="E240" s="616"/>
      <c r="F240" s="616"/>
      <c r="G240" s="616"/>
      <c r="H240" s="616"/>
      <c r="I240" s="616"/>
      <c r="J240" s="616"/>
      <c r="K240" s="1672">
        <f>D240</f>
        <v>3127</v>
      </c>
      <c r="L240" s="481">
        <v>1705</v>
      </c>
    </row>
    <row r="241" spans="1:12" x14ac:dyDescent="0.2">
      <c r="A241" s="1504" t="s">
        <v>815</v>
      </c>
      <c r="B241" s="614">
        <v>2220</v>
      </c>
      <c r="C241" s="616"/>
      <c r="D241" s="466">
        <v>94717</v>
      </c>
      <c r="E241" s="616"/>
      <c r="F241" s="616"/>
      <c r="G241" s="616"/>
      <c r="H241" s="616"/>
      <c r="I241" s="616"/>
      <c r="J241" s="616"/>
      <c r="K241" s="1672">
        <f>D241</f>
        <v>94717</v>
      </c>
      <c r="L241" s="466">
        <v>115440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97844</v>
      </c>
      <c r="E243" s="616"/>
      <c r="F243" s="616"/>
      <c r="G243" s="616"/>
      <c r="H243" s="616"/>
      <c r="I243" s="616"/>
      <c r="J243" s="616"/>
      <c r="K243" s="1670">
        <f>SUM(K240:K242)</f>
        <v>97844</v>
      </c>
      <c r="L243" s="1670">
        <f>SUM(L240:L242)</f>
        <v>117145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14885</v>
      </c>
      <c r="E246" s="616"/>
      <c r="F246" s="616"/>
      <c r="G246" s="616"/>
      <c r="H246" s="616"/>
      <c r="I246" s="616"/>
      <c r="J246" s="616"/>
      <c r="K246" s="1672">
        <f t="shared" ref="K246:K256" si="21">D246</f>
        <v>14885</v>
      </c>
      <c r="L246" s="466">
        <v>16300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1803</v>
      </c>
      <c r="B249" s="683" t="s">
        <v>282</v>
      </c>
      <c r="C249" s="616"/>
      <c r="D249" s="474"/>
      <c r="E249" s="616"/>
      <c r="F249" s="616"/>
      <c r="G249" s="616"/>
      <c r="H249" s="616"/>
      <c r="I249" s="616"/>
      <c r="J249" s="616"/>
      <c r="K249" s="1672">
        <f t="shared" si="21"/>
        <v>0</v>
      </c>
      <c r="L249" s="466"/>
    </row>
    <row r="250" spans="1:12" x14ac:dyDescent="0.2">
      <c r="A250" s="1505" t="s">
        <v>1804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14885</v>
      </c>
      <c r="E257" s="616"/>
      <c r="F257" s="616"/>
      <c r="G257" s="616"/>
      <c r="H257" s="616"/>
      <c r="I257" s="616"/>
      <c r="J257" s="616"/>
      <c r="K257" s="1670">
        <f>SUM(K245:K256)</f>
        <v>14885</v>
      </c>
      <c r="L257" s="1670">
        <f>SUM(L245:L256)</f>
        <v>16300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86050</v>
      </c>
      <c r="E259" s="616"/>
      <c r="F259" s="616"/>
      <c r="G259" s="616"/>
      <c r="H259" s="616"/>
      <c r="I259" s="616"/>
      <c r="J259" s="616"/>
      <c r="K259" s="1672">
        <f>D259</f>
        <v>86050</v>
      </c>
      <c r="L259" s="481">
        <v>97790</v>
      </c>
    </row>
    <row r="260" spans="1:14" s="597" customFormat="1" x14ac:dyDescent="0.2">
      <c r="A260" s="1522" t="s">
        <v>1802</v>
      </c>
      <c r="B260" s="628">
        <v>2490</v>
      </c>
      <c r="C260" s="616"/>
      <c r="D260" s="466">
        <v>11044</v>
      </c>
      <c r="E260" s="616"/>
      <c r="F260" s="616"/>
      <c r="G260" s="616"/>
      <c r="H260" s="616"/>
      <c r="I260" s="616"/>
      <c r="J260" s="616"/>
      <c r="K260" s="1672">
        <f>D260</f>
        <v>11044</v>
      </c>
      <c r="L260" s="466">
        <v>13180</v>
      </c>
      <c r="M260" s="210"/>
      <c r="N260" s="210"/>
    </row>
    <row r="261" spans="1:14" ht="12.75" customHeight="1" thickBot="1" x14ac:dyDescent="0.25">
      <c r="A261" s="1692" t="s">
        <v>263</v>
      </c>
      <c r="B261" s="1697" t="s">
        <v>34</v>
      </c>
      <c r="C261" s="616"/>
      <c r="D261" s="1670">
        <f>SUM(D259:D260)</f>
        <v>97094</v>
      </c>
      <c r="E261" s="616"/>
      <c r="F261" s="616"/>
      <c r="G261" s="616"/>
      <c r="H261" s="616"/>
      <c r="I261" s="616"/>
      <c r="J261" s="616"/>
      <c r="K261" s="1670">
        <f>SUM(K259:K260)</f>
        <v>97094</v>
      </c>
      <c r="L261" s="1670">
        <f>SUM(L259:L260)</f>
        <v>110970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1850</v>
      </c>
      <c r="E263" s="616"/>
      <c r="F263" s="616"/>
      <c r="G263" s="616"/>
      <c r="H263" s="616"/>
      <c r="I263" s="616"/>
      <c r="J263" s="616"/>
      <c r="K263" s="1672">
        <f>D263</f>
        <v>1850</v>
      </c>
      <c r="L263" s="481">
        <v>1930</v>
      </c>
    </row>
    <row r="264" spans="1:14" x14ac:dyDescent="0.2">
      <c r="A264" s="1504" t="s">
        <v>463</v>
      </c>
      <c r="B264" s="685">
        <v>2520</v>
      </c>
      <c r="C264" s="616"/>
      <c r="D264" s="466">
        <v>31243</v>
      </c>
      <c r="E264" s="616"/>
      <c r="F264" s="616"/>
      <c r="G264" s="616"/>
      <c r="H264" s="616"/>
      <c r="I264" s="616"/>
      <c r="J264" s="616"/>
      <c r="K264" s="1672">
        <f t="shared" ref="K264:K269" si="22">D264</f>
        <v>31243</v>
      </c>
      <c r="L264" s="466">
        <v>35110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304248</v>
      </c>
      <c r="E266" s="616"/>
      <c r="F266" s="616"/>
      <c r="G266" s="616"/>
      <c r="H266" s="616"/>
      <c r="I266" s="616"/>
      <c r="J266" s="616"/>
      <c r="K266" s="1672">
        <f t="shared" si="22"/>
        <v>304248</v>
      </c>
      <c r="L266" s="466">
        <v>393300</v>
      </c>
    </row>
    <row r="267" spans="1:14" x14ac:dyDescent="0.2">
      <c r="A267" s="1504" t="s">
        <v>953</v>
      </c>
      <c r="B267" s="614">
        <v>2550</v>
      </c>
      <c r="C267" s="616"/>
      <c r="D267" s="466">
        <v>129121</v>
      </c>
      <c r="E267" s="616"/>
      <c r="F267" s="616"/>
      <c r="G267" s="616"/>
      <c r="H267" s="616"/>
      <c r="I267" s="616"/>
      <c r="J267" s="616"/>
      <c r="K267" s="1672">
        <f t="shared" si="22"/>
        <v>129121</v>
      </c>
      <c r="L267" s="466">
        <v>163440</v>
      </c>
    </row>
    <row r="268" spans="1:14" x14ac:dyDescent="0.2">
      <c r="A268" s="1504" t="s">
        <v>100</v>
      </c>
      <c r="B268" s="614">
        <v>2560</v>
      </c>
      <c r="C268" s="616"/>
      <c r="D268" s="466">
        <v>34380</v>
      </c>
      <c r="E268" s="616"/>
      <c r="F268" s="616"/>
      <c r="G268" s="616"/>
      <c r="H268" s="616"/>
      <c r="I268" s="616"/>
      <c r="J268" s="616"/>
      <c r="K268" s="1672">
        <f t="shared" si="22"/>
        <v>34380</v>
      </c>
      <c r="L268" s="466">
        <v>52870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500842</v>
      </c>
      <c r="E270" s="616"/>
      <c r="F270" s="616"/>
      <c r="G270" s="616"/>
      <c r="H270" s="616"/>
      <c r="I270" s="616"/>
      <c r="J270" s="616"/>
      <c r="K270" s="1670">
        <f>SUM(K263:K269)</f>
        <v>500842</v>
      </c>
      <c r="L270" s="1670">
        <f>SUM(L263:L269)</f>
        <v>646650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21301</v>
      </c>
      <c r="E276" s="616"/>
      <c r="F276" s="616"/>
      <c r="G276" s="616"/>
      <c r="H276" s="616"/>
      <c r="I276" s="616"/>
      <c r="J276" s="616"/>
      <c r="K276" s="1672">
        <f>D276</f>
        <v>21301</v>
      </c>
      <c r="L276" s="466">
        <v>23020</v>
      </c>
    </row>
    <row r="277" spans="1:12" ht="12.75" customHeight="1" thickBot="1" x14ac:dyDescent="0.25">
      <c r="A277" s="1691" t="s">
        <v>37</v>
      </c>
      <c r="B277" s="1669" t="s">
        <v>36</v>
      </c>
      <c r="C277" s="616"/>
      <c r="D277" s="1670">
        <f>SUM(D272:D276)</f>
        <v>21301</v>
      </c>
      <c r="E277" s="616"/>
      <c r="F277" s="616"/>
      <c r="G277" s="616"/>
      <c r="H277" s="616"/>
      <c r="I277" s="616"/>
      <c r="J277" s="616"/>
      <c r="K277" s="1670">
        <f>SUM(K272:K276)</f>
        <v>21301</v>
      </c>
      <c r="L277" s="1670">
        <f>SUM(L272:L276)</f>
        <v>23020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779697</v>
      </c>
      <c r="E279" s="616"/>
      <c r="F279" s="616"/>
      <c r="G279" s="616"/>
      <c r="H279" s="616"/>
      <c r="I279" s="616"/>
      <c r="J279" s="616"/>
      <c r="K279" s="1677">
        <f>SUM(K238,K243,K257,K261,K270,K277,K278)</f>
        <v>779697</v>
      </c>
      <c r="L279" s="1677">
        <f>SUM(L238,L243,L257,L261,L270,L277,L278)</f>
        <v>974725</v>
      </c>
    </row>
    <row r="280" spans="1:12" ht="15.75" customHeight="1" thickTop="1" thickBot="1" x14ac:dyDescent="0.25">
      <c r="A280" s="1624" t="s">
        <v>875</v>
      </c>
      <c r="B280" s="1613">
        <v>3000</v>
      </c>
      <c r="C280" s="616"/>
      <c r="D280" s="576">
        <v>1381</v>
      </c>
      <c r="E280" s="616"/>
      <c r="F280" s="616"/>
      <c r="G280" s="616"/>
      <c r="H280" s="616"/>
      <c r="I280" s="616"/>
      <c r="J280" s="616"/>
      <c r="K280" s="1679">
        <f>D280</f>
        <v>1381</v>
      </c>
      <c r="L280" s="576">
        <v>500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1300415</v>
      </c>
      <c r="E295" s="616"/>
      <c r="F295" s="616"/>
      <c r="G295" s="616"/>
      <c r="H295" s="1670">
        <f>H293</f>
        <v>0</v>
      </c>
      <c r="I295" s="616"/>
      <c r="J295" s="616"/>
      <c r="K295" s="1670">
        <f>SUM(K229,K279,K280,K285,K293,K294)</f>
        <v>1300415</v>
      </c>
      <c r="L295" s="1670">
        <f>SUM(L229,L279,L280,L285,L293,L294)</f>
        <v>1558902</v>
      </c>
    </row>
    <row r="296" spans="1:14" ht="13.5" thickTop="1" x14ac:dyDescent="0.2">
      <c r="A296" s="2180" t="s">
        <v>996</v>
      </c>
      <c r="B296" s="2181"/>
      <c r="C296" s="616"/>
      <c r="D296" s="618"/>
      <c r="E296" s="616"/>
      <c r="F296" s="616"/>
      <c r="G296" s="616"/>
      <c r="H296" s="687"/>
      <c r="I296" s="616"/>
      <c r="J296" s="616"/>
      <c r="K296" s="1684">
        <f>'Revenues 9-14'!G268-'Expenditures 15-22'!K295</f>
        <v>-396697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13852901</v>
      </c>
      <c r="H301" s="466"/>
      <c r="I301" s="467"/>
      <c r="J301" s="467"/>
      <c r="K301" s="1671">
        <f>SUM(C301:J301)</f>
        <v>13852901</v>
      </c>
      <c r="L301" s="467">
        <v>16368730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13852901</v>
      </c>
      <c r="H303" s="1677">
        <f t="shared" si="23"/>
        <v>0</v>
      </c>
      <c r="I303" s="1677">
        <f t="shared" si="23"/>
        <v>0</v>
      </c>
      <c r="J303" s="1677">
        <f t="shared" si="23"/>
        <v>0</v>
      </c>
      <c r="K303" s="1677">
        <f t="shared" si="23"/>
        <v>13852901</v>
      </c>
      <c r="L303" s="1677">
        <f t="shared" si="23"/>
        <v>16368730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13852901</v>
      </c>
      <c r="H312" s="1670">
        <f>SUM(H303,H310)</f>
        <v>0</v>
      </c>
      <c r="I312" s="1670">
        <f>SUM(I303)</f>
        <v>0</v>
      </c>
      <c r="J312" s="1670">
        <f>SUM(J303)</f>
        <v>0</v>
      </c>
      <c r="K312" s="1670">
        <f>SUM(K303,K310,K311)</f>
        <v>13852901</v>
      </c>
      <c r="L312" s="1670">
        <f>SUM(L303,L310,L311)</f>
        <v>16368730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-13852898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1803</v>
      </c>
      <c r="B320" s="698" t="s">
        <v>282</v>
      </c>
      <c r="C320" s="467"/>
      <c r="D320" s="467"/>
      <c r="E320" s="467">
        <v>125554</v>
      </c>
      <c r="F320" s="467"/>
      <c r="G320" s="467"/>
      <c r="H320" s="467"/>
      <c r="I320" s="467"/>
      <c r="J320" s="467"/>
      <c r="K320" s="1671">
        <f t="shared" ref="K320:K327" si="24">SUM(C320:J320)</f>
        <v>125554</v>
      </c>
      <c r="L320" s="467">
        <v>200000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v>89244</v>
      </c>
      <c r="F323" s="467"/>
      <c r="G323" s="467"/>
      <c r="H323" s="467"/>
      <c r="I323" s="467"/>
      <c r="J323" s="467"/>
      <c r="K323" s="1671">
        <f t="shared" si="24"/>
        <v>89244</v>
      </c>
      <c r="L323" s="467">
        <v>89250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v>29582</v>
      </c>
      <c r="F328" s="474"/>
      <c r="G328" s="474"/>
      <c r="H328" s="474"/>
      <c r="I328" s="474"/>
      <c r="J328" s="474"/>
      <c r="K328" s="1699">
        <f>SUM(C328:J328)</f>
        <v>29582</v>
      </c>
      <c r="L328" s="474">
        <v>29580</v>
      </c>
      <c r="M328" s="665"/>
      <c r="N328" s="665"/>
    </row>
    <row r="329" spans="1:14" s="674" customFormat="1" x14ac:dyDescent="0.2">
      <c r="A329" s="1520" t="s">
        <v>1133</v>
      </c>
      <c r="B329" s="690" t="s">
        <v>1134</v>
      </c>
      <c r="C329" s="474"/>
      <c r="D329" s="474"/>
      <c r="E329" s="474">
        <v>8253</v>
      </c>
      <c r="F329" s="474"/>
      <c r="G329" s="474"/>
      <c r="H329" s="474"/>
      <c r="I329" s="474"/>
      <c r="J329" s="474"/>
      <c r="K329" s="1699">
        <f>SUM(C329:J329)</f>
        <v>8253</v>
      </c>
      <c r="L329" s="474">
        <v>8250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252633</v>
      </c>
      <c r="F330" s="1670">
        <f t="shared" si="25"/>
        <v>0</v>
      </c>
      <c r="G330" s="1670">
        <f t="shared" si="25"/>
        <v>0</v>
      </c>
      <c r="H330" s="1670">
        <f t="shared" si="25"/>
        <v>0</v>
      </c>
      <c r="I330" s="1670">
        <f t="shared" si="25"/>
        <v>0</v>
      </c>
      <c r="J330" s="1670">
        <f t="shared" si="25"/>
        <v>0</v>
      </c>
      <c r="K330" s="1670">
        <f>SUM(K319:K329)</f>
        <v>252633</v>
      </c>
      <c r="L330" s="1670">
        <f>SUM(L319:L329)</f>
        <v>327080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1845</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252633</v>
      </c>
      <c r="F342" s="1670">
        <f>SUM(F330)</f>
        <v>0</v>
      </c>
      <c r="G342" s="1670">
        <f>SUM(G330)</f>
        <v>0</v>
      </c>
      <c r="H342" s="1670">
        <f>SUM(H330,H334,H340)</f>
        <v>0</v>
      </c>
      <c r="I342" s="1670">
        <f>SUM(I330)</f>
        <v>0</v>
      </c>
      <c r="J342" s="1670">
        <f>SUM(J330)</f>
        <v>0</v>
      </c>
      <c r="K342" s="1670">
        <f>SUM(K330,K334,K340)</f>
        <v>252633</v>
      </c>
      <c r="L342" s="1677">
        <f>SUM(L330,L340,L341)</f>
        <v>327080</v>
      </c>
    </row>
    <row r="343" spans="1:14" ht="12.75" customHeight="1" thickTop="1" x14ac:dyDescent="0.2">
      <c r="A343" s="2166" t="s">
        <v>996</v>
      </c>
      <c r="B343" s="2167"/>
      <c r="C343" s="616"/>
      <c r="D343" s="616"/>
      <c r="E343" s="616"/>
      <c r="F343" s="616"/>
      <c r="G343" s="616"/>
      <c r="H343" s="616"/>
      <c r="I343" s="616"/>
      <c r="J343" s="616"/>
      <c r="K343" s="1684">
        <f>'Revenues 9-14'!J268-'Expenditures 15-22'!K342</f>
        <v>107733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69679</v>
      </c>
      <c r="F348" s="466"/>
      <c r="G348" s="466">
        <v>155911</v>
      </c>
      <c r="H348" s="466"/>
      <c r="I348" s="467"/>
      <c r="J348" s="467"/>
      <c r="K348" s="1671">
        <f>SUM(C348:J348)</f>
        <v>225590</v>
      </c>
      <c r="L348" s="466">
        <v>50000</v>
      </c>
    </row>
    <row r="349" spans="1:14" x14ac:dyDescent="0.2">
      <c r="A349" s="1504" t="s">
        <v>197</v>
      </c>
      <c r="B349" s="614">
        <v>2540</v>
      </c>
      <c r="C349" s="466"/>
      <c r="D349" s="466"/>
      <c r="E349" s="466">
        <v>31095</v>
      </c>
      <c r="F349" s="466"/>
      <c r="G349" s="466">
        <v>610016</v>
      </c>
      <c r="H349" s="466"/>
      <c r="I349" s="467"/>
      <c r="J349" s="467"/>
      <c r="K349" s="1671">
        <f>SUM(C349:J349)</f>
        <v>641111</v>
      </c>
      <c r="L349" s="466">
        <v>970000</v>
      </c>
    </row>
    <row r="350" spans="1:14" ht="12.75" customHeight="1" thickBot="1" x14ac:dyDescent="0.25">
      <c r="A350" s="1668" t="s">
        <v>719</v>
      </c>
      <c r="B350" s="1669" t="s">
        <v>35</v>
      </c>
      <c r="C350" s="1670">
        <f>SUM(C348:C349)</f>
        <v>0</v>
      </c>
      <c r="D350" s="1670">
        <f t="shared" ref="D350:L350" si="26">SUM(D348:D349)</f>
        <v>0</v>
      </c>
      <c r="E350" s="1670">
        <f t="shared" si="26"/>
        <v>100774</v>
      </c>
      <c r="F350" s="1670">
        <f t="shared" si="26"/>
        <v>0</v>
      </c>
      <c r="G350" s="1670">
        <f t="shared" si="26"/>
        <v>765927</v>
      </c>
      <c r="H350" s="1670">
        <f t="shared" si="26"/>
        <v>0</v>
      </c>
      <c r="I350" s="1670">
        <f t="shared" si="26"/>
        <v>0</v>
      </c>
      <c r="J350" s="1670">
        <f t="shared" si="26"/>
        <v>0</v>
      </c>
      <c r="K350" s="1670">
        <f t="shared" si="26"/>
        <v>866701</v>
      </c>
      <c r="L350" s="1670">
        <f t="shared" si="26"/>
        <v>1020000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100774</v>
      </c>
      <c r="F352" s="1670">
        <f t="shared" si="27"/>
        <v>0</v>
      </c>
      <c r="G352" s="1670">
        <f t="shared" si="27"/>
        <v>765927</v>
      </c>
      <c r="H352" s="1670">
        <f t="shared" si="27"/>
        <v>0</v>
      </c>
      <c r="I352" s="1670">
        <f t="shared" si="27"/>
        <v>0</v>
      </c>
      <c r="J352" s="1670">
        <f t="shared" si="27"/>
        <v>0</v>
      </c>
      <c r="K352" s="1670">
        <f t="shared" si="27"/>
        <v>866701</v>
      </c>
      <c r="L352" s="1670">
        <f t="shared" si="27"/>
        <v>1020000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c r="I354" s="701"/>
      <c r="J354" s="616"/>
      <c r="K354" s="1699">
        <f>H354</f>
        <v>0</v>
      </c>
      <c r="L354" s="471"/>
    </row>
    <row r="355" spans="1:14" ht="12.75" customHeight="1" x14ac:dyDescent="0.2">
      <c r="A355" s="1513" t="s">
        <v>1852</v>
      </c>
      <c r="B355" s="690" t="s">
        <v>1845</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100774</v>
      </c>
      <c r="F367" s="1670">
        <f t="shared" si="28"/>
        <v>0</v>
      </c>
      <c r="G367" s="1670">
        <f t="shared" si="28"/>
        <v>765927</v>
      </c>
      <c r="H367" s="1670">
        <f t="shared" si="28"/>
        <v>0</v>
      </c>
      <c r="I367" s="1670">
        <f t="shared" si="28"/>
        <v>0</v>
      </c>
      <c r="J367" s="1670">
        <f t="shared" si="28"/>
        <v>0</v>
      </c>
      <c r="K367" s="1670">
        <f t="shared" si="28"/>
        <v>866701</v>
      </c>
      <c r="L367" s="1670">
        <f t="shared" si="28"/>
        <v>1020000</v>
      </c>
    </row>
    <row r="368" spans="1:14" ht="13.5" thickTop="1" x14ac:dyDescent="0.2">
      <c r="A368" s="2180" t="s">
        <v>996</v>
      </c>
      <c r="B368" s="2181"/>
      <c r="C368" s="654"/>
      <c r="D368" s="654"/>
      <c r="E368" s="626"/>
      <c r="F368" s="626"/>
      <c r="G368" s="626"/>
      <c r="H368" s="626"/>
      <c r="I368" s="626"/>
      <c r="J368" s="623"/>
      <c r="K368" s="1671">
        <f>'Revenues 9-14'!K268-'Expenditures 15-22'!K367</f>
        <v>-158931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www.w3.org/XML/1998/namespac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2019-11-13T20:47:02Z</cp:lastPrinted>
  <dcterms:created xsi:type="dcterms:W3CDTF">2003-10-29T19:06:34Z</dcterms:created>
  <dcterms:modified xsi:type="dcterms:W3CDTF">2019-12-27T20:40:20Z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