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59"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Itemization 33" sheetId="127" r:id="rId19"/>
    <sheet name="AC32" sheetId="145"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SEFA'!$B$1:$M$139</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9">#REF!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9">#REF!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9">#REF!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9">#REF!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9">#REF!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C8" i="7" l="1"/>
  <c r="M19" i="3"/>
  <c r="D46" i="127"/>
  <c r="D40" i="127" l="1"/>
  <c r="D32" i="127" l="1"/>
  <c r="D26" i="127"/>
  <c r="D18" i="127"/>
  <c r="D12" i="127"/>
  <c r="D7" i="127"/>
  <c r="C107" i="5" l="1"/>
  <c r="F27" i="181" l="1"/>
  <c r="C4" i="3" l="1"/>
  <c r="K38" i="3"/>
  <c r="I39" i="3"/>
  <c r="H38" i="3"/>
  <c r="F38" i="3"/>
  <c r="E38" i="3"/>
  <c r="D38" i="3"/>
  <c r="I32" i="3"/>
  <c r="G32" i="3"/>
  <c r="G30" i="3"/>
  <c r="F32" i="3"/>
  <c r="D32" i="3"/>
  <c r="C32" i="3"/>
  <c r="C27" i="3"/>
  <c r="I9" i="3"/>
  <c r="C9" i="3"/>
  <c r="C5" i="3"/>
  <c r="C6" i="3" l="1"/>
  <c r="L5" i="29"/>
  <c r="D107" i="5" l="1"/>
  <c r="L342" i="29"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29" i="181"/>
  <c r="F1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E31" i="181"/>
  <c r="E30" i="181"/>
  <c r="F30" i="181" s="1"/>
  <c r="E29" i="181"/>
  <c r="G29" i="181" s="1"/>
  <c r="E28" i="181"/>
  <c r="F28" i="181" s="1"/>
  <c r="G27" i="181"/>
  <c r="E27" i="181"/>
  <c r="E26" i="181"/>
  <c r="F26" i="181" s="1"/>
  <c r="E25" i="181"/>
  <c r="E24" i="181"/>
  <c r="E23" i="181"/>
  <c r="E22" i="181"/>
  <c r="E21" i="181"/>
  <c r="E20" i="181"/>
  <c r="F20" i="181" s="1"/>
  <c r="E19" i="181"/>
  <c r="F19" i="181" s="1"/>
  <c r="F32" i="181" l="1"/>
  <c r="G32" i="181" s="1"/>
  <c r="F31" i="181"/>
  <c r="G31" i="181" s="1"/>
  <c r="F25" i="181"/>
  <c r="G25" i="181" s="1"/>
  <c r="F24" i="181"/>
  <c r="G24" i="181" s="1"/>
  <c r="F23" i="181"/>
  <c r="G23" i="181" s="1"/>
  <c r="F21" i="181"/>
  <c r="G21" i="181" s="1"/>
  <c r="F22" i="181"/>
  <c r="G22" i="181" s="1"/>
  <c r="G44" i="181"/>
  <c r="G43" i="181"/>
  <c r="G34" i="181"/>
  <c r="G30" i="181"/>
  <c r="G28" i="181"/>
  <c r="G26" i="181"/>
  <c r="G20" i="181"/>
  <c r="G19" i="181"/>
  <c r="D142" i="181"/>
  <c r="D80" i="36" l="1"/>
  <c r="B7797" i="106"/>
  <c r="E142" i="181"/>
  <c r="E18" i="181"/>
  <c r="F18" i="181" s="1"/>
  <c r="E17" i="181"/>
  <c r="G17" i="181" l="1"/>
  <c r="G18" i="181"/>
  <c r="G142" i="181" s="1"/>
  <c r="G40" i="108" l="1"/>
  <c r="B7799" i="106"/>
  <c r="F142" i="181"/>
  <c r="B7798" i="106" s="1"/>
  <c r="E40" i="108"/>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2" i="127"/>
  <c r="B63" i="127"/>
  <c r="E26" i="108"/>
  <c r="G26" i="108"/>
  <c r="D27" i="108"/>
  <c r="E27" i="108"/>
  <c r="F27" i="108"/>
  <c r="G27" i="108"/>
  <c r="F31" i="108"/>
  <c r="G28" i="108"/>
  <c r="D31" i="108"/>
  <c r="E31" i="108"/>
  <c r="G31" i="108"/>
  <c r="E33" i="108"/>
  <c r="E34" i="108"/>
  <c r="E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19" i="7" l="1"/>
  <c r="B1807" i="106" s="1"/>
  <c r="D1807" i="106" s="1"/>
  <c r="L13" i="11"/>
  <c r="B2060" i="106" s="1"/>
  <c r="D2060" i="106" s="1"/>
  <c r="D69" i="36"/>
  <c r="B6995" i="106"/>
  <c r="D6995" i="106" s="1"/>
  <c r="J210" i="29"/>
  <c r="B7072" i="106" s="1"/>
  <c r="D7072" i="106" s="1"/>
  <c r="I210" i="29"/>
  <c r="B7071" i="106" s="1"/>
  <c r="D7071" i="106" s="1"/>
  <c r="E29" i="108"/>
  <c r="K184" i="29"/>
  <c r="F13" i="4" s="1"/>
  <c r="B2596" i="106" s="1"/>
  <c r="D2596" i="106" s="1"/>
  <c r="G29" i="108"/>
  <c r="F28" i="108"/>
  <c r="C129" i="29"/>
  <c r="E38" i="108"/>
  <c r="D36" i="108"/>
  <c r="F36" i="108"/>
  <c r="G35" i="108"/>
  <c r="G30"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N23" i="3"/>
  <c r="B284" i="106" s="1"/>
  <c r="D284" i="106" s="1"/>
  <c r="D44" i="36"/>
  <c r="B1381" i="106"/>
  <c r="D1381" i="106" s="1"/>
  <c r="L114" i="29"/>
  <c r="F41" i="108"/>
  <c r="G43" i="108" s="1"/>
  <c r="D41" i="108"/>
  <c r="E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<sst xmlns="http://schemas.openxmlformats.org/spreadsheetml/2006/main" count="5316" uniqueCount="2266">
  <si>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</si>
  <si>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</si>
  <si>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</si>
  <si>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</si>
  <si>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</si>
  <si>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</si>
  <si>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</si>
  <si>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</si>
  <si>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</si>
  <si>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</si>
  <si>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</si>
  <si>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</si>
  <si>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</si>
  <si>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</si>
  <si>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</si>
  <si>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</si>
  <si>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</si>
  <si>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</si>
  <si>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</si>
  <si>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</si>
  <si>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</si>
  <si>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</si>
  <si>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</si>
  <si>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</si>
  <si>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</si>
  <si>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</si>
  <si>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</si>
  <si>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</si>
  <si>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</si>
  <si>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</si>
  <si>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</si>
  <si>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</si>
  <si>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</si>
  <si>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</si>
  <si>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</si>
  <si>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</si>
  <si>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</si>
  <si>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</si>
  <si>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</si>
  <si>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</si>
  <si>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</si>
  <si>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</si>
  <si>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</si>
  <si>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</si>
  <si>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</si>
  <si>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</si>
  <si>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</si>
  <si>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</si>
  <si>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</si>
  <si>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</si>
  <si>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</si>
  <si>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</si>
  <si>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</si>
  <si>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</si>
  <si>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</si>
  <si>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</si>
  <si>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</si>
  <si>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</si>
  <si>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</si>
  <si>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</si>
  <si>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</si>
  <si>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</si>
  <si>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</si>
  <si>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</si>
  <si>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</si>
  <si>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</si>
  <si>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</si>
  <si>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</si>
  <si>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</si>
  <si>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</si>
  <si>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</si>
  <si>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</si>
  <si>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</si>
  <si>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</si>
  <si>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</si>
  <si>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</si>
  <si>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</si>
  <si>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</si>
  <si>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</si>
  <si>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</si>
  <si>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</si>
  <si>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</si>
  <si>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</si>
  <si>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</si>
  <si>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</si>
  <si>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</si>
  <si>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</si>
  <si>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</si>
  <si>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</si>
  <si>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</si>
  <si>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</si>
  <si>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</si>
  <si>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</si>
  <si>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</si>
  <si>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</si>
  <si>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</si>
  <si>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</si>
  <si>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</si>
  <si>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</si>
  <si>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</si>
  <si>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</si>
  <si>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</si>
  <si>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</si>
  <si>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</si>
  <si>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</si>
  <si>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</si>
  <si>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</si>
  <si>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</si>
  <si>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</si>
  <si>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</si>
  <si>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</si>
  <si>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</si>
  <si>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</si>
  <si>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</si>
  <si>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</si>
  <si>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</si>
  <si>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</si>
  <si>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</si>
  <si>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</si>
  <si>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</si>
  <si>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</si>
  <si>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</si>
  <si>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</si>
  <si>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</si>
  <si>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</si>
  <si>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</si>
  <si>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</si>
  <si>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</si>
  <si>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</si>
  <si>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</si>
  <si>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</si>
  <si>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</si>
  <si>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</si>
  <si>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</si>
  <si>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</si>
  <si>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</si>
  <si>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</si>
  <si>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</si>
  <si>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</si>
  <si>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</si>
  <si>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</si>
  <si>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</si>
  <si>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</si>
  <si>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</si>
  <si>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</si>
  <si>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</si>
  <si>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</si>
  <si>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</si>
  <si>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</si>
  <si>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</si>
  <si>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</si>
  <si>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</si>
  <si>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</si>
  <si>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</si>
  <si>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</si>
  <si>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</si>
  <si>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</si>
  <si>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</si>
  <si>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</si>
  <si>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</si>
  <si>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</si>
  <si>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</si>
  <si>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</si>
  <si>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</si>
  <si>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</si>
  <si>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</si>
  <si>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</si>
  <si>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</si>
  <si>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</si>
  <si>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</si>
  <si>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</si>
  <si>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</si>
  <si>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</si>
  <si>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</si>
  <si>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</si>
  <si>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</si>
  <si>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</si>
  <si>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</si>
  <si>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</si>
  <si>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</si>
  <si>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</si>
  <si>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</si>
  <si>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</si>
  <si>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</si>
  <si>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</si>
  <si>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</si>
  <si>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</si>
  <si>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</si>
  <si>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</si>
  <si>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</si>
  <si>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</si>
  <si>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</si>
  <si>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</si>
  <si>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</si>
  <si>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</si>
  <si>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</si>
  <si>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</si>
  <si>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</si>
  <si>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</si>
  <si>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</si>
  <si>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</si>
  <si>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</si>
  <si>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</si>
  <si>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</si>
  <si>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</si>
  <si>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</si>
  <si>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</si>
  <si>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</si>
  <si>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</si>
  <si>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</si>
  <si>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</si>
  <si>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</si>
  <si>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</si>
  <si>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</si>
  <si>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</si>
  <si>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</si>
  <si>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</si>
  <si>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</si>
  <si>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</si>
  <si>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</si>
  <si>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</si>
  <si>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</si>
  <si>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</si>
  <si>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</si>
  <si>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</si>
  <si>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</si>
  <si>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</si>
  <si>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</si>
  <si>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</si>
  <si>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</si>
  <si>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</si>
  <si>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</si>
  <si>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</si>
  <si>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</si>
  <si>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</si>
  <si>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</si>
  <si>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</si>
  <si>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</si>
  <si>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</si>
  <si>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</si>
  <si>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</si>
  <si>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</si>
  <si>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</si>
  <si>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</si>
  <si>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</si>
  <si>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</si>
  <si>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</si>
  <si>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</si>
  <si>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</si>
  <si>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</si>
  <si>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</si>
  <si>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</si>
  <si>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</si>
  <si>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</si>
  <si>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</si>
  <si>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</si>
  <si>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</si>
  <si>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</si>
  <si>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</si>
  <si>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</si>
  <si>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</si>
  <si>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</si>
  <si>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</si>
  <si>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</si>
  <si>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</si>
  <si>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</si>
  <si>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</si>
  <si>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</si>
  <si>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</si>
  <si>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</si>
  <si>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</si>
  <si>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</si>
  <si>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</si>
  <si>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</si>
  <si>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</si>
  <si>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</si>
  <si>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</si>
  <si>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</si>
  <si>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</si>
  <si>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</si>
  <si>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</si>
  <si>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</si>
  <si>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</si>
  <si>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</si>
  <si>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</si>
  <si>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</si>
  <si>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</si>
  <si>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</si>
  <si>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</si>
  <si>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</si>
  <si>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</si>
  <si>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</si>
  <si>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</si>
  <si>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</si>
  <si>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</si>
  <si>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</si>
  <si>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</si>
  <si>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</si>
  <si>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</si>
  <si>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</si>
  <si>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</si>
  <si>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</si>
  <si>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</si>
  <si>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</si>
  <si>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</si>
  <si>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</si>
  <si>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</si>
  <si>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</si>
  <si>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</si>
  <si>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</si>
  <si>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</si>
  <si>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</si>
  <si>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</si>
  <si>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</si>
  <si>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</si>
  <si>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</si>
  <si>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</si>
  <si>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</si>
  <si>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</si>
  <si>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</si>
  <si>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</si>
  <si>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</si>
  <si>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</si>
  <si>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</si>
  <si>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</si>
  <si>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</si>
  <si>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</si>
  <si>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</si>
  <si>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</si>
  <si>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</si>
  <si>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</si>
  <si>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</si>
  <si>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</si>
  <si>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</si>
  <si>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</si>
  <si>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</si>
  <si>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</si>
  <si>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</si>
  <si>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</si>
  <si>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</si>
  <si>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</si>
  <si>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</si>
  <si>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</si>
  <si>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</si>
  <si>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</si>
  <si>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</si>
  <si>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</si>
  <si>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</si>
  <si>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</si>
  <si>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</si>
  <si>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</si>
  <si>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</si>
  <si>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</si>
  <si>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</si>
  <si>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</si>
  <si>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</si>
  <si>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</si>
  <si>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</si>
  <si>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</si>
  <si>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</si>
  <si>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</si>
  <si>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</si>
  <si>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</si>
  <si>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</si>
  <si>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</si>
  <si>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</si>
  <si>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</si>
  <si>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</si>
  <si>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</si>
  <si>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</si>
  <si>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</si>
  <si>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</si>
  <si>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</si>
  <si>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</si>
  <si>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</si>
  <si>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</si>
  <si>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</si>
  <si>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</si>
  <si>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</si>
  <si>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</si>
  <si>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</si>
  <si>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</si>
  <si>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</si>
  <si>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</si>
  <si>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</si>
  <si>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</si>
  <si>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</si>
  <si>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</si>
  <si>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</si>
  <si>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</si>
  <si>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</si>
  <si>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</si>
  <si>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</si>
  <si>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</si>
  <si>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</si>
  <si>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</si>
  <si>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</si>
  <si>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</si>
  <si>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</si>
  <si>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</si>
  <si>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</si>
  <si>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</si>
  <si>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</si>
  <si>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</si>
  <si>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</si>
  <si>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</si>
  <si>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</si>
  <si>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</si>
  <si>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</si>
  <si>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</si>
  <si>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</si>
  <si>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</si>
  <si>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</si>
  <si>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</si>
  <si>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</si>
  <si>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</si>
  <si>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</si>
  <si>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</si>
  <si>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</si>
  <si>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</si>
  <si>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</si>
  <si>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</si>
  <si>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</si>
  <si>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</si>
  <si>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</si>
  <si>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</si>
  <si>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</si>
  <si>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</si>
  <si>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</si>
  <si>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</si>
  <si>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</si>
  <si>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</si>
  <si>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</si>
  <si>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</si>
  <si>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</si>
  <si>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</si>
  <si>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</si>
  <si>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</si>
  <si>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</si>
  <si>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</si>
  <si>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</si>
  <si>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</si>
  <si>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</si>
  <si>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</si>
  <si>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</si>
  <si>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</si>
  <si>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</si>
  <si>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</si>
  <si>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</si>
  <si>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</si>
  <si>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</si>
  <si>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</si>
  <si>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</si>
  <si>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</si>
  <si>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</si>
  <si>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</si>
  <si>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</si>
  <si>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</si>
  <si>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</si>
  <si>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</si>
  <si>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</si>
  <si>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</si>
  <si>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</si>
  <si>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</si>
  <si>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</si>
  <si>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</si>
  <si>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</si>
  <si>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</si>
  <si>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</si>
  <si>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</si>
  <si>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</si>
  <si>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</si>
  <si>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</si>
  <si>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</si>
  <si>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</si>
  <si>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</si>
  <si>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</si>
  <si>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</si>
  <si>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</si>
  <si>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</si>
  <si>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</si>
  <si>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</si>
  <si>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</si>
  <si>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</si>
  <si>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</si>
  <si>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</si>
  <si>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</si>
  <si>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</si>
  <si>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</si>
  <si>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</si>
  <si>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</si>
  <si>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</si>
  <si>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</si>
  <si>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</si>
  <si>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</si>
  <si>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</si>
  <si>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</si>
  <si>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</si>
  <si>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</si>
  <si>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</si>
  <si>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</si>
  <si>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</si>
  <si>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</si>
  <si>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</si>
  <si>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</si>
  <si>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</si>
  <si>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</si>
  <si>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</si>
  <si>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</si>
  <si>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</si>
  <si>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</si>
  <si>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</si>
  <si>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</si>
  <si>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</si>
  <si>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</si>
  <si>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</si>
  <si>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</si>
  <si>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</si>
  <si>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</si>
  <si>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</si>
  <si>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</si>
  <si>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</si>
  <si>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</si>
  <si>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</si>
  <si>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</si>
  <si>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</si>
  <si>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</si>
  <si>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</si>
  <si>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</si>
  <si>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</si>
  <si>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</si>
  <si>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</si>
  <si>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</si>
  <si>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</si>
  <si>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</si>
  <si>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</si>
  <si>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</si>
  <si>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</si>
  <si>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</si>
  <si>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</si>
  <si>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</si>
  <si>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</si>
  <si>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</si>
  <si>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</si>
  <si>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</si>
  <si>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</si>
  <si>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</si>
  <si>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</si>
  <si>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</si>
  <si>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</si>
  <si>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</si>
  <si>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</si>
  <si>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</si>
  <si>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</si>
  <si>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</si>
  <si>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</si>
  <si>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</si>
  <si>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</si>
  <si>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</si>
  <si>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</si>
  <si>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</si>
  <si>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</si>
  <si>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</si>
  <si>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</si>
  <si>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</si>
  <si>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</si>
  <si>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</si>
  <si>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</si>
  <si>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</si>
  <si>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</si>
  <si>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</si>
  <si>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</si>
  <si>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</si>
  <si>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</si>
  <si>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</si>
  <si>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</si>
  <si>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</si>
  <si>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</si>
  <si>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</si>
  <si>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</si>
  <si>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</si>
  <si>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</si>
  <si>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</si>
  <si>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</si>
  <si>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</si>
  <si>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</si>
  <si>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</si>
  <si>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</si>
  <si>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</si>
  <si>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</si>
  <si>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</si>
  <si>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</si>
  <si>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</si>
  <si>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</si>
  <si>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</si>
  <si>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</si>
  <si>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</si>
  <si>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</si>
  <si>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</si>
  <si>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</si>
  <si>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</si>
  <si>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</si>
  <si>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</si>
  <si>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</si>
  <si>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</si>
  <si>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</si>
  <si>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</si>
  <si>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</si>
  <si>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</si>
  <si>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</si>
  <si>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</si>
  <si>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</si>
  <si>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</si>
  <si>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</si>
  <si>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</si>
  <si>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</si>
  <si>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</si>
  <si>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</si>
  <si>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</si>
  <si>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</si>
  <si>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</si>
  <si>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</si>
  <si>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</si>
  <si>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</si>
  <si>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</si>
  <si>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</si>
  <si>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</si>
  <si>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</si>
  <si>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</si>
  <si>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</si>
  <si>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</si>
  <si>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</si>
  <si>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</si>
  <si>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</si>
  <si>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</si>
  <si>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</si>
  <si>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</si>
  <si>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</si>
  <si>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</si>
  <si>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</si>
  <si>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</si>
  <si>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</si>
  <si>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</si>
  <si>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</si>
  <si>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</si>
  <si>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</si>
  <si>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</si>
  <si>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</si>
  <si>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</si>
  <si>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</si>
  <si>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</si>
  <si>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</si>
  <si>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</si>
  <si>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</si>
  <si>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</si>
  <si>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</si>
  <si>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</si>
  <si>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</si>
  <si>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</si>
  <si>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</si>
  <si>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</si>
  <si>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</si>
  <si>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</si>
  <si>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</si>
  <si>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</si>
  <si>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</si>
  <si>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</si>
  <si>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</si>
  <si>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</si>
  <si>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</si>
  <si>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</si>
  <si>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</si>
  <si>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</si>
  <si>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</si>
  <si>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</si>
  <si>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</si>
  <si>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</si>
  <si>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</si>
  <si>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</si>
  <si>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</si>
  <si>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</si>
  <si>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</si>
  <si>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</si>
  <si>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</si>
  <si>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</si>
  <si>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</si>
  <si>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</si>
  <si>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</si>
  <si>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</si>
  <si>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</si>
  <si>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</si>
  <si>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</si>
  <si>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</si>
  <si>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</si>
  <si>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</si>
  <si>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</si>
  <si>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</si>
  <si>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</si>
  <si>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</si>
  <si>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</si>
  <si>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</si>
  <si>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</si>
  <si>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</si>
  <si>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</si>
  <si>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</si>
  <si>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</si>
  <si>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</si>
  <si>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</si>
  <si>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</si>
  <si>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</si>
  <si>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</si>
  <si>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</si>
  <si>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</si>
  <si>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</si>
  <si>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</si>
  <si>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</si>
  <si>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</si>
  <si>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</si>
  <si>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</si>
  <si>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</si>
  <si>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</si>
  <si>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</si>
  <si>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</si>
  <si>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</si>
  <si>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</si>
  <si>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</si>
  <si>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</si>
  <si>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</si>
  <si>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</si>
  <si>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</si>
  <si>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</si>
  <si>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</si>
  <si>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</si>
  <si>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</si>
  <si>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</si>
  <si>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</si>
  <si>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</si>
  <si>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</si>
  <si>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</si>
  <si>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</si>
  <si>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</si>
  <si>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</si>
  <si>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</si>
  <si>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</si>
  <si>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</si>
  <si>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</si>
  <si>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</si>
  <si>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</si>
  <si>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</si>
  <si>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</si>
  <si>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</si>
  <si>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</si>
  <si>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</si>
  <si>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</si>
  <si>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</si>
  <si>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</si>
  <si>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</si>
  <si>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</si>
  <si>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</si>
  <si>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</si>
  <si>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</si>
  <si>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</si>
  <si>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</si>
  <si>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</si>
  <si>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</si>
  <si>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</si>
  <si>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</si>
  <si>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</si>
  <si>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</si>
  <si>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</si>
  <si>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</si>
  <si>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</si>
  <si>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</si>
  <si>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</si>
  <si>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</si>
  <si>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</si>
  <si>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</si>
  <si>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</si>
  <si>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</si>
  <si>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</si>
  <si>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</si>
  <si>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</si>
  <si>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</si>
  <si>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</si>
  <si>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</si>
  <si>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</si>
  <si>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</si>
  <si>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</si>
  <si>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</si>
  <si>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</si>
  <si>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</si>
  <si>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</si>
  <si>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</si>
  <si>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</si>
  <si>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</si>
  <si>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</si>
  <si>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</si>
  <si>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</si>
  <si>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</si>
  <si>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</si>
  <si>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</si>
  <si>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</si>
  <si>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</si>
  <si>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</si>
  <si>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</si>
  <si>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</si>
  <si>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</si>
  <si>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</si>
  <si>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</si>
  <si>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</si>
  <si>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</si>
  <si>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</si>
  <si>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</si>
  <si>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</si>
  <si>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</si>
  <si>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</si>
  <si>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</si>
  <si>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</si>
  <si>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</si>
  <si>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</si>
  <si>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</si>
  <si>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</si>
  <si>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</si>
  <si>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</si>
  <si>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</si>
  <si>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</si>
  <si>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</si>
  <si>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</si>
  <si>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</si>
  <si>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</si>
  <si>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</si>
  <si>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</si>
  <si>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</si>
  <si>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</si>
  <si>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</si>
  <si>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</si>
  <si>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</si>
  <si>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</si>
  <si>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</si>
  <si>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</si>
  <si>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</si>
  <si>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</si>
  <si>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</si>
  <si>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</si>
  <si>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</si>
  <si>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</si>
  <si>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</si>
  <si>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</si>
  <si>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</si>
  <si>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</si>
  <si>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</si>
  <si>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</si>
  <si>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</si>
  <si>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</si>
  <si>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</si>
  <si>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</si>
  <si>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</si>
  <si>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</si>
  <si>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</si>
  <si>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</si>
  <si>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</si>
  <si>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</si>
  <si>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</si>
  <si>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</si>
  <si>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</si>
  <si>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</si>
  <si>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</si>
  <si>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</si>
  <si>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</si>
  <si>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</si>
  <si>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</si>
  <si>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</si>
  <si>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</si>
  <si>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</si>
  <si>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</si>
  <si>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</si>
  <si>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</si>
  <si>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</si>
  <si>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</si>
  <si>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</si>
  <si>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</si>
  <si>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</si>
  <si>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</si>
  <si>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</si>
  <si>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</si>
  <si>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</si>
  <si>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</si>
  <si>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</si>
  <si>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</si>
  <si>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</si>
  <si>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</si>
  <si>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</si>
  <si>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</si>
  <si>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</si>
  <si>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</si>
  <si>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</si>
  <si>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</si>
  <si>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</si>
  <si>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</si>
  <si>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</si>
  <si>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</si>
  <si>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</si>
  <si>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</si>
  <si>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</si>
  <si>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</si>
  <si>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</si>
  <si>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</si>
  <si>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</si>
  <si>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</si>
  <si>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</si>
  <si>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</si>
  <si>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</si>
  <si>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</si>
  <si>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</si>
  <si>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</si>
  <si>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</si>
  <si>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</si>
  <si>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</si>
  <si>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</si>
  <si>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</si>
  <si>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</si>
  <si>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</si>
  <si>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</si>
  <si>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</si>
  <si>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</si>
  <si>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</si>
  <si>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</si>
  <si>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</si>
  <si>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</si>
  <si>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</si>
  <si>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</si>
  <si>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</si>
  <si>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</si>
  <si>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</si>
  <si>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</si>
  <si>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</si>
  <si>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</si>
  <si>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</si>
  <si>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</si>
  <si>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</si>
  <si>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</si>
  <si>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</si>
  <si>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</si>
  <si>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</si>
  <si>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</si>
  <si>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</si>
  <si>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</si>
  <si>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</si>
  <si>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</si>
  <si>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</si>
  <si>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</si>
  <si>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</si>
  <si>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</si>
  <si>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</si>
  <si>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</si>
  <si>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</si>
  <si>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</si>
  <si>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</si>
  <si>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</si>
  <si>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</si>
  <si>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</si>
  <si>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</si>
  <si>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</si>
  <si>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</si>
  <si>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</si>
  <si>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</si>
  <si>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</si>
  <si>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</si>
  <si>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</si>
  <si>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</si>
  <si>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</si>
  <si>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</si>
  <si>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</si>
  <si>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</si>
  <si>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</si>
  <si>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</si>
  <si>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</si>
  <si>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</si>
  <si>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</si>
  <si>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</si>
  <si>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</si>
  <si>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</si>
  <si>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</si>
  <si>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</si>
  <si>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</si>
  <si>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</si>
  <si>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</si>
  <si>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</si>
  <si>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</si>
  <si>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</si>
  <si>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</si>
  <si>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</si>
  <si>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</si>
  <si>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</si>
  <si>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</si>
  <si>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</si>
  <si>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</si>
  <si>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</si>
  <si>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</si>
  <si>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</si>
  <si>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</si>
  <si>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</si>
  <si>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</si>
  <si>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</si>
  <si>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</si>
  <si>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</si>
  <si>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</si>
  <si>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</si>
  <si>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</si>
  <si>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</si>
  <si>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</si>
  <si>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</si>
  <si>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</si>
  <si>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</si>
  <si>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</si>
  <si>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</si>
  <si>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</si>
  <si>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</si>
  <si>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</si>
  <si>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</si>
  <si>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</si>
  <si>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</si>
  <si>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</si>
  <si>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</si>
  <si>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</si>
  <si>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</si>
  <si>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</si>
  <si>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</si>
  <si>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</si>
  <si>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</si>
  <si>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</si>
  <si>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</si>
  <si>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</si>
  <si>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</si>
  <si>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</si>
  <si>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</si>
  <si>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</si>
  <si>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</si>
  <si>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</si>
  <si>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</si>
  <si>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</si>
  <si>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</si>
  <si>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</si>
  <si>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</si>
  <si>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</si>
  <si>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</si>
  <si>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</si>
  <si>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</si>
  <si>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</si>
  <si>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</si>
  <si>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</si>
  <si>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</si>
  <si>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</si>
  <si>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</si>
  <si>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</si>
  <si>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</si>
  <si>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</si>
  <si>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</si>
  <si>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</si>
  <si>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</si>
  <si>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</si>
  <si>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</si>
  <si>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</si>
  <si>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</si>
  <si>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</si>
  <si>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</si>
  <si>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</si>
  <si>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</si>
  <si>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</si>
  <si>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</si>
  <si>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</si>
  <si>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</si>
  <si>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</si>
  <si>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</si>
  <si>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</si>
  <si>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</si>
  <si>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</si>
  <si>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</si>
  <si>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</si>
  <si>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</si>
  <si>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</si>
  <si>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</si>
  <si>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</si>
  <si>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</si>
  <si>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</si>
  <si>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</si>
  <si>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</si>
  <si>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</si>
  <si>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</si>
  <si>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</si>
  <si>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</si>
  <si>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</si>
  <si>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</si>
  <si>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</si>
  <si>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</si>
  <si>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</si>
  <si>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</si>
  <si>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</si>
  <si>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</si>
  <si>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</si>
  <si>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</si>
  <si>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</si>
  <si>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</si>
  <si>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</si>
  <si>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</si>
  <si>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</si>
  <si>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</si>
  <si>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</si>
  <si>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</si>
  <si>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</si>
  <si>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</si>
  <si>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</si>
  <si>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</si>
  <si>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</si>
  <si>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</si>
  <si>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</si>
  <si>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</si>
  <si>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</si>
  <si>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</si>
  <si>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</si>
  <si>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</si>
  <si>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</si>
  <si>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</si>
  <si>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</si>
  <si>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</si>
  <si>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</si>
  <si>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</si>
  <si>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</si>
  <si>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</si>
  <si>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</si>
  <si>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</si>
  <si>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</si>
  <si>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</si>
  <si>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</si>
  <si>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</si>
  <si>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</si>
  <si>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</si>
  <si>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</si>
  <si>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</si>
  <si>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</si>
  <si>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</si>
  <si>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</si>
  <si>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</si>
  <si>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</si>
  <si>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</si>
  <si>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</si>
  <si>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</si>
  <si>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</si>
  <si>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</si>
  <si>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</si>
  <si>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</si>
  <si>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</si>
  <si>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</si>
  <si>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</si>
  <si>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</si>
  <si>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</si>
  <si>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</si>
  <si>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</si>
  <si>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</si>
  <si>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</si>
  <si>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</si>
  <si>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</si>
  <si>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</si>
  <si>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</si>
  <si>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</si>
  <si>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</si>
  <si>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</si>
  <si>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</si>
  <si>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</si>
  <si>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</si>
  <si>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</si>
  <si>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</si>
  <si>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</si>
  <si>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</si>
  <si>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</si>
  <si>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</si>
  <si>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</si>
  <si>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</si>
  <si>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</si>
  <si>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</si>
  <si>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</si>
  <si>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</si>
  <si>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</si>
  <si>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</si>
  <si>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</si>
  <si>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</si>
  <si>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</si>
  <si>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</si>
  <si>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</si>
  <si>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</si>
  <si>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</si>
  <si>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</si>
  <si>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</si>
  <si>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</si>
  <si>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</si>
  <si>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</si>
  <si>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</si>
  <si>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</si>
  <si>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</si>
  <si>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</si>
  <si>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</si>
  <si>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</si>
  <si>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</si>
  <si>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</si>
  <si>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</si>
  <si>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</si>
  <si>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</si>
  <si>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</si>
  <si>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</si>
  <si>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</si>
  <si>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</si>
  <si>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</si>
  <si>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</si>
  <si>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</si>
  <si>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</si>
  <si>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</si>
  <si>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</si>
  <si>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</si>
  <si>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</si>
  <si>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</si>
  <si>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</si>
  <si>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</si>
  <si>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</si>
  <si>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</si>
  <si>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</si>
  <si>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</si>
  <si>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</si>
  <si>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</si>
  <si>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</si>
  <si>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</si>
  <si>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</si>
  <si>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</si>
  <si>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</si>
  <si>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</si>
  <si>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</si>
  <si>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</si>
  <si>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</si>
  <si>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</si>
  <si>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</si>
  <si>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</si>
  <si>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</si>
  <si>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</si>
  <si>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</si>
  <si>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</si>
  <si>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</si>
  <si>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</si>
  <si>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</si>
  <si>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</si>
  <si>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</si>
  <si>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</si>
  <si>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</si>
  <si>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</si>
  <si>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</si>
  <si>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</si>
  <si>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</si>
  <si>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</si>
  <si>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</si>
  <si>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</si>
  <si>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</si>
  <si>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</si>
  <si>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</si>
  <si>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</si>
  <si>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</si>
  <si>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</si>
  <si>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</si>
  <si>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</si>
  <si>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</si>
  <si>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</si>
  <si>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</si>
  <si>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</si>
  <si>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</si>
  <si>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</si>
  <si>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</si>
  <si>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</si>
  <si>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</si>
  <si>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</si>
  <si>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</si>
  <si>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</si>
  <si>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</si>
  <si>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</si>
  <si>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</si>
  <si>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</si>
  <si>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</si>
  <si>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</si>
  <si>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</si>
  <si>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</si>
  <si>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</si>
  <si>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</si>
  <si>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</si>
  <si>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</si>
  <si>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</si>
  <si>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</si>
  <si>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</si>
  <si>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</si>
  <si>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</si>
  <si>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</si>
  <si>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</si>
  <si>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</si>
  <si>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</si>
  <si>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</si>
  <si>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</si>
  <si>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</si>
  <si>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</si>
  <si>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</si>
  <si>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</si>
  <si>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</si>
  <si>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</si>
  <si>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</si>
  <si>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</si>
  <si>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</si>
  <si>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</si>
  <si>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</si>
  <si>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</si>
  <si>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</si>
  <si>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</si>
  <si>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</si>
  <si>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</si>
  <si>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</si>
  <si>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</si>
  <si>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</si>
  <si>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</si>
  <si>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</si>
  <si>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</si>
  <si>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</si>
  <si>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</si>
  <si>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</si>
  <si>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</si>
  <si>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</si>
  <si>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</si>
  <si>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</si>
  <si>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</si>
  <si>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</si>
  <si>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</si>
  <si>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</si>
  <si>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</si>
  <si>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</si>
  <si>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</si>
  <si>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</si>
  <si>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</si>
  <si>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</si>
  <si>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</si>
  <si>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</si>
  <si>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</si>
  <si>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</si>
  <si>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</si>
  <si>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</si>
  <si>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</si>
  <si>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</si>
  <si>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</si>
  <si>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</si>
  <si>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</si>
  <si>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</si>
  <si>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</si>
  <si>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</si>
  <si>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</si>
  <si>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</si>
  <si>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</si>
  <si>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</si>
  <si>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</si>
  <si>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</si>
  <si>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</si>
  <si>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</si>
  <si>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</si>
  <si>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</si>
  <si>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</si>
  <si>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</si>
  <si>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</si>
  <si>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</si>
  <si>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</si>
  <si>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</si>
  <si>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</si>
  <si>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</si>
  <si>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</si>
  <si>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</si>
  <si>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</si>
  <si>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</si>
  <si>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</si>
  <si>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</si>
  <si>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</si>
  <si>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</si>
  <si>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</si>
  <si>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</si>
  <si>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</si>
  <si>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</si>
  <si>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</si>
  <si>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</si>
  <si>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</si>
  <si>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</si>
  <si>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</si>
  <si>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</si>
  <si>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</si>
  <si>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</si>
  <si>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</si>
  <si>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</si>
  <si>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</si>
  <si>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</si>
  <si>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</si>
  <si>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</si>
  <si>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</si>
  <si>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</si>
  <si>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</si>
  <si>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</si>
  <si>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</si>
  <si>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</si>
  <si>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</si>
  <si>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</si>
  <si>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</si>
  <si>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</si>
  <si>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</si>
  <si>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</si>
  <si>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</si>
  <si>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</si>
  <si>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</si>
  <si>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</si>
  <si>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</si>
  <si>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</si>
  <si>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</si>
  <si>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</si>
  <si>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</si>
  <si>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</si>
  <si>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</si>
  <si>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</si>
  <si>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</si>
  <si>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</si>
  <si>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</si>
  <si>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</si>
  <si>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</si>
  <si>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</si>
  <si>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</si>
  <si>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</si>
  <si>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</si>
  <si>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</si>
  <si>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</si>
  <si>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</si>
  <si>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</si>
  <si>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</si>
  <si>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</si>
  <si>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</si>
  <si>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</si>
  <si>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</si>
  <si>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</si>
  <si>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</si>
  <si>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</si>
  <si>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</si>
  <si>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</si>
  <si>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</si>
  <si>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</si>
  <si>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</si>
  <si>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</si>
  <si>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</si>
  <si>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</si>
  <si>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</si>
  <si>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</si>
  <si>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</si>
  <si>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</si>
  <si>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</si>
  <si>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</si>
  <si>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</si>
  <si>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</si>
  <si>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</si>
  <si>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</si>
  <si>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</si>
  <si>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</si>
  <si>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</si>
  <si>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</si>
  <si>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</si>
  <si>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</si>
  <si>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</si>
  <si>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</si>
  <si>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</si>
  <si>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</si>
  <si>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</si>
  <si>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</si>
  <si>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</si>
  <si>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</si>
  <si>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</si>
  <si>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</si>
  <si>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</si>
  <si>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</si>
  <si>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</si>
  <si>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</si>
  <si>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</si>
  <si>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</si>
  <si>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</si>
  <si>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</si>
  <si>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</si>
  <si>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</si>
  <si>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</si>
  <si>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</si>
  <si>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</si>
  <si>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</si>
  <si>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</si>
  <si>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</si>
  <si>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</si>
  <si>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</si>
  <si>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</si>
  <si>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</si>
  <si>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</si>
  <si>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</si>
  <si>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</si>
  <si>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</si>
  <si>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</si>
  <si>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</si>
  <si>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</si>
  <si>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</si>
  <si>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</si>
  <si>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</si>
  <si>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</si>
  <si>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</si>
  <si>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</si>
  <si>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</si>
  <si>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</si>
  <si>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</si>
  <si>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</si>
  <si>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</si>
  <si>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</si>
  <si>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</si>
  <si>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</si>
  <si>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</si>
  <si>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</si>
  <si>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</si>
  <si>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</si>
  <si>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</si>
  <si>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</si>
  <si>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</si>
  <si>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</si>
  <si>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</si>
  <si>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</si>
  <si>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</si>
  <si>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</si>
  <si>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</si>
  <si>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</si>
  <si>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</si>
  <si>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</si>
  <si>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</si>
  <si>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</si>
  <si>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</si>
  <si>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</si>
  <si>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</si>
  <si>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</si>
  <si>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</si>
  <si>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</si>
  <si>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</si>
  <si>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</si>
  <si>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</si>
  <si>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</si>
  <si>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</si>
  <si>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</si>
  <si>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</si>
  <si>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</si>
  <si>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</si>
  <si>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</si>
  <si>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</si>
  <si>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</si>
  <si>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</si>
  <si>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</si>
  <si>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</si>
  <si>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</si>
  <si>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</si>
  <si>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</si>
  <si>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</si>
  <si>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</si>
  <si>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</si>
  <si>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</si>
  <si>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</si>
  <si>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</si>
  <si>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</si>
  <si>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</si>
  <si>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</si>
  <si>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</si>
  <si>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</si>
  <si>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</si>
  <si>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</si>
  <si>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</si>
  <si>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</si>
  <si>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</si>
  <si>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</si>
  <si>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</si>
  <si>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</si>
  <si>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</si>
  <si>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</si>
  <si>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</si>
  <si>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</si>
  <si>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</si>
  <si>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</si>
  <si>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</si>
  <si>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</si>
  <si>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</si>
  <si>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</si>
  <si>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</si>
  <si>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</si>
  <si>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</si>
  <si>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</si>
  <si>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</si>
  <si>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</si>
  <si>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</si>
  <si>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</si>
  <si>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</si>
  <si>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</si>
  <si>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</si>
  <si>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</si>
  <si>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</si>
  <si>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</si>
  <si>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</si>
  <si>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</si>
  <si>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</si>
  <si>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</si>
  <si>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</si>
  <si>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</si>
  <si>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</si>
  <si>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</si>
  <si>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</si>
  <si>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</si>
  <si>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</si>
  <si>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</si>
  <si>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</si>
  <si>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</si>
  <si>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</si>
  <si>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</si>
  <si>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</si>
  <si>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</si>
  <si>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</si>
  <si>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</si>
  <si>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</si>
  <si>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</si>
  <si>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</si>
  <si>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</si>
  <si>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</si>
  <si>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</si>
  <si>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</si>
  <si>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</si>
  <si>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</si>
  <si>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</si>
  <si>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</si>
  <si>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</si>
  <si>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</si>
  <si>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</si>
  <si>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</si>
  <si>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</si>
  <si>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</si>
  <si>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</si>
  <si>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</si>
  <si>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</si>
  <si>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</si>
  <si>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</si>
  <si>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</si>
  <si>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</si>
  <si>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</si>
  <si>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</si>
  <si>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</si>
  <si>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</si>
  <si>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</si>
  <si>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</si>
  <si>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</si>
  <si>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</si>
  <si>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</si>
  <si>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</si>
  <si>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</si>
  <si>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</si>
  <si>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</si>
  <si>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</si>
  <si>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</si>
  <si>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</si>
  <si>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</si>
  <si>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</si>
  <si>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</si>
  <si>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</si>
  <si>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</si>
  <si>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</si>
  <si>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</si>
  <si>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</si>
  <si>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</si>
  <si>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</si>
  <si>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</si>
  <si>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</si>
  <si>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</si>
  <si>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</si>
  <si>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</si>
  <si>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</si>
  <si>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</si>
  <si>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</si>
  <si>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</si>
  <si>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</si>
  <si>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</si>
  <si>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</si>
  <si>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</si>
  <si>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</si>
  <si>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</si>
  <si>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</si>
  <si>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</si>
  <si>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</si>
  <si>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</si>
  <si>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</si>
  <si>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</si>
  <si>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</si>
  <si>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</si>
  <si>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</si>
  <si>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</si>
  <si>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</si>
  <si>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</si>
  <si>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</si>
  <si>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</si>
  <si>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</si>
  <si>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</si>
  <si>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</si>
  <si>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</si>
  <si>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</si>
  <si>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</si>
  <si>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</si>
  <si>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</si>
  <si>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</si>
  <si>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</si>
  <si>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</si>
  <si>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</si>
  <si>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</si>
  <si>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</si>
  <si>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</si>
  <si>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</si>
  <si>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</si>
  <si>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</si>
  <si>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</si>
  <si>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</si>
  <si>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</si>
  <si>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</si>
  <si>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</si>
  <si>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</si>
  <si>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</si>
  <si>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</si>
  <si>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</si>
  <si>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</si>
  <si>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</si>
  <si>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</si>
  <si>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</si>
  <si>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</si>
  <si>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</si>
  <si>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</si>
  <si>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</si>
  <si>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</si>
  <si>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</si>
  <si>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</si>
  <si>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</si>
  <si>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</si>
  <si>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</si>
  <si>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</si>
  <si>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</si>
  <si>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</si>
  <si>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</si>
  <si>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</si>
  <si>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</si>
  <si>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</si>
  <si>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</si>
  <si>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</si>
  <si>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</si>
  <si>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</si>
  <si>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</si>
  <si>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</si>
  <si>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</si>
  <si>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</si>
  <si>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</si>
  <si>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</si>
  <si>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</si>
  <si>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</si>
  <si>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</si>
  <si>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</si>
  <si>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</si>
  <si>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</si>
  <si>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</si>
  <si>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</si>
  <si>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</si>
  <si>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</si>
  <si>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</si>
  <si>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</si>
  <si>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</si>
  <si>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</si>
  <si>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</si>
  <si>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</si>
  <si>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</si>
  <si>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</si>
  <si>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</si>
  <si>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</si>
  <si>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</si>
  <si>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</si>
  <si>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</si>
  <si>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</si>
  <si>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</si>
  <si>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</si>
  <si>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</si>
  <si>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</si>
  <si>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</si>
  <si>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</si>
  <si>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</si>
  <si>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</si>
  <si>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</si>
  <si>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</si>
  <si>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</si>
  <si>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</si>
  <si>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</si>
  <si>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</si>
  <si>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</si>
  <si>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</si>
  <si>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</si>
  <si>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</si>
  <si>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</si>
  <si>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</si>
  <si>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</si>
  <si>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</si>
  <si>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</si>
  <si>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</si>
  <si>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</si>
  <si>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</si>
  <si>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</si>
  <si>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</si>
  <si>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</si>
  <si>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</si>
  <si>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</si>
  <si>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</si>
  <si>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</si>
  <si>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</si>
  <si>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</si>
  <si>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</si>
  <si>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</si>
  <si>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</si>
  <si>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</si>
  <si>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</si>
  <si>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</si>
  <si>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</si>
  <si>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</si>
  <si>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</si>
  <si>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</si>
  <si>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</si>
  <si>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</si>
  <si>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</si>
  <si>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</si>
  <si>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</si>
  <si>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</si>
  <si>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</si>
  <si>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</si>
  <si>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</si>
  <si>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</si>
  <si>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</si>
  <si>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</si>
  <si>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</si>
  <si>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</si>
  <si>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</si>
  <si>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</si>
  <si>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</si>
  <si>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</si>
  <si>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</si>
  <si>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</si>
  <si>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</si>
  <si>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</si>
  <si>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</si>
  <si>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</si>
  <si>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</si>
  <si>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</si>
  <si>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</si>
  <si>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</si>
  <si>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</si>
  <si>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</si>
  <si>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</si>
  <si>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</si>
  <si>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</si>
  <si>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</si>
  <si>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</si>
  <si>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</si>
  <si>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</si>
  <si>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</si>
  <si>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</si>
  <si>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</si>
  <si>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</si>
  <si>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</si>
  <si>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</si>
  <si>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</si>
  <si>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</si>
  <si>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</si>
  <si>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</si>
  <si>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</si>
  <si>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</si>
  <si>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</si>
  <si>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</si>
  <si>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</si>
  <si>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</si>
  <si>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</si>
  <si>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</si>
  <si>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</si>
  <si>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</si>
  <si>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</si>
  <si>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</si>
  <si>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</si>
  <si>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</si>
  <si>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</si>
  <si>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</si>
  <si>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</si>
  <si>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</si>
  <si>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</si>
  <si>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</si>
  <si>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</si>
  <si>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</si>
  <si>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</si>
  <si>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</si>
  <si>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</si>
  <si>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</si>
  <si>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</si>
  <si>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</si>
  <si>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</si>
  <si>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</si>
  <si>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</si>
  <si>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</si>
  <si>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</si>
  <si>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</si>
  <si>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</si>
  <si>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</si>
  <si>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</si>
  <si>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</si>
  <si>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</si>
  <si>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</si>
  <si>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</si>
  <si>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</si>
  <si>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</si>
  <si>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</si>
  <si>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</si>
  <si>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</si>
  <si>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</si>
  <si>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</si>
  <si>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</si>
  <si>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</si>
  <si>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</si>
  <si>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</si>
  <si>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</si>
  <si>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</si>
  <si>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</si>
  <si>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</si>
  <si>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</si>
  <si>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</si>
  <si>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</si>
  <si>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</si>
  <si>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</si>
  <si>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</si>
  <si>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</si>
  <si>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</si>
  <si>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</si>
  <si>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</si>
  <si>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</si>
  <si>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</si>
  <si>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</si>
  <si>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</si>
  <si>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</si>
  <si>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</si>
  <si>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</si>
  <si>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</si>
  <si>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</si>
  <si>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</si>
  <si>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</si>
  <si>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</si>
  <si>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</si>
  <si>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</si>
  <si>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</si>
  <si>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</si>
  <si>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</si>
  <si>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</si>
  <si>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</si>
  <si>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</si>
  <si>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</si>
  <si>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</si>
  <si>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</si>
  <si>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</si>
  <si>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</si>
  <si>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</si>
  <si>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</si>
  <si>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</si>
  <si>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</si>
  <si>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</si>
  <si>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</si>
  <si>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</si>
  <si>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</si>
  <si>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</si>
  <si>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</si>
  <si>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</si>
  <si>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</si>
  <si>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</si>
  <si>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</si>
  <si>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</si>
  <si>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</si>
  <si>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</si>
  <si>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</si>
  <si>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</si>
  <si>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</si>
  <si>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</si>
  <si>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</si>
  <si>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</si>
  <si>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</si>
  <si>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</si>
  <si>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</si>
  <si>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</si>
  <si>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</si>
  <si>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</si>
  <si>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</si>
  <si>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</si>
  <si>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</si>
  <si>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</si>
  <si>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</si>
  <si>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</si>
  <si>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</si>
  <si>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</si>
  <si>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</si>
  <si>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</si>
  <si>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</si>
  <si>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</si>
  <si>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</si>
  <si>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</si>
  <si>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</si>
  <si>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</si>
  <si>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</si>
  <si>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</si>
  <si>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</si>
  <si>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</si>
  <si>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</si>
  <si>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</si>
  <si>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</si>
  <si>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</si>
  <si>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</si>
  <si>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</si>
  <si>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</si>
  <si>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</si>
  <si>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</si>
  <si>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</si>
  <si>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</si>
  <si>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</si>
  <si>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</si>
  <si>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</si>
  <si>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</si>
  <si>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</si>
  <si>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</si>
  <si>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</si>
  <si>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</si>
  <si>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</si>
  <si>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</si>
  <si>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</si>
  <si>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</si>
  <si>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</si>
  <si>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</si>
  <si>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</si>
  <si>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</si>
  <si>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</si>
  <si>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</si>
  <si>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</si>
  <si>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</si>
  <si>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</si>
  <si>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</si>
  <si>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</si>
  <si>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</si>
  <si>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</si>
  <si>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</si>
  <si>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</si>
  <si>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</si>
  <si>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</si>
  <si>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</si>
  <si>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</si>
  <si>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</si>
  <si>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</si>
  <si>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</si>
  <si>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</si>
  <si>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</si>
  <si>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</si>
  <si>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</si>
  <si>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1750 South Roselle Road</t>
  </si>
  <si>
    <t>Palatine</t>
  </si>
  <si>
    <t>X</t>
  </si>
  <si>
    <t>Lauren C. Hummel</t>
  </si>
  <si>
    <t>lhummel@d211.org</t>
  </si>
  <si>
    <t>847-755-6600</t>
  </si>
  <si>
    <t>847-755-6814</t>
  </si>
  <si>
    <t>Baker Tilly Virchow Krause, LLP</t>
  </si>
  <si>
    <t>Michael Malatt</t>
  </si>
  <si>
    <t>1301 W. 22nd Street, Suite 400</t>
  </si>
  <si>
    <t>Oak Brook</t>
  </si>
  <si>
    <t>IL</t>
  </si>
  <si>
    <t>630-990-3131</t>
  </si>
  <si>
    <t>630-990-0039</t>
  </si>
  <si>
    <t>066-0104260</t>
  </si>
  <si>
    <t>Capital Lease - Apple, Inc.</t>
  </si>
  <si>
    <t>Secondary School Cooperative Risk Management Program</t>
  </si>
  <si>
    <t>Northwest Suburban Special Education Organization</t>
  </si>
  <si>
    <t>State of IL Joint Purch Program, US Communites, NJPA, Sourcewell &amp; others</t>
  </si>
  <si>
    <t>Northwest Educational Council for Student Success</t>
  </si>
  <si>
    <t>Ed-Pupil-purchased services</t>
  </si>
  <si>
    <t>Ed-Instruction-purchased services</t>
  </si>
  <si>
    <t>OM-Oper. &amp; Maint. Plant Services-purchased services</t>
  </si>
  <si>
    <t>Ed-Instructional Staff-purchased services</t>
  </si>
  <si>
    <t>Ed-School Admin-purchased services</t>
  </si>
  <si>
    <t>Ed-Data Processing services-purchased services</t>
  </si>
  <si>
    <t>10-2100-300</t>
  </si>
  <si>
    <t>10-1000-300</t>
  </si>
  <si>
    <t>20-2540-300</t>
  </si>
  <si>
    <t>10-2200-300</t>
  </si>
  <si>
    <t>10-2400-300</t>
  </si>
  <si>
    <t>10-2660-300</t>
  </si>
  <si>
    <t>Arbiter Sports, LLC</t>
  </si>
  <si>
    <t>Athletico, LTD</t>
  </si>
  <si>
    <t>Aramark Uniform Services, Inc.</t>
  </si>
  <si>
    <t>Village of Schaumburg Police</t>
  </si>
  <si>
    <t>Equal Opportunity Schools</t>
  </si>
  <si>
    <t>Sears Center Arena</t>
  </si>
  <si>
    <t>Frontline Technologies</t>
  </si>
  <si>
    <t>Infor Public Sector</t>
  </si>
  <si>
    <t>Continuum Pediatric Nursing</t>
  </si>
  <si>
    <t>Tyler Technologies</t>
  </si>
  <si>
    <t>Village of Palatine Police</t>
  </si>
  <si>
    <t>Village of Hoffman Police</t>
  </si>
  <si>
    <t>Top Driver</t>
  </si>
  <si>
    <t>Computer Information Concepts</t>
  </si>
  <si>
    <t>Schoology</t>
  </si>
  <si>
    <t>Assets - Other Current Assets, page 5, line 12, column C:</t>
  </si>
  <si>
    <t>Flex Plan Deposit</t>
  </si>
  <si>
    <t>Deposit for A/P Processor</t>
  </si>
  <si>
    <t>Revenues-Other Food Service, page 10, line 74, column C:</t>
  </si>
  <si>
    <t>Vending</t>
  </si>
  <si>
    <t>SWEP</t>
  </si>
  <si>
    <t>Catering</t>
  </si>
  <si>
    <t>Revenues-Other District/School Activity Revenue, page 10, line 81, column C:</t>
  </si>
  <si>
    <t>Key &amp; ID Fees</t>
  </si>
  <si>
    <t>PE Uniform &amp; lock sales</t>
  </si>
  <si>
    <t>AP Testing Fees</t>
  </si>
  <si>
    <t>Miscellaneous Fees</t>
  </si>
  <si>
    <t>Revenues-Other Revenue from Local Sources-Other Local Revenues, page 11, line 107 column C:</t>
  </si>
  <si>
    <t>iPad Sales</t>
  </si>
  <si>
    <t>Recycling/Sale of Surplus</t>
  </si>
  <si>
    <t>Special Ed Transition Industries</t>
  </si>
  <si>
    <t>Rebates</t>
  </si>
  <si>
    <t>Cash discount</t>
  </si>
  <si>
    <t>Miscellaneous</t>
  </si>
  <si>
    <t>Energy Rebates</t>
  </si>
  <si>
    <t>Impact Fees</t>
  </si>
  <si>
    <t>Settlements/Forfeitures</t>
  </si>
  <si>
    <t>Revenues-Other Revenue from Local Sources-Other Local Revenues, page 11, line 107 column D:</t>
  </si>
  <si>
    <t>Revenues-Other Revenue from Local Sources-Other Local Revenues, page 11, line 107 column F:</t>
  </si>
  <si>
    <t>Revenues from State Sources-Other Restricted Revenue from State Sources; page 12, line 171, column C:</t>
  </si>
  <si>
    <t>National Board Certifications</t>
  </si>
  <si>
    <t>State Library Grant</t>
  </si>
  <si>
    <t>IMSA/IL Innovation Talent</t>
  </si>
  <si>
    <t>Revenues from Federal Sources-Title IV, Title IV-Other; page 13, line 215, column C:</t>
  </si>
  <si>
    <t>Safe &amp; Drug Free Schools</t>
  </si>
  <si>
    <t>Revenues from Federal Sources-Other Restricted Revenue from Federal Sources; page 14, line 272, column C:</t>
  </si>
  <si>
    <t>USDA Food Commodities</t>
  </si>
  <si>
    <t>DRS/Step Program</t>
  </si>
  <si>
    <t>Expenditures-Support Services-Other Support Services-Pupils; page 15, line 41, column C:</t>
  </si>
  <si>
    <t>Expenditures-Support Services-Other Support Services-Pupils; page 15, line 41, column D:</t>
  </si>
  <si>
    <t>Student Supervisor Salaries</t>
  </si>
  <si>
    <t>Student Supervisor Benefits</t>
  </si>
  <si>
    <t>Expenditures-Support Services-Other Support Services; page 16, line 73, column F:</t>
  </si>
  <si>
    <t>Student support</t>
  </si>
  <si>
    <t>Expenditures-MR/SS-Support Services-Pupils; page 19, line 231, column D:</t>
  </si>
  <si>
    <t>Administrative fees netted with Medicaid Admin Outreach in the financial statements</t>
  </si>
  <si>
    <t>Value of Commodities is included in the Account Summary 7-8, Line 7 Total</t>
  </si>
  <si>
    <t>The accompanying Schedule of Expenditures of Federal Awards includes the federal grant activity of Township High School District 211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</si>
  <si>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</si>
  <si>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Of the federal expenditures presented in the schedule, </t>
    </r>
    <r>
      <rPr>
        <b/>
        <sz val="9"/>
        <rFont val="Calibri"/>
        <family val="2"/>
        <scheme val="minor"/>
      </rPr>
      <t>Township High School District 211</t>
    </r>
    <r>
      <rPr>
        <sz val="9"/>
        <rFont val="Calibri"/>
        <family val="2"/>
        <scheme val="minor"/>
      </rPr>
      <t xml:space="preserve"> provided federal awards to subrecipients as follows:</t>
    </r>
  </si>
  <si>
    <t>Unmodified</t>
  </si>
  <si>
    <t>10.553, 10.555, 10.559</t>
  </si>
  <si>
    <t>Child Nutrition Cluster</t>
  </si>
  <si>
    <t>N/A</t>
  </si>
  <si>
    <t>US Department of Education Passed Through Illinois State Board of Education (ISBE)</t>
  </si>
  <si>
    <t>TITLE I GRANTS TO LOCAL EDUCATION AGENCIES</t>
  </si>
  <si>
    <t xml:space="preserve">Title I - Low Income PY18 </t>
  </si>
  <si>
    <t>18-4300-00</t>
  </si>
  <si>
    <t>Title I - Low Income PY19</t>
  </si>
  <si>
    <t>19-4300-00</t>
  </si>
  <si>
    <t>Subtotal - 84.010 - TITLE I GRANTS TO LOCAL EDUCATION AGENCIES</t>
  </si>
  <si>
    <t>TITLE IV STUDENT SUPPORT AND ACADEMIC ENRICHMENT PROGRAM</t>
  </si>
  <si>
    <t xml:space="preserve">  Title IV - Part A PY18 </t>
  </si>
  <si>
    <t>18-4400-00</t>
  </si>
  <si>
    <t xml:space="preserve">  Title IV - Part A PY19</t>
  </si>
  <si>
    <t>19-4400-00</t>
  </si>
  <si>
    <t xml:space="preserve">   Subtotal - 84.424- TITLE IV STUDENT SUPPORT AND ACADEMIC ENRICHMENT PROGRAM</t>
  </si>
  <si>
    <t>ENGLISH LANGUAGE ACQUISITION STATE GRANTS</t>
  </si>
  <si>
    <t>Title III - Lang. Inst. Prog. - Limited Eng. (IEP) PY19</t>
  </si>
  <si>
    <t>19-4905-00</t>
  </si>
  <si>
    <t>Title III - Lang. Inst. Prog. - Limited Eng. (LIPLEP) PY18</t>
  </si>
  <si>
    <t>18-4909-00</t>
  </si>
  <si>
    <t>Title III - Lang. Inst. Prog. - Limited Eng. (LIPLEP) PY19</t>
  </si>
  <si>
    <t>19-4909-00</t>
  </si>
  <si>
    <t>Subtotal - 84.365 - ENGLISH LANGUAGE ACQUISITION STATE GRANTS</t>
  </si>
  <si>
    <t>IMPROVING TEACHER QUALITY STATE GRANTS</t>
  </si>
  <si>
    <t>Title II - Teacher Quality PY18</t>
  </si>
  <si>
    <t>18-4932-00</t>
  </si>
  <si>
    <t>Title II - Teacher Quality PY19</t>
  </si>
  <si>
    <t>19-4932-00</t>
  </si>
  <si>
    <t>Subtotal - 84.367 - IMPROVING TEACHER QUALITY STATE GRANTS</t>
  </si>
  <si>
    <t>SPECIAL EDUCATION CLUSTER (IDEA)</t>
  </si>
  <si>
    <t>SPECIAL EDUCATION GRANTS TO STATES</t>
  </si>
  <si>
    <t>Fed. Sp. Ed. - IDEA Room and Board PY18</t>
  </si>
  <si>
    <t>18-4625-XC</t>
  </si>
  <si>
    <t>18-4625-00</t>
  </si>
  <si>
    <t>Fed. Sp. Ed. - IDEA Room and Board PY19</t>
  </si>
  <si>
    <t>19-4625-XC</t>
  </si>
  <si>
    <t>19-4625-00</t>
  </si>
  <si>
    <t>Subtotal - 84.027 - SPECIAL EDUCATION GRANTS TO STATES</t>
  </si>
  <si>
    <t>Total US Department of Education Passed Through Illinois State Board of Education (ISBE):</t>
  </si>
  <si>
    <t>US Department of Education Passed Through the Northwest Suburban Special Education Organization</t>
  </si>
  <si>
    <t>IDEA - Flow Through PY18</t>
  </si>
  <si>
    <t>18-4620-00</t>
  </si>
  <si>
    <t>IDEA - Flow Through PY19</t>
  </si>
  <si>
    <t>19-4620-00</t>
  </si>
  <si>
    <t>Total US Department of Education Passed Through the Northwest Suburban Special Education Organization:</t>
  </si>
  <si>
    <t xml:space="preserve">   Total 84.024 - SPECIAL EDUCATION GRANTS TO STATES/SPECIAL EDUCATION CLUSTER (IDEA) (US Department of Education)</t>
  </si>
  <si>
    <t>US Department of Education Passed Through the Illinois Department of Human Services</t>
  </si>
  <si>
    <t>REHABILITATION SERVICES VOCATIONAL REHABILITATION GRANTS TO STATES</t>
  </si>
  <si>
    <t>Div. of Rehab Services - STEP - Vocational Services PY18</t>
  </si>
  <si>
    <t>18-4999-00</t>
  </si>
  <si>
    <t>Div. of Rehab Services - STEP - Vocational Services PY19</t>
  </si>
  <si>
    <t>19-4999-00</t>
  </si>
  <si>
    <t>Subtotal - 84.126 - REHABILITATION SERVICES VOCATIONAL REHABILITATION GRANTS TO STATES</t>
  </si>
  <si>
    <t>Total US Department of Education Passed Through the Illinois Department of Human Services:</t>
  </si>
  <si>
    <t>US Department of Education Passed Through Northwest Suburban Education to Careers Partnership</t>
  </si>
  <si>
    <t>CAREER AND TECHNICAL EDUCATION -- BASIC GRANTS TO STATES</t>
  </si>
  <si>
    <t>V.E. Perkins - Title IIC Secondary PY18</t>
  </si>
  <si>
    <t>18-4770-00</t>
  </si>
  <si>
    <t>V.E. Perkins - Title IIC Secondary PY19</t>
  </si>
  <si>
    <t>19-4770-00</t>
  </si>
  <si>
    <t>Subtotal - 84.243 - CAREER AND TECHNICAL EDUCATION -- BASIC GRANTS TO STATES</t>
  </si>
  <si>
    <t>Total US Department of Education Passed Through Northwest Suburban Education to Careers Partnership:</t>
  </si>
  <si>
    <t>US Department of Education Passed Through Illinois Community College Board</t>
  </si>
  <si>
    <t>ADULT EDUCATION - BASIC GRANTS TO STATES</t>
  </si>
  <si>
    <t>Adult Education - Basic Institutional PY18</t>
  </si>
  <si>
    <t>18-4810-00</t>
  </si>
  <si>
    <t>Adult Education - Basic Institutional PY19</t>
  </si>
  <si>
    <t>19-4810-00</t>
  </si>
  <si>
    <t>Subtotal - 84.002 - ADULT EDUCATION - BASIC GRANTS TO STATES</t>
  </si>
  <si>
    <t>Total US Department of Education Passed Through Illinois Community College Board:</t>
  </si>
  <si>
    <t>US Department of Defense Passed Through Illinois State Board of Education (ISBE)</t>
  </si>
  <si>
    <t>CHILD NUTRITION CLUSTER</t>
  </si>
  <si>
    <t>NATIONAL SCHOOL LUNCH PROGRAM</t>
  </si>
  <si>
    <t>Fresh Fruits and Vegetables PY18 (M)</t>
  </si>
  <si>
    <t>Fresh Fruits and Vegetables PY19 (M)</t>
  </si>
  <si>
    <t>Subtotal - 10.555 - NATIONAL SCHOOL LUNCH PROGRAM</t>
  </si>
  <si>
    <t>Total US Department of Defense Passed Through Illinois State Board of Education (ISBE):</t>
  </si>
  <si>
    <t>US Department of Agriculture Passed Through Illinois State Board of Education (ISBE)</t>
  </si>
  <si>
    <t>National School Lunch Program PY18 (M)</t>
  </si>
  <si>
    <t>18-4210-00</t>
  </si>
  <si>
    <t>National School Lunch Program PY19 (M)</t>
  </si>
  <si>
    <t>19-4210-00</t>
  </si>
  <si>
    <t>Food Commodities PY18 (M)</t>
  </si>
  <si>
    <t>Food Commodities PY19 (M)</t>
  </si>
  <si>
    <t>Total - 10.555 - NATIONAL SCHOOL LUNCH PROGRAM</t>
  </si>
  <si>
    <t>SCHOOL BREAKFAST PROGRAM</t>
  </si>
  <si>
    <t>School Breakfast Program PY18 (M)</t>
  </si>
  <si>
    <t>18-4220-00</t>
  </si>
  <si>
    <t>School Breakfast Program PY19 (M)</t>
  </si>
  <si>
    <t>19-4220-00</t>
  </si>
  <si>
    <t>Subtotal - 10.553 - SCHOOL BREAKFAST PROGRAM</t>
  </si>
  <si>
    <t>Summer Food Service Program PY19 (M)</t>
  </si>
  <si>
    <t>19-4225-00</t>
  </si>
  <si>
    <t>Subtotal - 10.559 - SUMMER FOOD SERVICE PROGRAM FOR CHILDREN</t>
  </si>
  <si>
    <t>Total US Department of Agriculture Passed Through Illinois State Board of Education (ISBE):</t>
  </si>
  <si>
    <t>Total Child Nutrition Cluster (US Department of Agriculture and US Department of Defense)</t>
  </si>
  <si>
    <t>US Department of Health and Human Services Passed Through Illinois Department of Healthcare and Family Services:</t>
  </si>
  <si>
    <t>MEDICAID CLUSTER</t>
  </si>
  <si>
    <t>MEDICAL ASSISTANCE PROGRAM</t>
  </si>
  <si>
    <t>Medicaid Matching - Administrative Outreach PY18</t>
  </si>
  <si>
    <t>18-4991-00</t>
  </si>
  <si>
    <t>Medicaid Matching - Administrative Outreach PY19</t>
  </si>
  <si>
    <t>19-4991-00</t>
  </si>
  <si>
    <t>Subtotal - 93.778 - MEDICAL ASSISTANCE PROGRAM</t>
  </si>
  <si>
    <t>Total Medicaid Cluster (US Department of Health and Human Services Passed Through Illinois Department of Healthcare and Family Services):</t>
  </si>
  <si>
    <t>Total Federal Awards</t>
  </si>
  <si>
    <t>Township HSD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</si>
</sst>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ont>
    <font>
      <u val="singleAccounting"/>
      <sz val="10"/>
      <name val="Calibri"/>
      <family val="2"/>
      <scheme val="minor"/>
    </font>
    <font>
      <sz val="8"/>
      <color rgb="FF0000FF"/>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2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4" fontId="56" fillId="0" borderId="0" xfId="19" applyFont="1"/>
    <xf numFmtId="44" fontId="139" fillId="0" borderId="0" xfId="19" applyFont="1"/>
    <xf numFmtId="0" fontId="56" fillId="0" borderId="0" xfId="3" applyFont="1" applyProtection="1"/>
    <xf numFmtId="3" fontId="11"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3" fontId="10" fillId="0" borderId="45" xfId="3" applyNumberFormat="1" applyFont="1" applyFill="1" applyBorder="1" applyAlignment="1" applyProtection="1">
      <alignment horizontal="left" vertical="center" wrapText="1"/>
      <protection locked="0"/>
    </xf>
    <xf numFmtId="3" fontId="11" fillId="0" borderId="22" xfId="3" applyNumberFormat="1" applyFont="1" applyFill="1" applyBorder="1" applyAlignment="1" applyProtection="1">
      <alignment horizontal="left" vertical="center" wrapText="1" indent="1"/>
      <protection locked="0"/>
    </xf>
    <xf numFmtId="169" fontId="11" fillId="0" borderId="148"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3" fontId="11" fillId="0" borderId="22" xfId="3" applyNumberFormat="1" applyFont="1" applyFill="1" applyBorder="1" applyAlignment="1" applyProtection="1">
      <alignment horizontal="left" vertical="center" wrapText="1" indent="1"/>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protection locked="0"/>
    </xf>
    <xf numFmtId="169" fontId="10" fillId="0" borderId="148" xfId="3" applyNumberFormat="1" applyFont="1" applyFill="1" applyBorder="1" applyAlignment="1" applyProtection="1">
      <alignment horizontal="center"/>
      <protection locked="0"/>
    </xf>
    <xf numFmtId="3" fontId="10" fillId="0" borderId="148" xfId="3" applyNumberFormat="1" applyFont="1" applyFill="1" applyBorder="1" applyAlignment="1" applyProtection="1">
      <alignment horizontal="center"/>
      <protection locked="0"/>
    </xf>
    <xf numFmtId="3" fontId="140" fillId="0" borderId="22" xfId="3" applyNumberFormat="1" applyFont="1" applyFill="1" applyBorder="1" applyAlignment="1" applyProtection="1">
      <alignment horizontal="center"/>
      <protection locked="0"/>
    </xf>
    <xf numFmtId="181" fontId="10" fillId="0" borderId="148" xfId="3" applyNumberFormat="1" applyFont="1" applyFill="1" applyBorder="1" applyAlignment="1" applyProtection="1">
      <alignment horizontal="center"/>
      <protection locked="0"/>
    </xf>
    <xf numFmtId="169" fontId="11" fillId="0" borderId="148" xfId="3" applyNumberFormat="1" applyFont="1" applyFill="1" applyBorder="1" applyAlignment="1" applyProtection="1">
      <alignment horizontal="center" wrapText="1"/>
      <protection locked="0"/>
    </xf>
    <xf numFmtId="3" fontId="11" fillId="0" borderId="8" xfId="3" applyNumberFormat="1" applyFont="1" applyFill="1" applyBorder="1" applyAlignment="1" applyProtection="1">
      <alignment horizontal="left" vertical="center" wrapText="1"/>
      <protection locked="0"/>
    </xf>
    <xf numFmtId="169"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64" fillId="0" borderId="0" xfId="3" quotePrefix="1" applyFont="1" applyAlignment="1" applyProtection="1">
      <alignment horizontal="center" vertical="center"/>
    </xf>
    <xf numFmtId="0" fontId="56" fillId="0" borderId="69" xfId="3" applyFont="1" applyBorder="1" applyAlignment="1" applyProtection="1">
      <alignment horizontal="left" wrapText="1"/>
      <protection locked="0"/>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9"/>
    <cellStyle name="Normal 3 2 2 3" xfId="24"/>
    <cellStyle name="Normal 3 2 3" xfId="26"/>
    <cellStyle name="Normal 3 2 4" xfId="21"/>
    <cellStyle name="Normal 3 3" xfId="25"/>
    <cellStyle name="Normal 3 4" xfId="20"/>
    <cellStyle name="Normal 4" xfId="16"/>
    <cellStyle name="Normal 4 2" xfId="27"/>
    <cellStyle name="Normal 4 3" xfId="22"/>
    <cellStyle name="Normal 5" xfId="17"/>
    <cellStyle name="Normal 5 2" xfId="28"/>
    <cellStyle name="Normal 5 3"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895350</xdr:colOff>
          <xdr:row>0</xdr:row>
          <xdr:rowOff>9525</xdr:rowOff>
        </xdr:from>
        <xdr:to>
          <xdr:col>1</xdr:col>
          <xdr:colOff>1800225</xdr:colOff>
          <xdr:row>4</xdr:row>
          <xdr:rowOff>47625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0</xdr:row>
          <xdr:rowOff>19050</xdr:rowOff>
        </xdr:from>
        <xdr:to>
          <xdr:col>1</xdr:col>
          <xdr:colOff>2828925</xdr:colOff>
          <xdr:row>4</xdr:row>
          <xdr:rowOff>57150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4" t="s">
        <v>405</v>
      </c>
      <c r="J1" s="2025"/>
      <c r="K1" s="2025"/>
      <c r="L1" s="2025"/>
      <c r="M1" s="2025"/>
      <c r="N1" s="2025"/>
      <c r="O1" s="2025"/>
      <c r="P1" s="2025"/>
      <c r="Q1" s="2025"/>
      <c r="R1" s="2025"/>
      <c r="S1" s="2025"/>
    </row>
    <row r="2" spans="1:28" ht="12" customHeight="1" x14ac:dyDescent="0.2">
      <c r="A2" s="47" t="s">
        <v>1989</v>
      </c>
      <c r="D2" s="48"/>
      <c r="I2" s="2026" t="s">
        <v>979</v>
      </c>
      <c r="J2" s="2025"/>
      <c r="K2" s="2025"/>
      <c r="L2" s="2025"/>
      <c r="M2" s="2025"/>
      <c r="N2" s="2025"/>
      <c r="O2" s="2025"/>
      <c r="P2" s="2025"/>
      <c r="Q2" s="2025"/>
      <c r="R2" s="2025"/>
      <c r="S2" s="2025"/>
    </row>
    <row r="3" spans="1:28" ht="12" customHeight="1" x14ac:dyDescent="0.2">
      <c r="A3" s="155" t="s">
        <v>1941</v>
      </c>
      <c r="B3" s="156"/>
      <c r="C3" s="156"/>
      <c r="D3" s="157"/>
      <c r="I3" s="2026" t="s">
        <v>52</v>
      </c>
      <c r="J3" s="2025"/>
      <c r="K3" s="2025"/>
      <c r="L3" s="2025"/>
      <c r="M3" s="2025"/>
      <c r="N3" s="2025"/>
      <c r="O3" s="2025"/>
      <c r="P3" s="2025"/>
      <c r="Q3" s="2025"/>
      <c r="R3" s="2025"/>
      <c r="S3" s="2025"/>
    </row>
    <row r="4" spans="1:28" ht="12" customHeight="1" x14ac:dyDescent="0.2">
      <c r="A4" s="37"/>
      <c r="I4" s="2026" t="s">
        <v>524</v>
      </c>
      <c r="J4" s="2025"/>
      <c r="K4" s="2025"/>
      <c r="L4" s="2025"/>
      <c r="M4" s="2025"/>
      <c r="N4" s="2025"/>
      <c r="O4" s="2025"/>
      <c r="P4" s="2025"/>
      <c r="Q4" s="2025"/>
      <c r="R4" s="2025"/>
      <c r="S4" s="2025"/>
    </row>
    <row r="5" spans="1:28" ht="14.1" customHeight="1" x14ac:dyDescent="0.2">
      <c r="B5" s="104" t="s">
        <v>2063</v>
      </c>
      <c r="C5" s="26" t="s">
        <v>910</v>
      </c>
      <c r="D5" s="84"/>
      <c r="E5" s="84"/>
      <c r="H5" s="38"/>
      <c r="I5" s="2034" t="s">
        <v>680</v>
      </c>
      <c r="J5" s="2033"/>
      <c r="K5" s="2033"/>
      <c r="L5" s="2033"/>
      <c r="M5" s="2033"/>
      <c r="N5" s="2033"/>
      <c r="O5" s="2033"/>
      <c r="P5" s="2033"/>
      <c r="Q5" s="2033"/>
      <c r="R5" s="2033"/>
      <c r="S5" s="2033"/>
    </row>
    <row r="6" spans="1:28" ht="14.1" customHeight="1" x14ac:dyDescent="0.2">
      <c r="B6" s="104"/>
      <c r="C6" s="26" t="s">
        <v>911</v>
      </c>
      <c r="D6" s="84"/>
      <c r="E6" s="84"/>
      <c r="I6" s="2032" t="s">
        <v>883</v>
      </c>
      <c r="J6" s="2033"/>
      <c r="K6" s="2033"/>
      <c r="L6" s="2033"/>
      <c r="M6" s="2033"/>
      <c r="N6" s="2033"/>
      <c r="O6" s="2033"/>
      <c r="P6" s="2033"/>
      <c r="Q6" s="2033"/>
      <c r="R6" s="2033"/>
      <c r="S6" s="2033"/>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674</v>
      </c>
      <c r="J9" s="2030"/>
      <c r="K9" s="2030"/>
      <c r="L9" s="2030"/>
      <c r="M9" s="2030"/>
      <c r="N9" s="2030"/>
      <c r="O9" s="2030"/>
      <c r="P9" s="2030"/>
      <c r="Q9" s="2030"/>
      <c r="R9" s="2030"/>
      <c r="S9" s="2031"/>
      <c r="T9" s="2045" t="s">
        <v>533</v>
      </c>
      <c r="U9" s="2046"/>
      <c r="V9" s="2046"/>
      <c r="W9" s="2046"/>
      <c r="X9" s="2046"/>
      <c r="Y9" s="2046"/>
      <c r="Z9" s="2046"/>
      <c r="AA9" s="2047"/>
    </row>
    <row r="10" spans="1:28" ht="13.5" customHeight="1" x14ac:dyDescent="0.2">
      <c r="A10" s="2052" t="s">
        <v>675</v>
      </c>
      <c r="B10" s="2053"/>
      <c r="C10" s="2053"/>
      <c r="D10" s="2053"/>
      <c r="E10" s="2053"/>
      <c r="F10" s="2053"/>
      <c r="G10" s="2053"/>
      <c r="H10" s="2054"/>
      <c r="I10" s="29"/>
      <c r="J10" s="30"/>
      <c r="K10" s="28"/>
      <c r="R10" s="30"/>
      <c r="S10" s="30"/>
      <c r="T10" s="2048"/>
      <c r="U10" s="2033"/>
      <c r="V10" s="2033"/>
      <c r="W10" s="2033"/>
      <c r="X10" s="2033"/>
      <c r="Y10" s="2033"/>
      <c r="Z10" s="2033"/>
      <c r="AA10" s="2039"/>
    </row>
    <row r="11" spans="1:28" ht="14.25" customHeight="1" x14ac:dyDescent="0.2">
      <c r="A11" s="2055" t="s">
        <v>955</v>
      </c>
      <c r="B11" s="2056"/>
      <c r="C11" s="2056"/>
      <c r="D11" s="2056"/>
      <c r="E11" s="2056"/>
      <c r="F11" s="2056"/>
      <c r="G11" s="2056"/>
      <c r="H11" s="2057"/>
      <c r="I11" s="27"/>
      <c r="J11" s="74"/>
      <c r="K11" s="27"/>
      <c r="O11" s="148"/>
      <c r="P11" s="100" t="s">
        <v>201</v>
      </c>
      <c r="Q11" s="30"/>
      <c r="R11" s="28"/>
      <c r="S11" s="27"/>
      <c r="T11" s="2049"/>
      <c r="U11" s="2050"/>
      <c r="V11" s="2050"/>
      <c r="W11" s="2050"/>
      <c r="X11" s="2050"/>
      <c r="Y11" s="2050"/>
      <c r="Z11" s="2050"/>
      <c r="AA11" s="2051"/>
    </row>
    <row r="12" spans="1:28" ht="13.5" customHeight="1" x14ac:dyDescent="0.2">
      <c r="A12" s="85" t="s">
        <v>925</v>
      </c>
      <c r="B12" s="76"/>
      <c r="C12" s="76"/>
      <c r="D12" s="76"/>
      <c r="E12" s="76"/>
      <c r="F12" s="76"/>
      <c r="G12" s="76"/>
      <c r="H12" s="53"/>
      <c r="I12" s="29"/>
      <c r="J12" s="30"/>
      <c r="K12" s="28"/>
      <c r="O12" s="149" t="s">
        <v>2067</v>
      </c>
      <c r="P12" s="100" t="s">
        <v>202</v>
      </c>
      <c r="Q12" s="74"/>
      <c r="R12" s="30"/>
      <c r="S12" s="30"/>
      <c r="T12" s="85" t="s">
        <v>265</v>
      </c>
      <c r="U12" s="51"/>
      <c r="V12" s="51"/>
      <c r="W12" s="51"/>
      <c r="X12" s="51"/>
      <c r="Y12" s="45"/>
      <c r="Z12" s="45"/>
      <c r="AA12" s="46"/>
    </row>
    <row r="13" spans="1:28" ht="13.5" customHeight="1" x14ac:dyDescent="0.2">
      <c r="A13" s="2059">
        <v>5016211017</v>
      </c>
      <c r="B13" s="2060"/>
      <c r="C13" s="2060"/>
      <c r="D13" s="2060"/>
      <c r="E13" s="2060"/>
      <c r="F13" s="2060"/>
      <c r="G13" s="2060"/>
      <c r="H13" s="2061"/>
      <c r="I13" s="31"/>
      <c r="J13" s="30"/>
      <c r="K13" s="28"/>
      <c r="L13" s="30"/>
      <c r="M13" s="30"/>
      <c r="N13" s="30"/>
      <c r="O13" s="30"/>
      <c r="P13" s="30"/>
      <c r="Q13" s="30"/>
      <c r="R13" s="30"/>
      <c r="S13" s="30"/>
      <c r="T13" s="2064" t="s">
        <v>2072</v>
      </c>
      <c r="U13" s="2065"/>
      <c r="V13" s="2065"/>
      <c r="W13" s="2065"/>
      <c r="X13" s="2065"/>
      <c r="Y13" s="2066"/>
      <c r="Z13" s="2066"/>
      <c r="AA13" s="206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8" t="s">
        <v>2064</v>
      </c>
      <c r="B15" s="2062"/>
      <c r="C15" s="2062"/>
      <c r="D15" s="2062"/>
      <c r="E15" s="2062"/>
      <c r="F15" s="2062"/>
      <c r="G15" s="2062"/>
      <c r="H15" s="2063"/>
      <c r="T15" s="2068" t="s">
        <v>2073</v>
      </c>
      <c r="U15" s="2012"/>
      <c r="V15" s="2012"/>
      <c r="W15" s="2012"/>
      <c r="X15" s="2012"/>
      <c r="Y15" s="2069"/>
      <c r="Z15" s="2069"/>
      <c r="AA15" s="207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8" t="s">
        <v>2265</v>
      </c>
      <c r="B17" s="2019"/>
      <c r="C17" s="2019"/>
      <c r="D17" s="2019"/>
      <c r="E17" s="2019"/>
      <c r="F17" s="2019"/>
      <c r="G17" s="2019"/>
      <c r="H17" s="2044"/>
      <c r="T17" s="2075" t="s">
        <v>2074</v>
      </c>
      <c r="U17" s="2076"/>
      <c r="V17" s="2076"/>
      <c r="W17" s="2076"/>
      <c r="X17" s="2076"/>
      <c r="Y17" s="2076"/>
      <c r="Z17" s="2076"/>
      <c r="AA17" s="2077"/>
    </row>
    <row r="18" spans="1:27" ht="13.5" customHeight="1" x14ac:dyDescent="0.2">
      <c r="A18" s="85" t="s">
        <v>530</v>
      </c>
      <c r="B18" s="76"/>
      <c r="C18" s="72"/>
      <c r="D18" s="76"/>
      <c r="E18" s="76"/>
      <c r="F18" s="76"/>
      <c r="G18" s="76"/>
      <c r="H18" s="56"/>
      <c r="I18" s="2043" t="s">
        <v>676</v>
      </c>
      <c r="J18" s="1994"/>
      <c r="K18" s="1994"/>
      <c r="L18" s="1994"/>
      <c r="M18" s="1994"/>
      <c r="N18" s="1994"/>
      <c r="O18" s="1994"/>
      <c r="P18" s="1994"/>
      <c r="Q18" s="1994"/>
      <c r="R18" s="1994"/>
      <c r="S18" s="1995"/>
      <c r="T18" s="85" t="s">
        <v>711</v>
      </c>
      <c r="U18" s="51"/>
      <c r="V18" s="72"/>
      <c r="W18" s="50"/>
      <c r="X18" s="85" t="s">
        <v>266</v>
      </c>
      <c r="Y18" s="81"/>
      <c r="Z18" s="159" t="s">
        <v>677</v>
      </c>
      <c r="AA18" s="46"/>
    </row>
    <row r="19" spans="1:27" ht="13.5" customHeight="1" x14ac:dyDescent="0.2">
      <c r="A19" s="2058" t="s">
        <v>2065</v>
      </c>
      <c r="B19" s="2004"/>
      <c r="C19" s="2004"/>
      <c r="D19" s="2004"/>
      <c r="E19" s="2004"/>
      <c r="F19" s="2004"/>
      <c r="G19" s="2004"/>
      <c r="H19" s="1984"/>
      <c r="I19" s="30"/>
      <c r="J19" s="99"/>
      <c r="K19" s="40"/>
      <c r="L19" s="38"/>
      <c r="M19" s="112" t="s">
        <v>315</v>
      </c>
      <c r="P19" s="27"/>
      <c r="Q19" s="27"/>
      <c r="R19" s="27"/>
      <c r="S19" s="31"/>
      <c r="T19" s="2058" t="s">
        <v>2075</v>
      </c>
      <c r="U19" s="1983"/>
      <c r="V19" s="1983"/>
      <c r="W19" s="1984"/>
      <c r="X19" s="2073" t="s">
        <v>2076</v>
      </c>
      <c r="Y19" s="2074"/>
      <c r="Z19" s="2071">
        <v>60523</v>
      </c>
      <c r="AA19" s="207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2066</v>
      </c>
      <c r="B21" s="1983"/>
      <c r="C21" s="1983"/>
      <c r="D21" s="1983"/>
      <c r="E21" s="1983"/>
      <c r="F21" s="1983"/>
      <c r="G21" s="1983"/>
      <c r="H21" s="1984"/>
      <c r="I21" s="2038" t="s">
        <v>678</v>
      </c>
      <c r="J21" s="2033"/>
      <c r="K21" s="2033"/>
      <c r="L21" s="2033"/>
      <c r="M21" s="2033"/>
      <c r="N21" s="2033"/>
      <c r="O21" s="2033"/>
      <c r="P21" s="2033"/>
      <c r="Q21" s="2033"/>
      <c r="R21" s="2033"/>
      <c r="S21" s="2039"/>
      <c r="T21" s="2082" t="s">
        <v>2077</v>
      </c>
      <c r="U21" s="2083"/>
      <c r="V21" s="2083"/>
      <c r="W21" s="2083"/>
      <c r="X21" s="2088" t="s">
        <v>2078</v>
      </c>
      <c r="Y21" s="2089"/>
      <c r="Z21" s="2089"/>
      <c r="AA21" s="2090"/>
    </row>
    <row r="22" spans="1:27" ht="13.5" customHeight="1" x14ac:dyDescent="0.2">
      <c r="A22" s="87" t="s">
        <v>531</v>
      </c>
      <c r="B22" s="59"/>
      <c r="C22" s="59"/>
      <c r="D22" s="59"/>
      <c r="E22" s="59"/>
      <c r="F22" s="59"/>
      <c r="G22" s="59"/>
      <c r="H22" s="60"/>
      <c r="I22" s="2040" t="s">
        <v>1429</v>
      </c>
      <c r="J22" s="2041"/>
      <c r="K22" s="2041"/>
      <c r="L22" s="2041"/>
      <c r="M22" s="2041"/>
      <c r="N22" s="2041"/>
      <c r="O22" s="2041"/>
      <c r="P22" s="2041"/>
      <c r="Q22" s="2041"/>
      <c r="R22" s="2041"/>
      <c r="S22" s="2042"/>
      <c r="T22" s="85" t="s">
        <v>1516</v>
      </c>
      <c r="U22" s="51"/>
      <c r="V22" s="72"/>
      <c r="W22" s="51"/>
      <c r="X22" s="160" t="s">
        <v>1318</v>
      </c>
      <c r="Z22" s="45"/>
      <c r="AA22" s="46"/>
    </row>
    <row r="23" spans="1:27" ht="13.5" customHeight="1" x14ac:dyDescent="0.2">
      <c r="A23" s="2035"/>
      <c r="B23" s="2036"/>
      <c r="C23" s="2036"/>
      <c r="D23" s="2036"/>
      <c r="E23" s="2036"/>
      <c r="F23" s="2036"/>
      <c r="G23" s="2036"/>
      <c r="H23" s="2037"/>
      <c r="T23" s="2018" t="s">
        <v>2079</v>
      </c>
      <c r="U23" s="2081"/>
      <c r="V23" s="2081"/>
      <c r="W23" s="2081"/>
      <c r="X23" s="2085"/>
      <c r="Y23" s="2086"/>
      <c r="Z23" s="2086"/>
      <c r="AA23" s="2087"/>
    </row>
    <row r="24" spans="1:27" ht="14.1" customHeight="1" x14ac:dyDescent="0.2">
      <c r="A24" s="88" t="s">
        <v>677</v>
      </c>
      <c r="B24" s="49"/>
      <c r="C24" s="49"/>
      <c r="D24" s="49"/>
      <c r="E24" s="49"/>
      <c r="F24" s="49"/>
      <c r="G24" s="49"/>
      <c r="H24" s="61"/>
      <c r="J24" s="2005">
        <f>IF(B5="x",IF(AUDITCHECK!D29="AFR form Incomplete.","",IF(AUDITCHECK!D29="Deficit reduction plan is required.","School District must complete a deficit reduction plan in the 2019-2020 Budget",)),"")</f>
        <v>0</v>
      </c>
      <c r="K24" s="2005"/>
      <c r="L24" s="2005"/>
      <c r="M24" s="2005"/>
      <c r="N24" s="2005"/>
      <c r="O24" s="2005"/>
      <c r="P24" s="2005"/>
      <c r="Q24" s="2005"/>
      <c r="R24" s="2005"/>
      <c r="S24" s="2006"/>
      <c r="T24" s="105" t="s">
        <v>531</v>
      </c>
      <c r="U24" s="106"/>
      <c r="V24" s="106"/>
      <c r="W24" s="106"/>
      <c r="X24" s="107"/>
      <c r="Y24" s="107"/>
      <c r="Z24" s="107"/>
      <c r="AA24" s="108"/>
    </row>
    <row r="25" spans="1:27" ht="14.1" customHeight="1" x14ac:dyDescent="0.2">
      <c r="A25" s="1982">
        <v>60067</v>
      </c>
      <c r="B25" s="1983"/>
      <c r="C25" s="1983"/>
      <c r="D25" s="1983"/>
      <c r="E25" s="1983"/>
      <c r="F25" s="1983"/>
      <c r="G25" s="1983"/>
      <c r="H25" s="1984"/>
      <c r="I25" s="113"/>
      <c r="J25" s="2007"/>
      <c r="K25" s="2007"/>
      <c r="L25" s="2007"/>
      <c r="M25" s="2007"/>
      <c r="N25" s="2007"/>
      <c r="O25" s="2007"/>
      <c r="P25" s="2007"/>
      <c r="Q25" s="2007"/>
      <c r="R25" s="2007"/>
      <c r="S25" s="2008"/>
      <c r="T25" s="2078"/>
      <c r="U25" s="2079"/>
      <c r="V25" s="2079"/>
      <c r="W25" s="2079"/>
      <c r="X25" s="2079"/>
      <c r="Y25" s="2079"/>
      <c r="Z25" s="2079"/>
      <c r="AA25" s="20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93" t="s">
        <v>1511</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2067</v>
      </c>
      <c r="F29" s="141" t="s">
        <v>1316</v>
      </c>
      <c r="G29" s="114"/>
      <c r="I29" s="54"/>
      <c r="J29" s="148" t="s">
        <v>2067</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2067</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4"/>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8" t="s">
        <v>2068</v>
      </c>
      <c r="B38" s="2019"/>
      <c r="C38" s="2019"/>
      <c r="D38" s="2019"/>
      <c r="E38" s="2019"/>
      <c r="F38" s="1983"/>
      <c r="G38" s="1983"/>
      <c r="H38" s="1984"/>
      <c r="I38" s="2011"/>
      <c r="J38" s="2012"/>
      <c r="K38" s="2012"/>
      <c r="L38" s="2012"/>
      <c r="M38" s="2012"/>
      <c r="N38" s="2012"/>
      <c r="O38" s="2012"/>
      <c r="P38" s="2013"/>
      <c r="Q38" s="2013"/>
      <c r="R38" s="2013"/>
      <c r="S38" s="2014"/>
      <c r="T38" s="2068"/>
      <c r="U38" s="2012"/>
      <c r="V38" s="2012"/>
      <c r="W38" s="2012"/>
      <c r="X38" s="2013"/>
      <c r="Y38" s="2013"/>
      <c r="Z38" s="2013"/>
      <c r="AA38" s="2014"/>
    </row>
    <row r="39" spans="1:27" ht="12" customHeight="1" x14ac:dyDescent="0.2">
      <c r="A39" s="1988" t="s">
        <v>531</v>
      </c>
      <c r="B39" s="1989"/>
      <c r="C39" s="72"/>
      <c r="D39" s="69"/>
      <c r="E39" s="69"/>
      <c r="F39" s="79"/>
      <c r="G39" s="69"/>
      <c r="H39" s="56"/>
      <c r="I39" s="1988" t="s">
        <v>531</v>
      </c>
      <c r="J39" s="1989"/>
      <c r="K39" s="1989"/>
      <c r="L39" s="1989"/>
      <c r="M39" s="1989"/>
      <c r="N39" s="67"/>
      <c r="O39" s="72"/>
      <c r="P39" s="72"/>
      <c r="Q39" s="78"/>
      <c r="R39" s="72"/>
      <c r="S39" s="56"/>
      <c r="T39" s="72" t="s">
        <v>531</v>
      </c>
      <c r="U39" s="51"/>
      <c r="V39" s="72"/>
      <c r="W39" s="50"/>
      <c r="X39" s="78"/>
      <c r="Y39" s="45"/>
      <c r="Z39" s="45"/>
      <c r="AA39" s="46"/>
    </row>
    <row r="40" spans="1:27" ht="13.5" customHeight="1" x14ac:dyDescent="0.2">
      <c r="A40" s="1996" t="s">
        <v>2069</v>
      </c>
      <c r="B40" s="1997"/>
      <c r="C40" s="1998"/>
      <c r="D40" s="1998"/>
      <c r="E40" s="1998"/>
      <c r="F40" s="1999"/>
      <c r="G40" s="1999"/>
      <c r="H40" s="2000"/>
      <c r="I40" s="2021"/>
      <c r="J40" s="2022"/>
      <c r="K40" s="2022"/>
      <c r="L40" s="2022"/>
      <c r="M40" s="2022"/>
      <c r="N40" s="2022"/>
      <c r="O40" s="2022"/>
      <c r="P40" s="2022"/>
      <c r="Q40" s="2022"/>
      <c r="R40" s="2022"/>
      <c r="S40" s="2023"/>
      <c r="T40" s="2021"/>
      <c r="U40" s="2084"/>
      <c r="V40" s="2022"/>
      <c r="W40" s="2022"/>
      <c r="X40" s="2022"/>
      <c r="Y40" s="2022"/>
      <c r="Z40" s="2022"/>
      <c r="AA40" s="202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0" t="s">
        <v>2070</v>
      </c>
      <c r="B42" s="2002"/>
      <c r="C42" s="2003"/>
      <c r="D42" s="2001" t="s">
        <v>2071</v>
      </c>
      <c r="E42" s="2002"/>
      <c r="F42" s="2002"/>
      <c r="G42" s="2002"/>
      <c r="H42" s="2003"/>
      <c r="I42" s="1985"/>
      <c r="J42" s="1986"/>
      <c r="K42" s="1986"/>
      <c r="L42" s="1986"/>
      <c r="M42" s="1986"/>
      <c r="N42" s="1986"/>
      <c r="O42" s="1987"/>
      <c r="P42" s="2020"/>
      <c r="Q42" s="1986"/>
      <c r="R42" s="1986"/>
      <c r="S42" s="1987"/>
      <c r="T42" s="1985"/>
      <c r="U42" s="1986"/>
      <c r="V42" s="1986"/>
      <c r="W42" s="1987"/>
      <c r="X42" s="2020"/>
      <c r="Y42" s="1986"/>
      <c r="Z42" s="1986"/>
      <c r="AA42" s="198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5"/>
      <c r="B44" s="2016"/>
      <c r="C44" s="2016"/>
      <c r="D44" s="2016"/>
      <c r="E44" s="2016"/>
      <c r="F44" s="2016"/>
      <c r="G44" s="2016"/>
      <c r="H44" s="2017"/>
      <c r="I44" s="1990"/>
      <c r="J44" s="1991"/>
      <c r="K44" s="1991"/>
      <c r="L44" s="1991"/>
      <c r="M44" s="1991"/>
      <c r="N44" s="1991"/>
      <c r="O44" s="1991"/>
      <c r="P44" s="1991"/>
      <c r="Q44" s="1991"/>
      <c r="R44" s="1991"/>
      <c r="S44" s="1992"/>
      <c r="T44" s="1990"/>
      <c r="U44" s="2009"/>
      <c r="V44" s="2009"/>
      <c r="W44" s="2009"/>
      <c r="X44" s="2009"/>
      <c r="Y44" s="2009"/>
      <c r="Z44" s="1991"/>
      <c r="AA44" s="199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4" t="s">
        <v>1611</v>
      </c>
    </row>
    <row r="23" spans="1:5" x14ac:dyDescent="0.2">
      <c r="A23" s="168"/>
      <c r="B23" s="162" t="s">
        <v>1854</v>
      </c>
      <c r="D23" s="167" t="s">
        <v>637</v>
      </c>
      <c r="E23" s="1834"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4" t="s">
        <v>1065</v>
      </c>
      <c r="B35" s="2094"/>
      <c r="C35" s="2094"/>
      <c r="D35" s="2094"/>
      <c r="E35" s="209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1" t="s">
        <v>691</v>
      </c>
      <c r="B40" s="2091"/>
      <c r="C40" s="2091"/>
      <c r="D40" s="2091"/>
      <c r="E40" s="2091"/>
    </row>
    <row r="41" spans="1:5" x14ac:dyDescent="0.2">
      <c r="A41" s="2092" t="s">
        <v>1608</v>
      </c>
      <c r="B41" s="2092"/>
      <c r="C41" s="2092"/>
      <c r="D41" s="2092"/>
      <c r="E41" s="2092"/>
    </row>
    <row r="42" spans="1:5" ht="12.75" customHeight="1" x14ac:dyDescent="0.2">
      <c r="A42" s="2093" t="s">
        <v>1022</v>
      </c>
      <c r="B42" s="2093"/>
      <c r="C42" s="2093"/>
      <c r="D42" s="2093"/>
      <c r="E42" s="2093"/>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3" t="s">
        <v>1774</v>
      </c>
    </row>
    <row r="60" spans="1:3" x14ac:dyDescent="0.2">
      <c r="A60" s="196"/>
      <c r="B60" s="1483"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5"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4"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5" t="s">
        <v>1168</v>
      </c>
      <c r="B2" s="2095"/>
      <c r="C2" s="2095"/>
      <c r="D2" s="2095"/>
      <c r="E2" s="2095"/>
      <c r="F2" s="2095"/>
      <c r="G2" s="2095"/>
      <c r="H2" s="2095"/>
      <c r="I2" s="2095"/>
      <c r="J2" s="209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9" t="s">
        <v>1633</v>
      </c>
      <c r="B35" s="2110"/>
      <c r="C35" s="2110"/>
      <c r="D35" s="2110"/>
      <c r="E35" s="2111"/>
      <c r="F35" s="2111"/>
      <c r="G35" s="2111"/>
      <c r="H35" s="2111"/>
      <c r="I35" s="211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9" t="s">
        <v>313</v>
      </c>
      <c r="B47" s="2112"/>
      <c r="C47" s="2112"/>
      <c r="D47" s="2112"/>
      <c r="E47" s="2113"/>
      <c r="F47" s="2113"/>
      <c r="G47" s="2113"/>
      <c r="H47" s="2113"/>
      <c r="I47" s="211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6"/>
      <c r="C57" s="2117"/>
      <c r="D57" s="2117"/>
      <c r="E57" s="2117"/>
      <c r="F57" s="2117"/>
      <c r="G57" s="2117"/>
      <c r="H57" s="2117"/>
      <c r="I57" s="2117"/>
      <c r="J57" s="2118"/>
    </row>
    <row r="58" spans="1:10" s="181" customFormat="1" x14ac:dyDescent="0.2">
      <c r="A58" s="253"/>
      <c r="B58" s="2119"/>
      <c r="C58" s="2120"/>
      <c r="D58" s="2120"/>
      <c r="E58" s="2120"/>
      <c r="F58" s="2120"/>
      <c r="G58" s="2120"/>
      <c r="H58" s="2120"/>
      <c r="I58" s="2120"/>
      <c r="J58" s="2121"/>
    </row>
    <row r="59" spans="1:10" s="181" customFormat="1" x14ac:dyDescent="0.2">
      <c r="A59" s="253"/>
      <c r="B59" s="2119"/>
      <c r="C59" s="2120"/>
      <c r="D59" s="2120"/>
      <c r="E59" s="2120"/>
      <c r="F59" s="2120"/>
      <c r="G59" s="2120"/>
      <c r="H59" s="2120"/>
      <c r="I59" s="2120"/>
      <c r="J59" s="2121"/>
    </row>
    <row r="60" spans="1:10" s="181" customFormat="1" x14ac:dyDescent="0.2">
      <c r="A60" s="253"/>
      <c r="B60" s="2119"/>
      <c r="C60" s="2120"/>
      <c r="D60" s="2120"/>
      <c r="E60" s="2120"/>
      <c r="F60" s="2120"/>
      <c r="G60" s="2120"/>
      <c r="H60" s="2120"/>
      <c r="I60" s="2120"/>
      <c r="J60" s="2121"/>
    </row>
    <row r="61" spans="1:10" s="181" customFormat="1" x14ac:dyDescent="0.2">
      <c r="A61" s="253"/>
      <c r="B61" s="2119"/>
      <c r="C61" s="2120"/>
      <c r="D61" s="2120"/>
      <c r="E61" s="2120"/>
      <c r="F61" s="2120"/>
      <c r="G61" s="2120"/>
      <c r="H61" s="2120"/>
      <c r="I61" s="2120"/>
      <c r="J61" s="2121"/>
    </row>
    <row r="62" spans="1:10" s="181" customFormat="1" x14ac:dyDescent="0.2">
      <c r="A62" s="253"/>
      <c r="B62" s="2119"/>
      <c r="C62" s="2120"/>
      <c r="D62" s="2120"/>
      <c r="E62" s="2120"/>
      <c r="F62" s="2120"/>
      <c r="G62" s="2120"/>
      <c r="H62" s="2120"/>
      <c r="I62" s="2120"/>
      <c r="J62" s="2121"/>
    </row>
    <row r="63" spans="1:10" s="181" customFormat="1" x14ac:dyDescent="0.2">
      <c r="A63" s="253"/>
      <c r="B63" s="2119"/>
      <c r="C63" s="2120"/>
      <c r="D63" s="2120"/>
      <c r="E63" s="2120"/>
      <c r="F63" s="2120"/>
      <c r="G63" s="2120"/>
      <c r="H63" s="2120"/>
      <c r="I63" s="2120"/>
      <c r="J63" s="2121"/>
    </row>
    <row r="64" spans="1:10" s="181" customFormat="1" x14ac:dyDescent="0.2">
      <c r="A64" s="253"/>
      <c r="B64" s="2119"/>
      <c r="C64" s="2120"/>
      <c r="D64" s="2120"/>
      <c r="E64" s="2120"/>
      <c r="F64" s="2120"/>
      <c r="G64" s="2120"/>
      <c r="H64" s="2120"/>
      <c r="I64" s="2120"/>
      <c r="J64" s="2121"/>
    </row>
    <row r="65" spans="1:10" s="181" customFormat="1" x14ac:dyDescent="0.2">
      <c r="A65" s="253"/>
      <c r="B65" s="2119"/>
      <c r="C65" s="2120"/>
      <c r="D65" s="2120"/>
      <c r="E65" s="2120"/>
      <c r="F65" s="2120"/>
      <c r="G65" s="2120"/>
      <c r="H65" s="2120"/>
      <c r="I65" s="2120"/>
      <c r="J65" s="2121"/>
    </row>
    <row r="66" spans="1:10" s="181" customFormat="1" x14ac:dyDescent="0.2">
      <c r="A66" s="253"/>
      <c r="B66" s="2119"/>
      <c r="C66" s="2120"/>
      <c r="D66" s="2120"/>
      <c r="E66" s="2120"/>
      <c r="F66" s="2120"/>
      <c r="G66" s="2120"/>
      <c r="H66" s="2120"/>
      <c r="I66" s="2120"/>
      <c r="J66" s="2121"/>
    </row>
    <row r="67" spans="1:10" s="181" customFormat="1" ht="9" customHeight="1" x14ac:dyDescent="0.2">
      <c r="A67" s="254"/>
      <c r="B67" s="2122"/>
      <c r="C67" s="2123"/>
      <c r="D67" s="2123"/>
      <c r="E67" s="2123"/>
      <c r="F67" s="2123"/>
      <c r="G67" s="2123"/>
      <c r="H67" s="2123"/>
      <c r="I67" s="2123"/>
      <c r="J67" s="212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9" t="s">
        <v>1323</v>
      </c>
      <c r="B70" s="2112"/>
      <c r="C70" s="2112"/>
      <c r="D70" s="2112"/>
      <c r="E70" s="2113"/>
      <c r="F70" s="2113"/>
      <c r="G70" s="2113"/>
      <c r="H70" s="2113"/>
      <c r="I70" s="211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4" t="s">
        <v>1320</v>
      </c>
      <c r="B83" s="2114"/>
      <c r="C83" s="2114"/>
      <c r="D83" s="211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6"/>
      <c r="C102" s="2097"/>
      <c r="D102" s="2097"/>
      <c r="E102" s="2097"/>
      <c r="F102" s="2097"/>
      <c r="G102" s="2097"/>
      <c r="H102" s="2097"/>
      <c r="I102" s="2098"/>
    </row>
    <row r="103" spans="1:9" s="181" customFormat="1" ht="11.25" customHeight="1" x14ac:dyDescent="0.2">
      <c r="A103" s="316"/>
      <c r="B103" s="2099"/>
      <c r="C103" s="2100"/>
      <c r="D103" s="2100"/>
      <c r="E103" s="2100"/>
      <c r="F103" s="2100"/>
      <c r="G103" s="2100"/>
      <c r="H103" s="2100"/>
      <c r="I103" s="2101"/>
    </row>
    <row r="104" spans="1:9" s="181" customFormat="1" ht="11.25" customHeight="1" x14ac:dyDescent="0.2">
      <c r="A104" s="316"/>
      <c r="B104" s="2099"/>
      <c r="C104" s="2100"/>
      <c r="D104" s="2100"/>
      <c r="E104" s="2100"/>
      <c r="F104" s="2100"/>
      <c r="G104" s="2100"/>
      <c r="H104" s="2100"/>
      <c r="I104" s="2101"/>
    </row>
    <row r="105" spans="1:9" s="181" customFormat="1" x14ac:dyDescent="0.2">
      <c r="A105" s="316"/>
      <c r="B105" s="2099"/>
      <c r="C105" s="2100"/>
      <c r="D105" s="2100"/>
      <c r="E105" s="2100"/>
      <c r="F105" s="2100"/>
      <c r="G105" s="2100"/>
      <c r="H105" s="2100"/>
      <c r="I105" s="2101"/>
    </row>
    <row r="106" spans="1:9" s="181" customFormat="1" ht="11.25" customHeight="1" x14ac:dyDescent="0.2">
      <c r="A106" s="316"/>
      <c r="B106" s="2099"/>
      <c r="C106" s="2100"/>
      <c r="D106" s="2100"/>
      <c r="E106" s="2100"/>
      <c r="F106" s="2100"/>
      <c r="G106" s="2100"/>
      <c r="H106" s="2100"/>
      <c r="I106" s="2101"/>
    </row>
    <row r="107" spans="1:9" s="181" customFormat="1" ht="11.25" customHeight="1" x14ac:dyDescent="0.2">
      <c r="A107" s="316"/>
      <c r="B107" s="2099"/>
      <c r="C107" s="2100"/>
      <c r="D107" s="2100"/>
      <c r="E107" s="2100"/>
      <c r="F107" s="2100"/>
      <c r="G107" s="2100"/>
      <c r="H107" s="2100"/>
      <c r="I107" s="2101"/>
    </row>
    <row r="108" spans="1:9" s="181" customFormat="1" ht="11.25" customHeight="1" x14ac:dyDescent="0.2">
      <c r="A108" s="316"/>
      <c r="B108" s="2099"/>
      <c r="C108" s="2100"/>
      <c r="D108" s="2100"/>
      <c r="E108" s="2100"/>
      <c r="F108" s="2100"/>
      <c r="G108" s="2100"/>
      <c r="H108" s="2100"/>
      <c r="I108" s="2101"/>
    </row>
    <row r="109" spans="1:9" s="181" customFormat="1" ht="11.25" customHeight="1" x14ac:dyDescent="0.2">
      <c r="A109" s="316"/>
      <c r="B109" s="2099"/>
      <c r="C109" s="2100"/>
      <c r="D109" s="2100"/>
      <c r="E109" s="2100"/>
      <c r="F109" s="2100"/>
      <c r="G109" s="2100"/>
      <c r="H109" s="2100"/>
      <c r="I109" s="2101"/>
    </row>
    <row r="110" spans="1:9" s="181" customFormat="1" ht="11.25" customHeight="1" x14ac:dyDescent="0.2">
      <c r="A110" s="316"/>
      <c r="B110" s="2099"/>
      <c r="C110" s="2100"/>
      <c r="D110" s="2100"/>
      <c r="E110" s="2100"/>
      <c r="F110" s="2100"/>
      <c r="G110" s="2100"/>
      <c r="H110" s="2100"/>
      <c r="I110" s="2101"/>
    </row>
    <row r="111" spans="1:9" s="181" customFormat="1" ht="11.25" customHeight="1" x14ac:dyDescent="0.2">
      <c r="A111" s="316"/>
      <c r="B111" s="2099"/>
      <c r="C111" s="2100"/>
      <c r="D111" s="2100"/>
      <c r="E111" s="2100"/>
      <c r="F111" s="2100"/>
      <c r="G111" s="2100"/>
      <c r="H111" s="2100"/>
      <c r="I111" s="2101"/>
    </row>
    <row r="112" spans="1:9" s="181" customFormat="1" ht="11.25" customHeight="1" x14ac:dyDescent="0.2">
      <c r="A112" s="316"/>
      <c r="B112" s="2102"/>
      <c r="C112" s="2103"/>
      <c r="D112" s="2103"/>
      <c r="E112" s="2103"/>
      <c r="F112" s="2103"/>
      <c r="G112" s="2103"/>
      <c r="H112" s="2103"/>
      <c r="I112" s="210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5" t="s">
        <v>2072</v>
      </c>
      <c r="D114" s="210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6" t="s">
        <v>1330</v>
      </c>
      <c r="D117" s="2107"/>
      <c r="E117" s="2108"/>
      <c r="F117" s="2108"/>
      <c r="G117" s="2108"/>
      <c r="H117" s="2108"/>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1903</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5" t="s">
        <v>386</v>
      </c>
      <c r="B1" s="2125"/>
      <c r="C1" s="2125"/>
      <c r="D1" s="2125"/>
      <c r="E1" s="2125"/>
      <c r="F1" s="2125"/>
      <c r="G1" s="2125"/>
      <c r="H1" s="2125"/>
      <c r="I1" s="2125"/>
      <c r="J1" s="2125"/>
      <c r="K1" s="2125"/>
      <c r="L1" s="2125"/>
      <c r="M1" s="212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7463311883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2.3314999999999999E-2</v>
      </c>
      <c r="E10" s="356" t="s">
        <v>1005</v>
      </c>
      <c r="F10" s="355">
        <v>4.2770000000000004E-3</v>
      </c>
      <c r="G10" s="356" t="s">
        <v>1005</v>
      </c>
      <c r="H10" s="355">
        <v>1.175E-3</v>
      </c>
      <c r="I10" s="356" t="s">
        <v>1006</v>
      </c>
      <c r="J10" s="1730">
        <f>ROUND(D10+F10+H10,5)</f>
        <v>2.877E-2</v>
      </c>
      <c r="K10" s="222"/>
      <c r="L10" s="355">
        <v>3.4499999999999998E-4</v>
      </c>
      <c r="M10" s="222"/>
    </row>
    <row r="11" spans="1:14" ht="7.5" customHeight="1" x14ac:dyDescent="0.2">
      <c r="B11" s="222"/>
      <c r="C11" s="222"/>
      <c r="D11" s="2135" t="str">
        <f>IF(SUM(J10)&lt;=0.0999999,"","Enter the Tax Rates by moving the decimal two places to the left.")</f>
        <v/>
      </c>
      <c r="E11" s="2136"/>
      <c r="F11" s="2136"/>
      <c r="G11" s="2136"/>
      <c r="H11" s="2136"/>
      <c r="I11" s="2136"/>
      <c r="J11" s="213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254925785</v>
      </c>
      <c r="E16" s="356"/>
      <c r="F16" s="1731">
        <f>SUM('Acct Summary 7-8'!C17,'Acct Summary 7-8'!D17,'Acct Summary 7-8'!F17)</f>
        <v>235713047</v>
      </c>
      <c r="G16" s="356"/>
      <c r="H16" s="1731">
        <f>SUM(D16-F16)</f>
        <v>19212738</v>
      </c>
      <c r="I16" s="222"/>
      <c r="J16" s="1731">
        <f>SUM('Acct Summary 7-8'!C81,'Acct Summary 7-8'!D81,'Acct Summary 7-8'!F81,'Acct Summary 7-8'!I81)</f>
        <v>105417532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2067</v>
      </c>
      <c r="C31" s="367" t="s">
        <v>586</v>
      </c>
      <c r="D31" s="237" t="s">
        <v>1072</v>
      </c>
      <c r="E31" s="222"/>
      <c r="F31" s="222"/>
      <c r="G31" s="363"/>
      <c r="H31" s="1733">
        <f>IF(B31="X",(J7*0.069),IF(B32="X",(J7*0.138),"Enter x in a.or b."))</f>
        <v>514968519.92700005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6"/>
      <c r="C54" s="2127"/>
      <c r="D54" s="2127"/>
      <c r="E54" s="2127"/>
      <c r="F54" s="2127"/>
      <c r="G54" s="2127"/>
      <c r="H54" s="2127"/>
      <c r="I54" s="2127"/>
      <c r="J54" s="2127"/>
      <c r="K54" s="2127"/>
      <c r="L54" s="2128"/>
      <c r="M54" s="380"/>
    </row>
    <row r="55" spans="1:13" ht="12.75" customHeight="1" x14ac:dyDescent="0.2">
      <c r="B55" s="2129"/>
      <c r="C55" s="2130"/>
      <c r="D55" s="2130"/>
      <c r="E55" s="2130"/>
      <c r="F55" s="2130"/>
      <c r="G55" s="2130"/>
      <c r="H55" s="2130"/>
      <c r="I55" s="2130"/>
      <c r="J55" s="2130"/>
      <c r="K55" s="2130"/>
      <c r="L55" s="2131"/>
      <c r="M55" s="380"/>
    </row>
    <row r="56" spans="1:13" ht="12.75" customHeight="1" x14ac:dyDescent="0.2">
      <c r="B56" s="2129"/>
      <c r="C56" s="2130"/>
      <c r="D56" s="2130"/>
      <c r="E56" s="2130"/>
      <c r="F56" s="2130"/>
      <c r="G56" s="2130"/>
      <c r="H56" s="2130"/>
      <c r="I56" s="2130"/>
      <c r="J56" s="2130"/>
      <c r="K56" s="2130"/>
      <c r="L56" s="2131"/>
      <c r="M56" s="222"/>
    </row>
    <row r="57" spans="1:13" ht="12.75" customHeight="1" x14ac:dyDescent="0.2">
      <c r="B57" s="2129"/>
      <c r="C57" s="2130"/>
      <c r="D57" s="2130"/>
      <c r="E57" s="2130"/>
      <c r="F57" s="2130"/>
      <c r="G57" s="2130"/>
      <c r="H57" s="2130"/>
      <c r="I57" s="2130"/>
      <c r="J57" s="2130"/>
      <c r="K57" s="2130"/>
      <c r="L57" s="2131"/>
      <c r="M57" s="222"/>
    </row>
    <row r="58" spans="1:13" x14ac:dyDescent="0.2">
      <c r="B58" s="2132"/>
      <c r="C58" s="2133"/>
      <c r="D58" s="2133"/>
      <c r="E58" s="2133"/>
      <c r="F58" s="2133"/>
      <c r="G58" s="2133"/>
      <c r="H58" s="2133"/>
      <c r="I58" s="2133"/>
      <c r="J58" s="2133"/>
      <c r="K58" s="2133"/>
      <c r="L58" s="213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7"/>
      <c r="D61" s="213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O11" sqref="O1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0"/>
      <c r="B1" s="2141"/>
      <c r="C1" s="2141"/>
      <c r="D1" s="384"/>
      <c r="E1" s="384"/>
      <c r="F1" s="384"/>
      <c r="G1" s="384"/>
      <c r="H1" s="384"/>
      <c r="I1" s="384"/>
      <c r="J1" s="384"/>
      <c r="K1" s="384"/>
      <c r="L1" s="384"/>
      <c r="M1" s="384"/>
      <c r="N1" s="384"/>
      <c r="O1" s="2140"/>
      <c r="P1" s="2141"/>
      <c r="Q1" s="2141"/>
    </row>
    <row r="2" spans="1:18" ht="15" x14ac:dyDescent="0.2">
      <c r="A2" s="2144" t="s">
        <v>556</v>
      </c>
      <c r="B2" s="2144"/>
      <c r="C2" s="2144"/>
      <c r="D2" s="2144"/>
      <c r="E2" s="2144"/>
      <c r="F2" s="2144"/>
      <c r="G2" s="2144"/>
      <c r="H2" s="2144"/>
      <c r="I2" s="2144"/>
      <c r="J2" s="2144"/>
      <c r="K2" s="2144"/>
      <c r="L2" s="2144"/>
      <c r="M2" s="2144"/>
      <c r="N2" s="2144"/>
      <c r="O2" s="2144"/>
      <c r="P2" s="2144"/>
      <c r="Q2" s="2144"/>
      <c r="R2" s="2144"/>
    </row>
    <row r="3" spans="1:18" ht="12.75" x14ac:dyDescent="0.2">
      <c r="A3" s="2145" t="s">
        <v>1413</v>
      </c>
      <c r="B3" s="2145"/>
      <c r="C3" s="2145"/>
      <c r="D3" s="2145"/>
      <c r="E3" s="2145"/>
      <c r="F3" s="2145"/>
      <c r="G3" s="2145"/>
      <c r="H3" s="2145"/>
      <c r="I3" s="2145"/>
      <c r="J3" s="2145"/>
      <c r="K3" s="2145"/>
      <c r="L3" s="2145"/>
      <c r="M3" s="2145"/>
      <c r="N3" s="2145"/>
      <c r="O3" s="2145"/>
      <c r="P3" s="2145"/>
      <c r="Q3" s="2145"/>
      <c r="R3" s="2145"/>
    </row>
    <row r="4" spans="1:18" x14ac:dyDescent="0.2">
      <c r="A4" s="2146" t="s">
        <v>1554</v>
      </c>
      <c r="B4" s="2146"/>
      <c r="C4" s="2146"/>
      <c r="D4" s="2146"/>
      <c r="E4" s="2146"/>
      <c r="F4" s="2146"/>
      <c r="G4" s="2146"/>
      <c r="H4" s="2146"/>
      <c r="I4" s="2146"/>
      <c r="J4" s="2146"/>
      <c r="K4" s="2146"/>
      <c r="L4" s="2146"/>
      <c r="M4" s="2146"/>
      <c r="N4" s="2146"/>
      <c r="O4" s="2146"/>
      <c r="P4" s="2146"/>
      <c r="Q4" s="2146"/>
      <c r="R4" s="214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Township HSD 211</v>
      </c>
      <c r="E7" s="391"/>
      <c r="G7" s="252"/>
      <c r="H7" s="387"/>
      <c r="I7" s="387"/>
      <c r="J7" s="387"/>
      <c r="K7" s="387"/>
      <c r="L7" s="329"/>
      <c r="M7" s="329"/>
      <c r="N7" s="329"/>
      <c r="O7" s="329"/>
      <c r="P7" s="329"/>
    </row>
    <row r="8" spans="1:18" ht="12.75" x14ac:dyDescent="0.2">
      <c r="A8" s="329"/>
      <c r="B8" s="329"/>
      <c r="C8" s="389" t="s">
        <v>1125</v>
      </c>
      <c r="D8" s="392">
        <f>COVER!A13</f>
        <v>5016211017</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105417532</v>
      </c>
      <c r="I12" s="404"/>
      <c r="J12" s="404"/>
      <c r="K12" s="405">
        <f>TRUNC((H12/H13*100000),5)/100000</f>
        <v>0.41352243750000001</v>
      </c>
      <c r="L12" s="406"/>
      <c r="M12" s="360" t="s">
        <v>1144</v>
      </c>
      <c r="N12" s="360"/>
      <c r="O12" s="407">
        <v>0.35</v>
      </c>
      <c r="P12" s="218"/>
      <c r="Q12" s="218"/>
    </row>
    <row r="13" spans="1:18" s="408" customFormat="1" ht="12.75" x14ac:dyDescent="0.2">
      <c r="A13" s="218"/>
      <c r="B13" s="401"/>
      <c r="C13" s="2142" t="s">
        <v>1324</v>
      </c>
      <c r="D13" s="2143"/>
      <c r="E13" s="218"/>
      <c r="F13" s="409" t="s">
        <v>793</v>
      </c>
      <c r="G13" s="402"/>
      <c r="H13" s="403">
        <f>SUM('Acct Summary 7-8'!C8+'Acct Summary 7-8'!D8+'Acct Summary 7-8'!F8+'Acct Summary 7-8'!I8)+H14</f>
        <v>254925785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235713047</v>
      </c>
      <c r="I17" s="404"/>
      <c r="J17" s="416"/>
      <c r="K17" s="405">
        <f>TRUNC((H17/H18*100000),5)/100000</f>
        <v>0.92463399489999998</v>
      </c>
      <c r="L17" s="406"/>
      <c r="M17" s="417" t="s">
        <v>1171</v>
      </c>
      <c r="O17" s="418" t="str">
        <f>IF(AND(O16="2", J20 &gt; 2),"1",IF(AND(O16 = "1", J20 &gt; 2),"2",IF(AND(O16="1", J20 &gt;1),"1","0")))</f>
        <v>0</v>
      </c>
      <c r="P17" s="218"/>
    </row>
    <row r="18" spans="1:18" s="408" customFormat="1" ht="11.25" x14ac:dyDescent="0.2">
      <c r="A18" s="218"/>
      <c r="B18" s="401"/>
      <c r="C18" s="2142" t="s">
        <v>1317</v>
      </c>
      <c r="D18" s="2143"/>
      <c r="E18" s="218"/>
      <c r="F18" s="419" t="s">
        <v>794</v>
      </c>
      <c r="G18" s="402"/>
      <c r="H18" s="403">
        <f>SUM('Acct Summary 7-8'!C8+'Acct Summary 7-8'!D8+'Acct Summary 7-8'!F8+'Acct Summary 7-8'!I8)+H19</f>
        <v>254925785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39" t="s">
        <v>1412</v>
      </c>
      <c r="D24" s="2139"/>
      <c r="E24" s="218"/>
      <c r="F24" s="218" t="s">
        <v>445</v>
      </c>
      <c r="G24" s="402"/>
      <c r="H24" s="403">
        <f>SUM('Assets-Liab 5-6'!C4+'Assets-Liab 5-6'!D4+'Assets-Liab 5-6'!F4+'Assets-Liab 5-6'!I4+'Assets-Liab 5-6'!C5+'Assets-Liab 5-6'!D5+'Assets-Liab 5-6'!F5+'Assets-Liab 5-6'!I5)</f>
        <v>108232458</v>
      </c>
      <c r="I24" s="422"/>
      <c r="J24" s="422"/>
      <c r="K24" s="423">
        <f>TRUNC(((H24/H25*100000)/100000),2)</f>
        <v>165.3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654758.46389000001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182511560.44282001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514968519.92700005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pane="bottomLeft" activeCell="H28" sqref="H2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9" t="s">
        <v>973</v>
      </c>
      <c r="B3" s="2150"/>
      <c r="C3" s="1557"/>
      <c r="D3" s="1558"/>
      <c r="E3" s="1558"/>
      <c r="F3" s="1558"/>
      <c r="G3" s="1558"/>
      <c r="H3" s="1558"/>
      <c r="I3" s="1558"/>
      <c r="J3" s="1558"/>
      <c r="K3" s="1558"/>
      <c r="L3" s="1558"/>
      <c r="M3" s="1559"/>
      <c r="N3" s="1560"/>
    </row>
    <row r="4" spans="1:14" ht="13.5" customHeight="1" x14ac:dyDescent="0.2">
      <c r="A4" s="463" t="s">
        <v>1651</v>
      </c>
      <c r="B4" s="464"/>
      <c r="C4" s="465">
        <f>431895</f>
        <v>431895</v>
      </c>
      <c r="D4" s="466">
        <v>1163017</v>
      </c>
      <c r="E4" s="466">
        <v>661</v>
      </c>
      <c r="F4" s="466">
        <v>34958</v>
      </c>
      <c r="G4" s="466">
        <v>65660</v>
      </c>
      <c r="H4" s="466"/>
      <c r="I4" s="466">
        <v>98010</v>
      </c>
      <c r="J4" s="467"/>
      <c r="K4" s="466">
        <v>76348</v>
      </c>
      <c r="L4" s="466">
        <v>2274443</v>
      </c>
      <c r="M4" s="468"/>
      <c r="N4" s="469"/>
    </row>
    <row r="5" spans="1:14" x14ac:dyDescent="0.2">
      <c r="A5" s="463" t="s">
        <v>992</v>
      </c>
      <c r="B5" s="470">
        <v>120</v>
      </c>
      <c r="C5" s="465">
        <f>78207433</f>
        <v>78207433</v>
      </c>
      <c r="D5" s="466">
        <v>18503028</v>
      </c>
      <c r="E5" s="466">
        <v>6030</v>
      </c>
      <c r="F5" s="466">
        <v>5248374</v>
      </c>
      <c r="G5" s="466">
        <v>4317340</v>
      </c>
      <c r="H5" s="466">
        <v>166578</v>
      </c>
      <c r="I5" s="466">
        <v>4545743</v>
      </c>
      <c r="J5" s="467"/>
      <c r="K5" s="471">
        <v>1063106</v>
      </c>
      <c r="L5" s="472"/>
      <c r="M5" s="468"/>
      <c r="N5" s="469"/>
    </row>
    <row r="6" spans="1:14" ht="13.5" customHeight="1" x14ac:dyDescent="0.2">
      <c r="A6" s="473" t="s">
        <v>417</v>
      </c>
      <c r="B6" s="470">
        <v>130</v>
      </c>
      <c r="C6" s="465">
        <f>80081986</f>
        <v>80081986</v>
      </c>
      <c r="D6" s="466">
        <v>14696272</v>
      </c>
      <c r="E6" s="466"/>
      <c r="F6" s="466">
        <v>4038360</v>
      </c>
      <c r="G6" s="471">
        <v>5037268</v>
      </c>
      <c r="H6" s="471"/>
      <c r="I6" s="466">
        <v>1191942</v>
      </c>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2505346</v>
      </c>
      <c r="D8" s="467"/>
      <c r="E8" s="467"/>
      <c r="F8" s="467">
        <v>1077342</v>
      </c>
      <c r="G8" s="478"/>
      <c r="H8" s="467"/>
      <c r="I8" s="474"/>
      <c r="J8" s="474"/>
      <c r="K8" s="479"/>
      <c r="L8" s="480"/>
      <c r="M8" s="468"/>
      <c r="N8" s="469"/>
    </row>
    <row r="9" spans="1:14" ht="13.5" customHeight="1" x14ac:dyDescent="0.2">
      <c r="A9" s="473" t="s">
        <v>270</v>
      </c>
      <c r="B9" s="470">
        <v>160</v>
      </c>
      <c r="C9" s="476">
        <f>568611</f>
        <v>568611</v>
      </c>
      <c r="D9" s="467">
        <v>165725</v>
      </c>
      <c r="E9" s="467"/>
      <c r="F9" s="467">
        <v>46483</v>
      </c>
      <c r="G9" s="467">
        <v>30950</v>
      </c>
      <c r="H9" s="478">
        <v>18179</v>
      </c>
      <c r="I9" s="467">
        <f>30474</f>
        <v>30474</v>
      </c>
      <c r="J9" s="467"/>
      <c r="K9" s="467">
        <v>8467</v>
      </c>
      <c r="L9" s="467">
        <v>-8132</v>
      </c>
      <c r="M9" s="468"/>
      <c r="N9" s="469"/>
    </row>
    <row r="10" spans="1:14" ht="13.5" customHeight="1" x14ac:dyDescent="0.2">
      <c r="A10" s="473" t="s">
        <v>991</v>
      </c>
      <c r="B10" s="470">
        <v>170</v>
      </c>
      <c r="C10" s="465">
        <v>3339871</v>
      </c>
      <c r="D10" s="466"/>
      <c r="E10" s="467"/>
      <c r="F10" s="466"/>
      <c r="G10" s="478"/>
      <c r="H10" s="481"/>
      <c r="I10" s="467"/>
      <c r="J10" s="467"/>
      <c r="K10" s="481"/>
      <c r="L10" s="481"/>
      <c r="M10" s="469"/>
      <c r="N10" s="469"/>
    </row>
    <row r="11" spans="1:14" ht="13.5" customHeight="1" x14ac:dyDescent="0.2">
      <c r="A11" s="473" t="s">
        <v>271</v>
      </c>
      <c r="B11" s="470">
        <v>180</v>
      </c>
      <c r="C11" s="476">
        <v>64000</v>
      </c>
      <c r="D11" s="467">
        <v>345864</v>
      </c>
      <c r="E11" s="467"/>
      <c r="F11" s="467">
        <v>78963</v>
      </c>
      <c r="G11" s="467"/>
      <c r="H11" s="467"/>
      <c r="I11" s="478"/>
      <c r="J11" s="478"/>
      <c r="K11" s="467"/>
      <c r="L11" s="467"/>
      <c r="M11" s="469"/>
      <c r="N11" s="469"/>
    </row>
    <row r="12" spans="1:14" ht="13.5" customHeight="1" x14ac:dyDescent="0.2">
      <c r="A12" s="473" t="s">
        <v>419</v>
      </c>
      <c r="B12" s="470">
        <v>190</v>
      </c>
      <c r="C12" s="465">
        <v>200570</v>
      </c>
      <c r="D12" s="466"/>
      <c r="E12" s="466"/>
      <c r="F12" s="466"/>
      <c r="G12" s="466"/>
      <c r="H12" s="466"/>
      <c r="I12" s="466"/>
      <c r="J12" s="467"/>
      <c r="K12" s="466"/>
      <c r="L12" s="466"/>
      <c r="M12" s="469"/>
      <c r="N12" s="469"/>
    </row>
    <row r="13" spans="1:14" ht="13.5" customHeight="1" thickBot="1" x14ac:dyDescent="0.25">
      <c r="A13" s="1734" t="s">
        <v>644</v>
      </c>
      <c r="B13" s="1707"/>
      <c r="C13" s="1735">
        <f>SUM(C4:C12)</f>
        <v>165399712</v>
      </c>
      <c r="D13" s="1735">
        <f t="shared" ref="D13:L13" si="0">SUM(D4:D12)</f>
        <v>34873906</v>
      </c>
      <c r="E13" s="1735">
        <f t="shared" si="0"/>
        <v>6691</v>
      </c>
      <c r="F13" s="1735">
        <f t="shared" si="0"/>
        <v>10524480</v>
      </c>
      <c r="G13" s="1735">
        <f t="shared" si="0"/>
        <v>9451218</v>
      </c>
      <c r="H13" s="1735">
        <f t="shared" si="0"/>
        <v>184757</v>
      </c>
      <c r="I13" s="1735">
        <f t="shared" si="0"/>
        <v>5866169</v>
      </c>
      <c r="J13" s="1735">
        <f t="shared" si="0"/>
        <v>0</v>
      </c>
      <c r="K13" s="1735">
        <f t="shared" si="0"/>
        <v>1147921</v>
      </c>
      <c r="L13" s="1735">
        <f t="shared" si="0"/>
        <v>2266311</v>
      </c>
      <c r="M13" s="468"/>
      <c r="N13" s="469"/>
    </row>
    <row r="14" spans="1:14" ht="18" customHeight="1" thickTop="1" x14ac:dyDescent="0.2">
      <c r="A14" s="2151" t="s">
        <v>147</v>
      </c>
      <c r="B14" s="2152"/>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1456291</v>
      </c>
      <c r="N16" s="484"/>
    </row>
    <row r="17" spans="1:14" s="485" customFormat="1" ht="12.75" customHeight="1" x14ac:dyDescent="0.2">
      <c r="A17" s="482" t="s">
        <v>1403</v>
      </c>
      <c r="B17" s="483">
        <v>230</v>
      </c>
      <c r="C17" s="477"/>
      <c r="D17" s="477"/>
      <c r="E17" s="477"/>
      <c r="F17" s="477"/>
      <c r="G17" s="477"/>
      <c r="H17" s="477"/>
      <c r="I17" s="477"/>
      <c r="J17" s="477"/>
      <c r="K17" s="477"/>
      <c r="L17" s="477"/>
      <c r="M17" s="467">
        <v>326958180</v>
      </c>
      <c r="N17" s="484"/>
    </row>
    <row r="18" spans="1:14" s="485" customFormat="1" ht="12.75" customHeight="1" x14ac:dyDescent="0.2">
      <c r="A18" s="482" t="s">
        <v>1404</v>
      </c>
      <c r="B18" s="483">
        <v>240</v>
      </c>
      <c r="C18" s="477"/>
      <c r="D18" s="477"/>
      <c r="E18" s="477"/>
      <c r="F18" s="477"/>
      <c r="G18" s="477"/>
      <c r="H18" s="477"/>
      <c r="I18" s="477"/>
      <c r="J18" s="477"/>
      <c r="K18" s="477"/>
      <c r="L18" s="477"/>
      <c r="M18" s="467">
        <v>44468147</v>
      </c>
      <c r="N18" s="484"/>
    </row>
    <row r="19" spans="1:14" s="485" customFormat="1" ht="12.75" customHeight="1" x14ac:dyDescent="0.2">
      <c r="A19" s="482" t="s">
        <v>1405</v>
      </c>
      <c r="B19" s="483">
        <v>250</v>
      </c>
      <c r="C19" s="477"/>
      <c r="D19" s="477"/>
      <c r="E19" s="477"/>
      <c r="F19" s="477"/>
      <c r="G19" s="477"/>
      <c r="H19" s="477"/>
      <c r="I19" s="477"/>
      <c r="J19" s="477"/>
      <c r="K19" s="477"/>
      <c r="L19" s="477"/>
      <c r="M19" s="467">
        <f>30416543+13116995</f>
        <v>43533538</v>
      </c>
      <c r="N19" s="484"/>
    </row>
    <row r="20" spans="1:14" s="485" customFormat="1" ht="12.75" customHeight="1" x14ac:dyDescent="0.2">
      <c r="A20" s="482" t="s">
        <v>1406</v>
      </c>
      <c r="B20" s="483">
        <v>260</v>
      </c>
      <c r="C20" s="477"/>
      <c r="D20" s="477"/>
      <c r="E20" s="477"/>
      <c r="F20" s="477"/>
      <c r="G20" s="477"/>
      <c r="H20" s="477"/>
      <c r="I20" s="477"/>
      <c r="J20" s="477"/>
      <c r="K20" s="477"/>
      <c r="L20" s="477"/>
      <c r="M20" s="467">
        <v>8110088</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4" t="s">
        <v>643</v>
      </c>
      <c r="B23" s="1739"/>
      <c r="C23" s="468"/>
      <c r="D23" s="468"/>
      <c r="E23" s="468"/>
      <c r="F23" s="468"/>
      <c r="G23" s="468"/>
      <c r="H23" s="468"/>
      <c r="I23" s="468"/>
      <c r="J23" s="468"/>
      <c r="K23" s="468"/>
      <c r="L23" s="468"/>
      <c r="M23" s="1686">
        <f>SUM(M15:M22)</f>
        <v>424526244</v>
      </c>
      <c r="N23" s="1686">
        <f>SUM(N21:N22)</f>
        <v>0</v>
      </c>
    </row>
    <row r="24" spans="1:14" ht="18" customHeight="1" thickTop="1" x14ac:dyDescent="0.2">
      <c r="A24" s="2153" t="s">
        <v>598</v>
      </c>
      <c r="B24" s="2154"/>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f>3555390+91201+1944057+325432</f>
        <v>5916080</v>
      </c>
      <c r="D27" s="467">
        <v>544289</v>
      </c>
      <c r="E27" s="467">
        <v>1902</v>
      </c>
      <c r="F27" s="467">
        <v>104525</v>
      </c>
      <c r="G27" s="467"/>
      <c r="H27" s="467">
        <v>1197544</v>
      </c>
      <c r="I27" s="467"/>
      <c r="J27" s="467"/>
      <c r="K27" s="467">
        <v>46235</v>
      </c>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1038608</v>
      </c>
      <c r="D30" s="474">
        <v>106238</v>
      </c>
      <c r="E30" s="467"/>
      <c r="F30" s="467">
        <v>142638</v>
      </c>
      <c r="G30" s="467">
        <f>78573-149+206677</f>
        <v>285101</v>
      </c>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f>82171351+183865</f>
        <v>82355216</v>
      </c>
      <c r="D32" s="492">
        <f>31455+14855579+852707</f>
        <v>15739741</v>
      </c>
      <c r="E32" s="474"/>
      <c r="F32" s="474">
        <f>7802+4081637</f>
        <v>4089439</v>
      </c>
      <c r="G32" s="474">
        <f>10483+4600349</f>
        <v>4610832</v>
      </c>
      <c r="H32" s="474">
        <v>10243</v>
      </c>
      <c r="I32" s="474">
        <f>-533+1210494</f>
        <v>1209961</v>
      </c>
      <c r="J32" s="474"/>
      <c r="K32" s="479">
        <v>4771</v>
      </c>
      <c r="L32" s="468"/>
      <c r="M32" s="468"/>
      <c r="N32" s="468"/>
    </row>
    <row r="33" spans="1:14" ht="13.5" customHeight="1" x14ac:dyDescent="0.2">
      <c r="A33" s="493" t="s">
        <v>303</v>
      </c>
      <c r="B33" s="491">
        <v>493</v>
      </c>
      <c r="C33" s="467"/>
      <c r="D33" s="467"/>
      <c r="E33" s="467"/>
      <c r="F33" s="467"/>
      <c r="G33" s="467"/>
      <c r="H33" s="467"/>
      <c r="I33" s="467"/>
      <c r="J33" s="467"/>
      <c r="K33" s="467"/>
      <c r="L33" s="467">
        <v>2266311</v>
      </c>
      <c r="M33" s="468"/>
      <c r="N33" s="469"/>
    </row>
    <row r="34" spans="1:14" ht="13.5" customHeight="1" thickBot="1" x14ac:dyDescent="0.25">
      <c r="A34" s="1736" t="s">
        <v>654</v>
      </c>
      <c r="B34" s="1737"/>
      <c r="C34" s="1738">
        <f>SUM(C25:C33)</f>
        <v>89309904</v>
      </c>
      <c r="D34" s="1738">
        <f t="shared" ref="D34:K34" si="1">SUM(D25:D33)</f>
        <v>16390268</v>
      </c>
      <c r="E34" s="1738">
        <f t="shared" si="1"/>
        <v>1902</v>
      </c>
      <c r="F34" s="1738">
        <f t="shared" si="1"/>
        <v>4336602</v>
      </c>
      <c r="G34" s="1738">
        <f t="shared" si="1"/>
        <v>4895933</v>
      </c>
      <c r="H34" s="1738">
        <f t="shared" si="1"/>
        <v>1207787</v>
      </c>
      <c r="I34" s="1738">
        <f t="shared" si="1"/>
        <v>1209961</v>
      </c>
      <c r="J34" s="1738">
        <f t="shared" si="1"/>
        <v>0</v>
      </c>
      <c r="K34" s="1738">
        <f t="shared" si="1"/>
        <v>51006</v>
      </c>
      <c r="L34" s="1719">
        <f>SUM(L33)</f>
        <v>2266311</v>
      </c>
      <c r="M34" s="468"/>
      <c r="N34" s="480"/>
    </row>
    <row r="35" spans="1:14" ht="18" customHeight="1" thickTop="1" x14ac:dyDescent="0.2">
      <c r="A35" s="2155" t="s">
        <v>529</v>
      </c>
      <c r="B35" s="2156"/>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4" t="s">
        <v>653</v>
      </c>
      <c r="B37" s="1739"/>
      <c r="C37" s="477"/>
      <c r="D37" s="477"/>
      <c r="E37" s="477"/>
      <c r="F37" s="477"/>
      <c r="G37" s="477"/>
      <c r="H37" s="477"/>
      <c r="I37" s="477"/>
      <c r="J37" s="477"/>
      <c r="K37" s="477"/>
      <c r="L37" s="480"/>
      <c r="M37" s="468"/>
      <c r="N37" s="1686">
        <f>SUM(N36:N36)</f>
        <v>0</v>
      </c>
    </row>
    <row r="38" spans="1:14" s="329" customFormat="1" ht="13.5" customHeight="1" thickTop="1" x14ac:dyDescent="0.2">
      <c r="A38" s="496" t="s">
        <v>420</v>
      </c>
      <c r="B38" s="483">
        <v>714</v>
      </c>
      <c r="C38" s="466">
        <v>0</v>
      </c>
      <c r="D38" s="466">
        <f>14602375+3881263</f>
        <v>18483638</v>
      </c>
      <c r="E38" s="466">
        <f>12148-7359</f>
        <v>4789</v>
      </c>
      <c r="F38" s="466">
        <f>5743535+444343</f>
        <v>6187878</v>
      </c>
      <c r="G38" s="466">
        <v>4555285</v>
      </c>
      <c r="H38" s="466">
        <f>10470558-11493588</f>
        <v>-1023030</v>
      </c>
      <c r="I38" s="466">
        <v>0</v>
      </c>
      <c r="J38" s="467">
        <v>0</v>
      </c>
      <c r="K38" s="466">
        <f>2142220-1045305</f>
        <v>1096915</v>
      </c>
      <c r="L38" s="481">
        <v>0</v>
      </c>
      <c r="M38" s="497"/>
      <c r="N38" s="497"/>
    </row>
    <row r="39" spans="1:14" s="329" customFormat="1" ht="13.5" customHeight="1" x14ac:dyDescent="0.2">
      <c r="A39" s="496" t="s">
        <v>342</v>
      </c>
      <c r="B39" s="483">
        <v>730</v>
      </c>
      <c r="C39" s="466">
        <v>76089808</v>
      </c>
      <c r="D39" s="466">
        <v>0</v>
      </c>
      <c r="E39" s="466">
        <v>0</v>
      </c>
      <c r="F39" s="466">
        <v>0</v>
      </c>
      <c r="G39" s="466">
        <v>0</v>
      </c>
      <c r="H39" s="466">
        <v>0</v>
      </c>
      <c r="I39" s="466">
        <f>2600013+2056195</f>
        <v>4656208</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424526244</v>
      </c>
      <c r="N40" s="497"/>
    </row>
    <row r="41" spans="1:14" ht="13.5" customHeight="1" thickBot="1" x14ac:dyDescent="0.25">
      <c r="A41" s="1734" t="s">
        <v>655</v>
      </c>
      <c r="B41" s="1704"/>
      <c r="C41" s="1686">
        <f>(SUM(C34,C37,C38,C39))</f>
        <v>165399712</v>
      </c>
      <c r="D41" s="1686">
        <f t="shared" ref="D41:L41" si="2">SUM(D34,D37,D38:D39)</f>
        <v>34873906</v>
      </c>
      <c r="E41" s="1686">
        <f t="shared" si="2"/>
        <v>6691</v>
      </c>
      <c r="F41" s="1686">
        <f t="shared" si="2"/>
        <v>10524480</v>
      </c>
      <c r="G41" s="1686">
        <f t="shared" si="2"/>
        <v>9451218</v>
      </c>
      <c r="H41" s="1686">
        <f t="shared" si="2"/>
        <v>184757</v>
      </c>
      <c r="I41" s="1686">
        <f t="shared" si="2"/>
        <v>5866169</v>
      </c>
      <c r="J41" s="1686">
        <f t="shared" si="2"/>
        <v>0</v>
      </c>
      <c r="K41" s="1686">
        <f t="shared" si="2"/>
        <v>1147921</v>
      </c>
      <c r="L41" s="1686">
        <f t="shared" si="2"/>
        <v>2266311</v>
      </c>
      <c r="M41" s="1686">
        <f>SUM(M40)</f>
        <v>424526244</v>
      </c>
      <c r="N41" s="1686">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18" sqref="C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6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77" t="s">
        <v>1175</v>
      </c>
      <c r="B3" s="2178"/>
      <c r="C3" s="1571"/>
      <c r="D3" s="1572"/>
      <c r="E3" s="1572"/>
      <c r="F3" s="1572"/>
      <c r="G3" s="1572"/>
      <c r="H3" s="1572"/>
      <c r="I3" s="1572"/>
      <c r="J3" s="1572"/>
      <c r="K3" s="1573"/>
      <c r="L3" s="506"/>
    </row>
    <row r="4" spans="1:13" ht="15.75" customHeight="1" x14ac:dyDescent="0.2">
      <c r="A4" s="1926" t="s">
        <v>1499</v>
      </c>
      <c r="B4" s="1927">
        <v>1000</v>
      </c>
      <c r="C4" s="1740">
        <f>'Revenues 9-14'!C109</f>
        <v>181609361</v>
      </c>
      <c r="D4" s="1740">
        <f>'Revenues 9-14'!D109</f>
        <v>33436009</v>
      </c>
      <c r="E4" s="1740">
        <f>'Revenues 9-14'!E109</f>
        <v>-7359</v>
      </c>
      <c r="F4" s="1740">
        <f>'Revenues 9-14'!F109</f>
        <v>8930224</v>
      </c>
      <c r="G4" s="1740">
        <f>'Revenues 9-14'!G109</f>
        <v>10367964</v>
      </c>
      <c r="H4" s="1740">
        <f>'Revenues 9-14'!H109</f>
        <v>131643</v>
      </c>
      <c r="I4" s="1740">
        <f>'Revenues 9-14'!I109</f>
        <v>2600013</v>
      </c>
      <c r="J4" s="1740">
        <f>'Revenues 9-14'!J109</f>
        <v>0</v>
      </c>
      <c r="K4" s="1740">
        <f>'Revenues 9-14'!K109</f>
        <v>37988</v>
      </c>
      <c r="L4" s="347"/>
    </row>
    <row r="5" spans="1:13" ht="15.75" customHeight="1" x14ac:dyDescent="0.2">
      <c r="A5" s="1574" t="s">
        <v>1500</v>
      </c>
      <c r="B5" s="1575">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4" t="s">
        <v>1501</v>
      </c>
      <c r="B6" s="1576">
        <v>3000</v>
      </c>
      <c r="C6" s="1741">
        <f>'Revenues 9-14'!C170</f>
        <v>14671541</v>
      </c>
      <c r="D6" s="1741">
        <f>'Revenues 9-14'!D170</f>
        <v>0</v>
      </c>
      <c r="E6" s="1741">
        <f>'Revenues 9-14'!E170</f>
        <v>0</v>
      </c>
      <c r="F6" s="1741">
        <f>'Revenues 9-14'!F170</f>
        <v>5486941</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1502</v>
      </c>
      <c r="B7" s="1576">
        <v>4000</v>
      </c>
      <c r="C7" s="1741">
        <f>'Revenues 9-14'!C267</f>
        <v>8191696</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204472598</v>
      </c>
      <c r="D8" s="1686">
        <f t="shared" ref="D8:K8" si="0">SUM(D4:D7)</f>
        <v>33436009</v>
      </c>
      <c r="E8" s="1686">
        <f t="shared" si="0"/>
        <v>-7359</v>
      </c>
      <c r="F8" s="1686">
        <f t="shared" si="0"/>
        <v>14417165</v>
      </c>
      <c r="G8" s="1686">
        <f t="shared" si="0"/>
        <v>10367964</v>
      </c>
      <c r="H8" s="1686">
        <f t="shared" si="0"/>
        <v>131643</v>
      </c>
      <c r="I8" s="1686">
        <f t="shared" si="0"/>
        <v>2600013</v>
      </c>
      <c r="J8" s="1686">
        <f t="shared" si="0"/>
        <v>0</v>
      </c>
      <c r="K8" s="1686">
        <f t="shared" si="0"/>
        <v>37988</v>
      </c>
      <c r="L8" s="347"/>
    </row>
    <row r="9" spans="1:13" ht="15.75" thickTop="1" x14ac:dyDescent="0.2">
      <c r="A9" s="514" t="s">
        <v>1653</v>
      </c>
      <c r="B9" s="515">
        <v>3998</v>
      </c>
      <c r="C9" s="481">
        <v>50064023</v>
      </c>
      <c r="D9" s="516"/>
      <c r="E9" s="481"/>
      <c r="F9" s="481"/>
      <c r="G9" s="517"/>
      <c r="H9" s="481"/>
      <c r="I9" s="509" t="s">
        <v>1169</v>
      </c>
      <c r="J9" s="478"/>
      <c r="K9" s="481"/>
      <c r="L9" s="347"/>
    </row>
    <row r="10" spans="1:13" s="519" customFormat="1" ht="13.5" thickBot="1" x14ac:dyDescent="0.25">
      <c r="A10" s="1734" t="s">
        <v>1173</v>
      </c>
      <c r="B10" s="1707"/>
      <c r="C10" s="1686">
        <f>SUM(C8:C9)</f>
        <v>254536621</v>
      </c>
      <c r="D10" s="1686">
        <f t="shared" ref="D10:K10" si="1">SUM(D8:D9)</f>
        <v>33436009</v>
      </c>
      <c r="E10" s="1686">
        <f t="shared" si="1"/>
        <v>-7359</v>
      </c>
      <c r="F10" s="1686">
        <f t="shared" si="1"/>
        <v>14417165</v>
      </c>
      <c r="G10" s="1686">
        <f t="shared" si="1"/>
        <v>10367964</v>
      </c>
      <c r="H10" s="1686">
        <f t="shared" si="1"/>
        <v>131643</v>
      </c>
      <c r="I10" s="1686">
        <f t="shared" si="1"/>
        <v>2600013</v>
      </c>
      <c r="J10" s="1686">
        <f t="shared" si="1"/>
        <v>0</v>
      </c>
      <c r="K10" s="1686">
        <f t="shared" si="1"/>
        <v>37988</v>
      </c>
      <c r="L10" s="518"/>
    </row>
    <row r="11" spans="1:13" s="519" customFormat="1" ht="16.7" customHeight="1" thickTop="1" x14ac:dyDescent="0.2">
      <c r="A11" s="2151" t="s">
        <v>1176</v>
      </c>
      <c r="B11" s="2152"/>
      <c r="C11" s="1568"/>
      <c r="D11" s="1569"/>
      <c r="E11" s="1569"/>
      <c r="F11" s="1569"/>
      <c r="G11" s="1569"/>
      <c r="H11" s="1569"/>
      <c r="I11" s="1569"/>
      <c r="J11" s="1569"/>
      <c r="K11" s="1570"/>
      <c r="L11" s="518"/>
    </row>
    <row r="12" spans="1:13" ht="15.75" customHeight="1" x14ac:dyDescent="0.2">
      <c r="A12" s="1574" t="s">
        <v>456</v>
      </c>
      <c r="B12" s="1576">
        <v>1000</v>
      </c>
      <c r="C12" s="1740">
        <f>'Expenditures 15-22'!K33</f>
        <v>137265441</v>
      </c>
      <c r="D12" s="520" t="s">
        <v>1169</v>
      </c>
      <c r="E12" s="468" t="s">
        <v>1169</v>
      </c>
      <c r="F12" s="468" t="s">
        <v>1169</v>
      </c>
      <c r="G12" s="1740">
        <f>'Expenditures 15-22'!K229</f>
        <v>3535124</v>
      </c>
      <c r="H12" s="521"/>
      <c r="I12" s="468" t="s">
        <v>1169</v>
      </c>
      <c r="J12" s="468" t="s">
        <v>1169</v>
      </c>
      <c r="K12" s="521" t="s">
        <v>1169</v>
      </c>
      <c r="L12" s="347"/>
    </row>
    <row r="13" spans="1:13" ht="15.75" customHeight="1" x14ac:dyDescent="0.2">
      <c r="A13" s="1574" t="s">
        <v>457</v>
      </c>
      <c r="B13" s="1576">
        <v>2000</v>
      </c>
      <c r="C13" s="1741">
        <f>'Expenditures 15-22'!K74</f>
        <v>50642811</v>
      </c>
      <c r="D13" s="1741">
        <f>'Expenditures 15-22'!K129</f>
        <v>26554746</v>
      </c>
      <c r="E13" s="469" t="s">
        <v>1169</v>
      </c>
      <c r="F13" s="1741">
        <f>'Expenditures 15-22'!K184</f>
        <v>12972822</v>
      </c>
      <c r="G13" s="1741">
        <f>'Expenditures 15-22'!K279</f>
        <v>7263186</v>
      </c>
      <c r="H13" s="1741">
        <f>'Expenditures 15-22'!K303</f>
        <v>11625231</v>
      </c>
      <c r="I13" s="468" t="s">
        <v>1169</v>
      </c>
      <c r="J13" s="1741">
        <f>'Expenditures 15-22'!K330</f>
        <v>0</v>
      </c>
      <c r="K13" s="1745">
        <f>'Expenditures 15-22'!K352</f>
        <v>1083293</v>
      </c>
      <c r="L13" s="347"/>
    </row>
    <row r="14" spans="1:13" ht="15.75" customHeight="1" x14ac:dyDescent="0.2">
      <c r="A14" s="1574" t="s">
        <v>449</v>
      </c>
      <c r="B14" s="1576">
        <v>3000</v>
      </c>
      <c r="C14" s="1741">
        <f>'Expenditures 15-22'!K75</f>
        <v>11706</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4" t="s">
        <v>107</v>
      </c>
      <c r="B15" s="1576">
        <v>4000</v>
      </c>
      <c r="C15" s="1741">
        <f>'Expenditures 15-22'!K102</f>
        <v>8265521</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4" t="s">
        <v>450</v>
      </c>
      <c r="B16" s="1576">
        <v>5000</v>
      </c>
      <c r="C16" s="1741">
        <f>'Expenditures 15-22'!K112</f>
        <v>0</v>
      </c>
      <c r="D16" s="1741">
        <f>'Expenditures 15-22'!K149</f>
        <v>0</v>
      </c>
      <c r="E16" s="1741">
        <f>'Expenditures 15-22'!K172</f>
        <v>437103</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196185479</v>
      </c>
      <c r="D17" s="1686">
        <f t="shared" si="2"/>
        <v>26554746</v>
      </c>
      <c r="E17" s="1686">
        <f t="shared" si="2"/>
        <v>437103</v>
      </c>
      <c r="F17" s="1686">
        <f t="shared" si="2"/>
        <v>12972822</v>
      </c>
      <c r="G17" s="1686">
        <f t="shared" si="2"/>
        <v>10798310</v>
      </c>
      <c r="H17" s="1686">
        <f t="shared" si="2"/>
        <v>11625231</v>
      </c>
      <c r="I17" s="468"/>
      <c r="J17" s="1686">
        <f>SUM(J12:J16)</f>
        <v>0</v>
      </c>
      <c r="K17" s="1686">
        <f>SUM(K12:K16)</f>
        <v>1083293</v>
      </c>
      <c r="L17" s="347"/>
    </row>
    <row r="18" spans="1:12" ht="15" customHeight="1" thickTop="1" x14ac:dyDescent="0.2">
      <c r="A18" s="1742" t="s">
        <v>1654</v>
      </c>
      <c r="B18" s="1743">
        <v>4180</v>
      </c>
      <c r="C18" s="1740">
        <f t="shared" ref="C18:H18" si="3">C9</f>
        <v>50064023</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246249502</v>
      </c>
      <c r="D19" s="1686">
        <f t="shared" si="4"/>
        <v>26554746</v>
      </c>
      <c r="E19" s="1686">
        <f t="shared" si="4"/>
        <v>437103</v>
      </c>
      <c r="F19" s="1686">
        <f t="shared" si="4"/>
        <v>12972822</v>
      </c>
      <c r="G19" s="1686">
        <f t="shared" si="4"/>
        <v>10798310</v>
      </c>
      <c r="H19" s="1686">
        <f t="shared" si="4"/>
        <v>11625231</v>
      </c>
      <c r="I19" s="468"/>
      <c r="J19" s="1686">
        <f>SUM(J17:J18)</f>
        <v>0</v>
      </c>
      <c r="K19" s="1686">
        <f>SUM(K17:K18)</f>
        <v>1083293</v>
      </c>
      <c r="L19" s="347"/>
    </row>
    <row r="20" spans="1:12" ht="16.5" thickTop="1" thickBot="1" x14ac:dyDescent="0.25">
      <c r="A20" s="2167" t="s">
        <v>1655</v>
      </c>
      <c r="B20" s="2168"/>
      <c r="C20" s="1744">
        <f>C8-C17</f>
        <v>8287119</v>
      </c>
      <c r="D20" s="1744">
        <f t="shared" ref="D20:K20" si="5">D8-D17</f>
        <v>6881263</v>
      </c>
      <c r="E20" s="1744">
        <f t="shared" si="5"/>
        <v>-444462</v>
      </c>
      <c r="F20" s="1744">
        <f t="shared" si="5"/>
        <v>1444343</v>
      </c>
      <c r="G20" s="1744">
        <f t="shared" si="5"/>
        <v>-430346</v>
      </c>
      <c r="H20" s="1744">
        <f t="shared" si="5"/>
        <v>-11493588</v>
      </c>
      <c r="I20" s="1744">
        <f t="shared" si="5"/>
        <v>2600013</v>
      </c>
      <c r="J20" s="1744">
        <f t="shared" si="5"/>
        <v>0</v>
      </c>
      <c r="K20" s="1744">
        <f t="shared" si="5"/>
        <v>-1045305</v>
      </c>
      <c r="L20" s="347"/>
    </row>
    <row r="21" spans="1:12" ht="16.7" customHeight="1" thickTop="1" x14ac:dyDescent="0.2">
      <c r="A21" s="2179" t="s">
        <v>595</v>
      </c>
      <c r="B21" s="2180"/>
      <c r="C21" s="1568"/>
      <c r="D21" s="1569"/>
      <c r="E21" s="1569"/>
      <c r="F21" s="1569"/>
      <c r="G21" s="1569"/>
      <c r="H21" s="1569"/>
      <c r="I21" s="1569"/>
      <c r="J21" s="1569"/>
      <c r="K21" s="1570"/>
      <c r="L21" s="524"/>
    </row>
    <row r="22" spans="1:12" ht="15.75" customHeight="1" collapsed="1" x14ac:dyDescent="0.2">
      <c r="A22" s="2175" t="s">
        <v>596</v>
      </c>
      <c r="B22" s="2176"/>
      <c r="C22" s="477"/>
      <c r="D22" s="477"/>
      <c r="E22" s="477"/>
      <c r="F22" s="477"/>
      <c r="G22" s="477"/>
      <c r="H22" s="477"/>
      <c r="I22" s="477"/>
      <c r="J22" s="477"/>
      <c r="K22" s="477"/>
      <c r="L22" s="347"/>
    </row>
    <row r="23" spans="1:12" s="485" customFormat="1" ht="15.75" customHeight="1" x14ac:dyDescent="0.2">
      <c r="A23" s="2171" t="s">
        <v>293</v>
      </c>
      <c r="B23" s="2172"/>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1792</v>
      </c>
      <c r="B30" s="527">
        <v>7160</v>
      </c>
      <c r="C30" s="477"/>
      <c r="D30" s="467"/>
      <c r="E30" s="477"/>
      <c r="F30" s="477"/>
      <c r="G30" s="477"/>
      <c r="H30" s="477"/>
      <c r="I30" s="477"/>
      <c r="J30" s="477"/>
      <c r="K30" s="477"/>
      <c r="L30" s="524"/>
    </row>
    <row r="31" spans="1:12" s="485" customFormat="1" ht="26.25" x14ac:dyDescent="0.2">
      <c r="A31" s="1487" t="s">
        <v>1796</v>
      </c>
      <c r="B31" s="527">
        <v>7170</v>
      </c>
      <c r="C31" s="477"/>
      <c r="D31" s="477"/>
      <c r="E31" s="474"/>
      <c r="F31" s="477"/>
      <c r="G31" s="477"/>
      <c r="H31" s="477"/>
      <c r="I31" s="477"/>
      <c r="J31" s="477"/>
      <c r="K31" s="477"/>
      <c r="L31" s="524"/>
    </row>
    <row r="32" spans="1:12" s="485" customFormat="1" ht="15.75" customHeight="1" x14ac:dyDescent="0.2">
      <c r="A32" s="2173" t="s">
        <v>981</v>
      </c>
      <c r="B32" s="2174"/>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1">
        <f>SUM(C54:D57,H54:H57)</f>
        <v>433118</v>
      </c>
      <c r="F37" s="475"/>
      <c r="G37" s="475"/>
      <c r="H37" s="475"/>
      <c r="I37" s="477"/>
      <c r="J37" s="475"/>
      <c r="K37" s="475"/>
      <c r="L37" s="524"/>
    </row>
    <row r="38" spans="1:12" s="485" customFormat="1" x14ac:dyDescent="0.2">
      <c r="A38" s="1487" t="s">
        <v>442</v>
      </c>
      <c r="B38" s="525">
        <v>7500</v>
      </c>
      <c r="C38" s="477"/>
      <c r="D38" s="477"/>
      <c r="E38" s="1741">
        <f>SUM(C58:D61,H58:H61)</f>
        <v>3985</v>
      </c>
      <c r="F38" s="477"/>
      <c r="G38" s="477"/>
      <c r="H38" s="477"/>
      <c r="I38" s="477"/>
      <c r="J38" s="477"/>
      <c r="K38" s="477"/>
      <c r="L38" s="524"/>
    </row>
    <row r="39" spans="1:12" s="485" customFormat="1" x14ac:dyDescent="0.2">
      <c r="A39" s="1487" t="s">
        <v>443</v>
      </c>
      <c r="B39" s="525">
        <v>7600</v>
      </c>
      <c r="C39" s="477"/>
      <c r="D39" s="477"/>
      <c r="E39" s="1741">
        <f>SUM(C62:D65)</f>
        <v>0</v>
      </c>
      <c r="F39" s="477"/>
      <c r="G39" s="477"/>
      <c r="H39" s="477"/>
      <c r="I39" s="477"/>
      <c r="J39" s="477"/>
      <c r="K39" s="477"/>
      <c r="L39" s="524"/>
    </row>
    <row r="40" spans="1:12" s="485" customFormat="1" ht="13.5" customHeight="1" x14ac:dyDescent="0.2">
      <c r="A40" s="1487" t="s">
        <v>642</v>
      </c>
      <c r="B40" s="483">
        <v>7700</v>
      </c>
      <c r="C40" s="477"/>
      <c r="D40" s="477"/>
      <c r="E40" s="1741">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1">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81" t="s">
        <v>374</v>
      </c>
      <c r="B44" s="2182"/>
      <c r="C44" s="1701">
        <f>SUM(C24:C43)</f>
        <v>0</v>
      </c>
      <c r="D44" s="1701">
        <f t="shared" ref="D44:K44" si="6">SUM(D24:D43)</f>
        <v>0</v>
      </c>
      <c r="E44" s="1701">
        <f t="shared" si="6"/>
        <v>437103</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75" t="s">
        <v>108</v>
      </c>
      <c r="B45" s="2176"/>
      <c r="C45" s="528"/>
      <c r="D45" s="528"/>
      <c r="E45" s="528"/>
      <c r="F45" s="528"/>
      <c r="G45" s="528"/>
      <c r="H45" s="528"/>
      <c r="I45" s="528"/>
      <c r="J45" s="528"/>
      <c r="K45" s="528"/>
      <c r="L45" s="347"/>
    </row>
    <row r="46" spans="1:12" s="485" customFormat="1" ht="15.75" customHeight="1" x14ac:dyDescent="0.2">
      <c r="A46" s="2183" t="s">
        <v>109</v>
      </c>
      <c r="B46" s="2184"/>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1">
        <f>SUM(C24,C25:H25,J25:K25)</f>
        <v>0</v>
      </c>
      <c r="J47" s="477"/>
      <c r="K47" s="477"/>
      <c r="L47" s="529"/>
    </row>
    <row r="48" spans="1:12" s="485" customFormat="1" ht="15" x14ac:dyDescent="0.2">
      <c r="A48" s="1488" t="s">
        <v>1660</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41">
        <f>SUM(D29)</f>
        <v>0</v>
      </c>
      <c r="I51" s="477"/>
      <c r="J51" s="475"/>
      <c r="K51" s="480"/>
      <c r="L51" s="524"/>
    </row>
    <row r="52" spans="1:12" s="485" customFormat="1" ht="26.25" x14ac:dyDescent="0.2">
      <c r="A52" s="1488" t="s">
        <v>1795</v>
      </c>
      <c r="B52" s="483">
        <v>8160</v>
      </c>
      <c r="C52" s="477"/>
      <c r="D52" s="477"/>
      <c r="E52" s="477"/>
      <c r="F52" s="477"/>
      <c r="G52" s="477"/>
      <c r="H52" s="477"/>
      <c r="I52" s="477"/>
      <c r="J52" s="477"/>
      <c r="K52" s="1741">
        <f>D30</f>
        <v>0</v>
      </c>
      <c r="L52" s="524"/>
    </row>
    <row r="53" spans="1:12" s="485" customFormat="1" ht="26.25" x14ac:dyDescent="0.2">
      <c r="A53" s="1488" t="s">
        <v>1794</v>
      </c>
      <c r="B53" s="483">
        <v>8170</v>
      </c>
      <c r="C53" s="480"/>
      <c r="D53" s="480"/>
      <c r="E53" s="477"/>
      <c r="F53" s="477"/>
      <c r="G53" s="477"/>
      <c r="H53" s="480"/>
      <c r="I53" s="477"/>
      <c r="J53" s="477"/>
      <c r="K53" s="1741">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v>433118</v>
      </c>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v>3985</v>
      </c>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v>4200000</v>
      </c>
      <c r="D75" s="531">
        <v>3000000</v>
      </c>
      <c r="E75" s="530"/>
      <c r="F75" s="532">
        <v>1000000</v>
      </c>
      <c r="G75" s="532"/>
      <c r="H75" s="532"/>
      <c r="I75" s="530"/>
      <c r="J75" s="530"/>
      <c r="K75" s="532"/>
      <c r="L75" s="524"/>
    </row>
    <row r="76" spans="1:12" s="485" customFormat="1" ht="14.25" thickTop="1" thickBot="1" x14ac:dyDescent="0.25">
      <c r="A76" s="2157" t="s">
        <v>440</v>
      </c>
      <c r="B76" s="2158"/>
      <c r="C76" s="1701">
        <f t="shared" ref="C76:K76" si="7">SUM(C47:C75)</f>
        <v>4637103</v>
      </c>
      <c r="D76" s="1701">
        <f t="shared" si="7"/>
        <v>3000000</v>
      </c>
      <c r="E76" s="1701">
        <f t="shared" si="7"/>
        <v>0</v>
      </c>
      <c r="F76" s="1701">
        <f t="shared" si="7"/>
        <v>1000000</v>
      </c>
      <c r="G76" s="1701">
        <f t="shared" si="7"/>
        <v>0</v>
      </c>
      <c r="H76" s="1701">
        <f t="shared" si="7"/>
        <v>0</v>
      </c>
      <c r="I76" s="1701">
        <f t="shared" si="7"/>
        <v>0</v>
      </c>
      <c r="J76" s="1701">
        <f t="shared" si="7"/>
        <v>0</v>
      </c>
      <c r="K76" s="1701">
        <f t="shared" si="7"/>
        <v>0</v>
      </c>
      <c r="L76" s="524"/>
    </row>
    <row r="77" spans="1:12" ht="14.25" thickTop="1" thickBot="1" x14ac:dyDescent="0.25">
      <c r="A77" s="2159" t="s">
        <v>1177</v>
      </c>
      <c r="B77" s="2160"/>
      <c r="C77" s="1701">
        <f t="shared" ref="C77:K77" si="8">C44-C76</f>
        <v>-4637103</v>
      </c>
      <c r="D77" s="1701">
        <f t="shared" si="8"/>
        <v>-3000000</v>
      </c>
      <c r="E77" s="1701">
        <f t="shared" si="8"/>
        <v>437103</v>
      </c>
      <c r="F77" s="1701">
        <f t="shared" si="8"/>
        <v>-1000000</v>
      </c>
      <c r="G77" s="1701">
        <f t="shared" si="8"/>
        <v>0</v>
      </c>
      <c r="H77" s="1701">
        <f t="shared" si="8"/>
        <v>0</v>
      </c>
      <c r="I77" s="1701">
        <f t="shared" si="8"/>
        <v>0</v>
      </c>
      <c r="J77" s="1701">
        <f t="shared" si="8"/>
        <v>0</v>
      </c>
      <c r="K77" s="1701">
        <f t="shared" si="8"/>
        <v>0</v>
      </c>
      <c r="L77" s="347"/>
    </row>
    <row r="78" spans="1:12" ht="21.75" customHeight="1" thickTop="1" thickBot="1" x14ac:dyDescent="0.25">
      <c r="A78" s="2163" t="s">
        <v>597</v>
      </c>
      <c r="B78" s="2164"/>
      <c r="C78" s="1700">
        <f t="shared" ref="C78:K78" si="9">C20+C77</f>
        <v>3650016</v>
      </c>
      <c r="D78" s="1700">
        <f t="shared" si="9"/>
        <v>3881263</v>
      </c>
      <c r="E78" s="1700">
        <f t="shared" si="9"/>
        <v>-7359</v>
      </c>
      <c r="F78" s="1700">
        <f t="shared" si="9"/>
        <v>444343</v>
      </c>
      <c r="G78" s="1700">
        <f t="shared" si="9"/>
        <v>-430346</v>
      </c>
      <c r="H78" s="1700">
        <f t="shared" si="9"/>
        <v>-11493588</v>
      </c>
      <c r="I78" s="1700">
        <f t="shared" si="9"/>
        <v>2600013</v>
      </c>
      <c r="J78" s="1700">
        <f t="shared" si="9"/>
        <v>0</v>
      </c>
      <c r="K78" s="1700">
        <f t="shared" si="9"/>
        <v>-1045305</v>
      </c>
      <c r="L78" s="533"/>
    </row>
    <row r="79" spans="1:12" ht="13.5" thickTop="1" x14ac:dyDescent="0.2">
      <c r="A79" s="1492" t="s">
        <v>1945</v>
      </c>
      <c r="B79" s="534"/>
      <c r="C79" s="478">
        <v>72439792</v>
      </c>
      <c r="D79" s="535">
        <v>14602375</v>
      </c>
      <c r="E79" s="535">
        <v>12148</v>
      </c>
      <c r="F79" s="535">
        <v>5743535</v>
      </c>
      <c r="G79" s="535">
        <v>4985631</v>
      </c>
      <c r="H79" s="535">
        <v>10470558</v>
      </c>
      <c r="I79" s="535">
        <v>2056195</v>
      </c>
      <c r="J79" s="535">
        <v>0</v>
      </c>
      <c r="K79" s="535">
        <v>2142220</v>
      </c>
      <c r="L79" s="347"/>
    </row>
    <row r="80" spans="1:12" x14ac:dyDescent="0.2">
      <c r="A80" s="2169" t="s">
        <v>1793</v>
      </c>
      <c r="B80" s="2170"/>
      <c r="C80" s="467"/>
      <c r="D80" s="467"/>
      <c r="E80" s="467"/>
      <c r="F80" s="467"/>
      <c r="G80" s="467"/>
      <c r="H80" s="467"/>
      <c r="I80" s="467"/>
      <c r="J80" s="467"/>
      <c r="K80" s="467"/>
      <c r="L80" s="347"/>
    </row>
    <row r="81" spans="1:12" ht="13.5" thickBot="1" x14ac:dyDescent="0.25">
      <c r="A81" s="2161" t="s">
        <v>1946</v>
      </c>
      <c r="B81" s="2162"/>
      <c r="C81" s="1686">
        <f>(SUM(C78:C80))</f>
        <v>76089808</v>
      </c>
      <c r="D81" s="1686">
        <f>SUM(D78:D80)</f>
        <v>18483638</v>
      </c>
      <c r="E81" s="1686">
        <f t="shared" ref="E81:K81" si="10">SUM(E78:E80)</f>
        <v>4789</v>
      </c>
      <c r="F81" s="1686">
        <f t="shared" si="10"/>
        <v>6187878</v>
      </c>
      <c r="G81" s="1686">
        <f t="shared" si="10"/>
        <v>4555285</v>
      </c>
      <c r="H81" s="1686">
        <f t="shared" si="10"/>
        <v>-1023030</v>
      </c>
      <c r="I81" s="1686">
        <f t="shared" si="10"/>
        <v>4656208</v>
      </c>
      <c r="J81" s="1686">
        <f t="shared" si="10"/>
        <v>0</v>
      </c>
      <c r="K81" s="1686">
        <f t="shared" si="10"/>
        <v>1096915</v>
      </c>
      <c r="L81" s="347"/>
    </row>
    <row r="82" spans="1:12" ht="0.75" customHeight="1" thickTop="1" thickBot="1" x14ac:dyDescent="0.25">
      <c r="A82" s="536" t="s">
        <v>343</v>
      </c>
      <c r="B82" s="537"/>
      <c r="C82" s="538">
        <f>(C81-C79)</f>
        <v>3650016</v>
      </c>
      <c r="D82" s="538">
        <f t="shared" ref="D82:K82" si="11">(D81-D79)</f>
        <v>3881263</v>
      </c>
      <c r="E82" s="538">
        <f t="shared" si="11"/>
        <v>-7359</v>
      </c>
      <c r="F82" s="538">
        <f t="shared" si="11"/>
        <v>444343</v>
      </c>
      <c r="G82" s="538">
        <f t="shared" si="11"/>
        <v>-430346</v>
      </c>
      <c r="H82" s="538">
        <f t="shared" si="11"/>
        <v>-11493588</v>
      </c>
      <c r="I82" s="538">
        <f t="shared" si="11"/>
        <v>2600013</v>
      </c>
      <c r="J82" s="538">
        <f t="shared" si="11"/>
        <v>0</v>
      </c>
      <c r="K82" s="538">
        <f t="shared" si="11"/>
        <v>-1045305</v>
      </c>
    </row>
    <row r="83" spans="1:12" ht="14.25" hidden="1" thickTop="1" thickBot="1" x14ac:dyDescent="0.25">
      <c r="A83" s="539" t="s">
        <v>344</v>
      </c>
      <c r="B83" s="464"/>
      <c r="C83" s="540">
        <f>C82/C81</f>
        <v>4.7969841111966005E-2</v>
      </c>
      <c r="D83" s="540">
        <f t="shared" ref="D83:K83" si="12">D82/D81</f>
        <v>0.20998371640907487</v>
      </c>
      <c r="E83" s="540">
        <f t="shared" si="12"/>
        <v>-1.5366464815201504</v>
      </c>
      <c r="F83" s="540">
        <f t="shared" si="12"/>
        <v>7.1808623246935377E-2</v>
      </c>
      <c r="G83" s="540">
        <f t="shared" si="12"/>
        <v>-9.44718058255411E-2</v>
      </c>
      <c r="H83" s="540">
        <f t="shared" si="12"/>
        <v>11.234849417905632</v>
      </c>
      <c r="I83" s="540">
        <f t="shared" si="12"/>
        <v>0.55839709050798414</v>
      </c>
      <c r="J83" s="540" t="e">
        <f t="shared" si="12"/>
        <v>#DIV/0!</v>
      </c>
      <c r="K83" s="540">
        <f t="shared" si="12"/>
        <v>-0.95294986393658576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3" activePane="bottomLeft" state="frozen"/>
      <selection pane="bottomLeft" activeCell="F47" sqref="F4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5" t="s">
        <v>1800</v>
      </c>
      <c r="B1" s="452"/>
      <c r="C1" s="453" t="s">
        <v>425</v>
      </c>
      <c r="D1" s="453" t="s">
        <v>426</v>
      </c>
      <c r="E1" s="453" t="s">
        <v>427</v>
      </c>
      <c r="F1" s="453" t="s">
        <v>428</v>
      </c>
      <c r="G1" s="453" t="s">
        <v>429</v>
      </c>
      <c r="H1" s="453" t="s">
        <v>430</v>
      </c>
      <c r="I1" s="453" t="s">
        <v>431</v>
      </c>
      <c r="J1" s="453" t="s">
        <v>432</v>
      </c>
      <c r="K1" s="453" t="s">
        <v>756</v>
      </c>
    </row>
    <row r="2" spans="1:12" ht="36" x14ac:dyDescent="0.2">
      <c r="A2" s="216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481">
        <v>170540072</v>
      </c>
      <c r="D5" s="481">
        <v>29965260</v>
      </c>
      <c r="E5" s="466">
        <v>-42480</v>
      </c>
      <c r="F5" s="548">
        <v>8507058</v>
      </c>
      <c r="G5" s="466">
        <v>4788029</v>
      </c>
      <c r="H5" s="466"/>
      <c r="I5" s="466">
        <v>2527547</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4937355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170540072</v>
      </c>
      <c r="D12" s="1705">
        <f t="shared" si="0"/>
        <v>29965260</v>
      </c>
      <c r="E12" s="1705">
        <f t="shared" si="0"/>
        <v>-42480</v>
      </c>
      <c r="F12" s="1705">
        <f t="shared" si="0"/>
        <v>8507058</v>
      </c>
      <c r="G12" s="1705">
        <f t="shared" si="0"/>
        <v>9725384</v>
      </c>
      <c r="H12" s="1705">
        <f t="shared" si="0"/>
        <v>0</v>
      </c>
      <c r="I12" s="1705">
        <f t="shared" si="0"/>
        <v>2527547</v>
      </c>
      <c r="J12" s="1705">
        <f t="shared" si="0"/>
        <v>0</v>
      </c>
      <c r="K12" s="1686">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1501834</v>
      </c>
      <c r="D16" s="466">
        <v>1000000</v>
      </c>
      <c r="E16" s="466"/>
      <c r="F16" s="466"/>
      <c r="G16" s="466">
        <v>520793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1501834</v>
      </c>
      <c r="D18" s="1708">
        <f t="shared" ref="D18:K18" si="1">SUM(D14:D17)</f>
        <v>1000000</v>
      </c>
      <c r="E18" s="1708">
        <f t="shared" si="1"/>
        <v>0</v>
      </c>
      <c r="F18" s="1708">
        <f t="shared" si="1"/>
        <v>0</v>
      </c>
      <c r="G18" s="1708">
        <f t="shared" si="1"/>
        <v>520793</v>
      </c>
      <c r="H18" s="1708">
        <f t="shared" si="1"/>
        <v>0</v>
      </c>
      <c r="I18" s="1708">
        <f t="shared" si="1"/>
        <v>0</v>
      </c>
      <c r="J18" s="1708">
        <f t="shared" si="1"/>
        <v>0</v>
      </c>
      <c r="K18" s="1709">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80535</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687151</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v>84237</v>
      </c>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6" t="s">
        <v>538</v>
      </c>
      <c r="B40" s="1707"/>
      <c r="C40" s="1686">
        <f>SUM(C20:C39)</f>
        <v>851923</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v>105724</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54520</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v>65780</v>
      </c>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226024</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2115403</v>
      </c>
      <c r="D65" s="466">
        <v>422324</v>
      </c>
      <c r="E65" s="466">
        <v>121</v>
      </c>
      <c r="F65" s="467">
        <v>118213</v>
      </c>
      <c r="G65" s="466">
        <v>121638</v>
      </c>
      <c r="H65" s="466">
        <v>131643</v>
      </c>
      <c r="I65" s="466">
        <v>72466</v>
      </c>
      <c r="J65" s="467">
        <v>0</v>
      </c>
      <c r="K65" s="466">
        <v>37988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2115403</v>
      </c>
      <c r="D67" s="1686">
        <f t="shared" ref="D67:K67" si="2">SUM(D65:D66)</f>
        <v>422324</v>
      </c>
      <c r="E67" s="1686">
        <f t="shared" si="2"/>
        <v>121</v>
      </c>
      <c r="F67" s="1686">
        <f t="shared" si="2"/>
        <v>118213</v>
      </c>
      <c r="G67" s="1686">
        <f t="shared" si="2"/>
        <v>121638</v>
      </c>
      <c r="H67" s="1686">
        <f t="shared" si="2"/>
        <v>131643</v>
      </c>
      <c r="I67" s="1686">
        <f t="shared" si="2"/>
        <v>72466</v>
      </c>
      <c r="J67" s="1686">
        <f t="shared" si="2"/>
        <v>0</v>
      </c>
      <c r="K67" s="1686">
        <f t="shared" si="2"/>
        <v>37988</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1936821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388565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232993</v>
      </c>
      <c r="D73" s="468"/>
      <c r="E73" s="468"/>
      <c r="F73" s="468"/>
      <c r="G73" s="468"/>
      <c r="H73" s="468"/>
      <c r="I73" s="468"/>
      <c r="J73" s="468"/>
      <c r="K73" s="468"/>
    </row>
    <row r="74" spans="1:11" ht="12.75" customHeight="1" x14ac:dyDescent="0.2">
      <c r="A74" s="463" t="s">
        <v>25</v>
      </c>
      <c r="B74" s="470">
        <v>1690</v>
      </c>
      <c r="C74" s="551">
        <v>504315</v>
      </c>
      <c r="D74" s="468"/>
      <c r="E74" s="468"/>
      <c r="F74" s="468"/>
      <c r="G74" s="468"/>
      <c r="H74" s="468"/>
      <c r="I74" s="468"/>
      <c r="J74" s="468"/>
      <c r="K74" s="468"/>
    </row>
    <row r="75" spans="1:11" ht="12.75" customHeight="1" thickBot="1" x14ac:dyDescent="0.25">
      <c r="A75" s="1706" t="s">
        <v>548</v>
      </c>
      <c r="B75" s="1707"/>
      <c r="C75" s="1686">
        <f>SUM(C69:C74)</f>
        <v>3062694</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89830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694920</v>
      </c>
      <c r="D81" s="466">
        <v>198425</v>
      </c>
      <c r="E81" s="468"/>
      <c r="F81" s="468"/>
      <c r="G81" s="468"/>
      <c r="H81" s="468"/>
      <c r="I81" s="468"/>
      <c r="J81" s="468"/>
      <c r="K81" s="468"/>
    </row>
    <row r="82" spans="1:11" ht="12.75" customHeight="1" thickBot="1" x14ac:dyDescent="0.25">
      <c r="A82" s="1706" t="s">
        <v>241</v>
      </c>
      <c r="B82" s="1707"/>
      <c r="C82" s="1705">
        <f>SUM(C77:C81)</f>
        <v>784750</v>
      </c>
      <c r="D82" s="1686">
        <f>SUM(D77:D81)</f>
        <v>198425</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1351173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5200</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1356373</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v>429121</v>
      </c>
      <c r="E95" s="521"/>
      <c r="F95" s="521"/>
      <c r="G95" s="521"/>
      <c r="H95" s="521"/>
      <c r="I95" s="521"/>
      <c r="J95" s="521"/>
      <c r="K95" s="521"/>
    </row>
    <row r="96" spans="1:11" ht="12.75" customHeight="1" x14ac:dyDescent="0.2">
      <c r="A96" s="463" t="s">
        <v>391</v>
      </c>
      <c r="B96" s="470">
        <v>1920</v>
      </c>
      <c r="C96" s="551">
        <v>206550</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374233</v>
      </c>
      <c r="D99" s="466">
        <v>23918</v>
      </c>
      <c r="E99" s="466"/>
      <c r="F99" s="466">
        <v>297</v>
      </c>
      <c r="G99" s="466">
        <v>149</v>
      </c>
      <c r="H99" s="466"/>
      <c r="I99" s="468"/>
      <c r="J99" s="467"/>
      <c r="K99" s="466"/>
    </row>
    <row r="100" spans="1:12" ht="12.75" customHeight="1" x14ac:dyDescent="0.2">
      <c r="A100" s="463" t="s">
        <v>245</v>
      </c>
      <c r="B100" s="470">
        <v>1960</v>
      </c>
      <c r="C100" s="489">
        <v>185447</v>
      </c>
      <c r="D100" s="489">
        <v>690693</v>
      </c>
      <c r="E100" s="489">
        <v>35000</v>
      </c>
      <c r="F100" s="489"/>
      <c r="G100" s="489"/>
      <c r="H100" s="489"/>
      <c r="I100" s="467"/>
      <c r="J100" s="489"/>
      <c r="K100" s="467"/>
    </row>
    <row r="101" spans="1:12" ht="12.75" customHeight="1" x14ac:dyDescent="0.2">
      <c r="A101" s="463" t="s">
        <v>246</v>
      </c>
      <c r="B101" s="470">
        <v>1970</v>
      </c>
      <c r="C101" s="489">
        <v>101900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v>27390</v>
      </c>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500791+1</f>
        <v>500792</v>
      </c>
      <c r="D107" s="466">
        <f>706269-1</f>
        <v>706268</v>
      </c>
      <c r="E107" s="466"/>
      <c r="F107" s="466">
        <v>78632</v>
      </c>
      <c r="G107" s="466"/>
      <c r="H107" s="466"/>
      <c r="I107" s="466"/>
      <c r="J107" s="467"/>
      <c r="K107" s="466"/>
    </row>
    <row r="108" spans="1:12" ht="12.75" customHeight="1" thickBot="1" x14ac:dyDescent="0.25">
      <c r="A108" s="1706" t="s">
        <v>487</v>
      </c>
      <c r="B108" s="1710"/>
      <c r="C108" s="1705">
        <f>SUM(C95:C107)</f>
        <v>1396312</v>
      </c>
      <c r="D108" s="1705">
        <f t="shared" ref="D108:K108" si="3">SUM(D95:D107)</f>
        <v>1850000</v>
      </c>
      <c r="E108" s="1705">
        <f t="shared" si="3"/>
        <v>35000</v>
      </c>
      <c r="F108" s="1705">
        <f t="shared" si="3"/>
        <v>78929</v>
      </c>
      <c r="G108" s="1705">
        <f t="shared" si="3"/>
        <v>149</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181609361</v>
      </c>
      <c r="D109" s="1713">
        <f t="shared" si="4"/>
        <v>33436009</v>
      </c>
      <c r="E109" s="1713">
        <f t="shared" si="4"/>
        <v>-7359</v>
      </c>
      <c r="F109" s="1713">
        <f t="shared" si="4"/>
        <v>8930224</v>
      </c>
      <c r="G109" s="1713">
        <f t="shared" si="4"/>
        <v>10367964</v>
      </c>
      <c r="H109" s="1713">
        <f t="shared" si="4"/>
        <v>131643</v>
      </c>
      <c r="I109" s="1713">
        <f t="shared" si="4"/>
        <v>2600013</v>
      </c>
      <c r="J109" s="1713">
        <f t="shared" si="4"/>
        <v>0</v>
      </c>
      <c r="K109" s="1700">
        <f t="shared" si="4"/>
        <v>37988</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12137281</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8" t="s">
        <v>1932</v>
      </c>
      <c r="B120" s="562">
        <v>3030</v>
      </c>
      <c r="C120" s="551"/>
      <c r="D120" s="466"/>
      <c r="E120" s="466"/>
      <c r="F120" s="466"/>
      <c r="G120" s="466"/>
      <c r="H120" s="466"/>
      <c r="I120" s="468"/>
      <c r="J120" s="467"/>
      <c r="K120" s="466"/>
    </row>
    <row r="121" spans="1:11" x14ac:dyDescent="0.2">
      <c r="A121" s="1494" t="s">
        <v>1799</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12137281</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861064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817755</v>
      </c>
      <c r="D128" s="561"/>
      <c r="E128" s="468"/>
      <c r="F128" s="466"/>
      <c r="G128" s="468"/>
      <c r="H128" s="468"/>
      <c r="I128" s="468"/>
      <c r="J128" s="468"/>
      <c r="K128" s="468"/>
    </row>
    <row r="129" spans="1:11" ht="12.75" customHeight="1" x14ac:dyDescent="0.2">
      <c r="A129" s="463" t="s">
        <v>1447</v>
      </c>
      <c r="B129" s="562">
        <v>3130</v>
      </c>
      <c r="C129" s="466">
        <v>44395</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1723214</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330947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330947</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1056</v>
      </c>
      <c r="B146" s="568">
        <v>3360</v>
      </c>
      <c r="C146" s="569">
        <v>35006</v>
      </c>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v>153998</v>
      </c>
      <c r="D148" s="573"/>
      <c r="E148" s="509"/>
      <c r="F148" s="468"/>
      <c r="G148" s="468"/>
      <c r="H148" s="468"/>
      <c r="I148" s="468"/>
      <c r="J148" s="468"/>
      <c r="K148" s="468"/>
    </row>
    <row r="149" spans="1:11" ht="12.75" customHeight="1" thickTop="1" thickBot="1" x14ac:dyDescent="0.25">
      <c r="A149" s="1498" t="s">
        <v>767</v>
      </c>
      <c r="B149" s="574">
        <v>3410</v>
      </c>
      <c r="C149" s="575">
        <v>214030</v>
      </c>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v>349064</v>
      </c>
      <c r="G152" s="467"/>
      <c r="H152" s="468"/>
      <c r="I152" s="468"/>
      <c r="J152" s="468"/>
      <c r="K152" s="468"/>
    </row>
    <row r="153" spans="1:11" ht="12.75" customHeight="1" x14ac:dyDescent="0.2">
      <c r="A153" s="463" t="s">
        <v>1057</v>
      </c>
      <c r="B153" s="562">
        <v>3510</v>
      </c>
      <c r="C153" s="551"/>
      <c r="D153" s="466"/>
      <c r="E153" s="561"/>
      <c r="F153" s="466">
        <v>5137877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5486941</v>
      </c>
      <c r="G155" s="1705">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v>77065</v>
      </c>
      <c r="D168" s="580"/>
      <c r="E168" s="580"/>
      <c r="F168" s="580"/>
      <c r="G168" s="581"/>
      <c r="H168" s="582"/>
      <c r="I168" s="581"/>
      <c r="J168" s="581"/>
      <c r="K168" s="582"/>
    </row>
    <row r="169" spans="1:11" ht="12.75" customHeight="1" thickTop="1" thickBot="1" x14ac:dyDescent="0.25">
      <c r="A169" s="2185" t="s">
        <v>398</v>
      </c>
      <c r="B169" s="2186"/>
      <c r="C169" s="1720">
        <f t="shared" ref="C169:K169" si="6">SUM(C132,C141,C145,C146:C150,C155,C156:C167,C168)</f>
        <v>2534260</v>
      </c>
      <c r="D169" s="1720">
        <f t="shared" si="6"/>
        <v>0</v>
      </c>
      <c r="E169" s="1720">
        <f t="shared" si="6"/>
        <v>0</v>
      </c>
      <c r="F169" s="1720">
        <f t="shared" si="6"/>
        <v>5486941</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14671541</v>
      </c>
      <c r="D170" s="1713">
        <f t="shared" si="7"/>
        <v>0</v>
      </c>
      <c r="E170" s="1713">
        <f t="shared" si="7"/>
        <v>0</v>
      </c>
      <c r="F170" s="1713">
        <f t="shared" si="7"/>
        <v>5486941</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87" t="s">
        <v>1492</v>
      </c>
      <c r="B172" s="218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91" t="s">
        <v>1665</v>
      </c>
      <c r="B175" s="2192"/>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95" t="s">
        <v>1664</v>
      </c>
      <c r="B176" s="219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93" t="s">
        <v>785</v>
      </c>
      <c r="B181" s="2194"/>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89" t="s">
        <v>1801</v>
      </c>
      <c r="B182" s="2190"/>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1630207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412332</v>
      </c>
      <c r="D193" s="468"/>
      <c r="E193" s="561"/>
      <c r="F193" s="468"/>
      <c r="G193" s="585"/>
      <c r="H193" s="468"/>
      <c r="I193" s="468"/>
      <c r="J193" s="468"/>
      <c r="K193" s="468"/>
    </row>
    <row r="194" spans="1:11" ht="12.75" customHeight="1" x14ac:dyDescent="0.2">
      <c r="A194" s="463" t="s">
        <v>1451</v>
      </c>
      <c r="B194" s="470">
        <v>4225</v>
      </c>
      <c r="C194" s="551">
        <v>97421</v>
      </c>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2139960</v>
      </c>
      <c r="D198" s="468"/>
      <c r="E198" s="468"/>
      <c r="F198" s="468"/>
      <c r="G198" s="1686">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1171869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1171869</v>
      </c>
      <c r="D204" s="1705">
        <f>SUM(D200:D203)</f>
        <v>0</v>
      </c>
      <c r="E204" s="468"/>
      <c r="F204" s="1705">
        <f>SUM(F200:F203)</f>
        <v>0</v>
      </c>
      <c r="G204" s="1705">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v>29999</v>
      </c>
      <c r="D208" s="466"/>
      <c r="E208" s="468"/>
      <c r="F208" s="466"/>
      <c r="G208" s="466"/>
      <c r="H208" s="468"/>
      <c r="I208" s="468"/>
      <c r="J208" s="468"/>
      <c r="K208" s="468"/>
    </row>
    <row r="209" spans="1:11" ht="12.75" customHeight="1" thickBot="1" x14ac:dyDescent="0.25">
      <c r="A209" s="1706" t="s">
        <v>889</v>
      </c>
      <c r="B209" s="1707"/>
      <c r="C209" s="1705">
        <f>SUM(C206:C208)</f>
        <v>29999</v>
      </c>
      <c r="D209" s="1705">
        <f>SUM(D206:D208)</f>
        <v>0</v>
      </c>
      <c r="E209" s="468" t="s">
        <v>1169</v>
      </c>
      <c r="F209" s="1705">
        <f>SUM(F206:F208)</f>
        <v>0</v>
      </c>
      <c r="G209" s="1705">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2002651</v>
      </c>
      <c r="D213" s="466"/>
      <c r="E213" s="468"/>
      <c r="F213" s="466"/>
      <c r="G213" s="466"/>
      <c r="H213" s="468"/>
      <c r="I213" s="468"/>
      <c r="J213" s="468"/>
      <c r="K213" s="468"/>
    </row>
    <row r="214" spans="1:11" ht="12.75" customHeight="1" x14ac:dyDescent="0.2">
      <c r="A214" s="463" t="s">
        <v>1054</v>
      </c>
      <c r="B214" s="470">
        <v>4625</v>
      </c>
      <c r="C214" s="551">
        <v>1078855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3081506</v>
      </c>
      <c r="D217" s="1705">
        <f>SUM(D211:D216)</f>
        <v>0</v>
      </c>
      <c r="E217" s="468"/>
      <c r="F217" s="1705">
        <f>SUM(F211:F216)</f>
        <v>0</v>
      </c>
      <c r="G217" s="1705">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255979</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255979</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v>93852</v>
      </c>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51900</v>
      </c>
      <c r="D255" s="468"/>
      <c r="E255" s="468"/>
      <c r="F255" s="578"/>
      <c r="G255" s="573"/>
      <c r="H255" s="468"/>
      <c r="I255" s="468"/>
      <c r="J255" s="468"/>
      <c r="K255" s="468"/>
    </row>
    <row r="256" spans="1:11" ht="12.75" customHeight="1" thickTop="1" thickBot="1" x14ac:dyDescent="0.25">
      <c r="A256" s="463" t="s">
        <v>1457</v>
      </c>
      <c r="B256" s="470">
        <v>4909</v>
      </c>
      <c r="C256" s="576">
        <v>47123</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353499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1933</v>
      </c>
      <c r="B261" s="470">
        <v>4981</v>
      </c>
      <c r="C261" s="575"/>
      <c r="D261" s="576"/>
      <c r="E261" s="468"/>
      <c r="F261" s="576"/>
      <c r="G261" s="576"/>
      <c r="H261" s="468"/>
      <c r="I261" s="468"/>
      <c r="J261" s="468"/>
      <c r="K261" s="468"/>
    </row>
    <row r="262" spans="1:11" ht="12.75" customHeight="1" thickTop="1" thickBot="1" x14ac:dyDescent="0.25">
      <c r="A262" s="1929"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232986</v>
      </c>
      <c r="D263" s="576"/>
      <c r="E263" s="468"/>
      <c r="F263" s="576"/>
      <c r="G263" s="576"/>
      <c r="H263" s="468"/>
      <c r="I263" s="468"/>
      <c r="J263" s="468"/>
      <c r="K263" s="468"/>
    </row>
    <row r="264" spans="1:11" ht="12.75" customHeight="1" thickTop="1" thickBot="1" x14ac:dyDescent="0.25">
      <c r="A264" s="463" t="s">
        <v>377</v>
      </c>
      <c r="B264" s="470">
        <v>4992</v>
      </c>
      <c r="C264" s="575">
        <v>275060</v>
      </c>
      <c r="D264" s="576"/>
      <c r="E264" s="468"/>
      <c r="F264" s="576"/>
      <c r="G264" s="576"/>
      <c r="H264" s="468"/>
      <c r="I264" s="468"/>
      <c r="J264" s="468"/>
      <c r="K264" s="468"/>
    </row>
    <row r="265" spans="1:11" s="593" customFormat="1" ht="12.75" customHeight="1" thickTop="1" thickBot="1" x14ac:dyDescent="0.25">
      <c r="A265" s="563" t="s">
        <v>75</v>
      </c>
      <c r="B265" s="557">
        <v>4999</v>
      </c>
      <c r="C265" s="575">
        <v>457963</v>
      </c>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8191696</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8191696</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204472598</v>
      </c>
      <c r="D268" s="1713">
        <f t="shared" si="12"/>
        <v>33436009</v>
      </c>
      <c r="E268" s="1713">
        <f t="shared" si="12"/>
        <v>-7359</v>
      </c>
      <c r="F268" s="1713">
        <f t="shared" si="12"/>
        <v>14417165</v>
      </c>
      <c r="G268" s="1713">
        <f t="shared" si="12"/>
        <v>10367964</v>
      </c>
      <c r="H268" s="1713">
        <f t="shared" si="12"/>
        <v>131643</v>
      </c>
      <c r="I268" s="1713">
        <f t="shared" si="12"/>
        <v>2600013</v>
      </c>
      <c r="J268" s="1713">
        <f t="shared" si="12"/>
        <v>0</v>
      </c>
      <c r="K268" s="1700">
        <f t="shared" si="12"/>
        <v>37988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0" activePane="bottomLeft" state="frozen"/>
      <selection pane="bottomLeft" activeCell="D237" sqref="D23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5"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9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205" t="s">
        <v>297</v>
      </c>
      <c r="B3" s="2206"/>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65820529</v>
      </c>
      <c r="D5" s="466">
        <v>12631925</v>
      </c>
      <c r="E5" s="466">
        <v>260894</v>
      </c>
      <c r="F5" s="466">
        <v>1558814</v>
      </c>
      <c r="G5" s="466">
        <v>403361</v>
      </c>
      <c r="H5" s="466">
        <v>39174</v>
      </c>
      <c r="I5" s="467">
        <v>2830086</v>
      </c>
      <c r="J5" s="467"/>
      <c r="K5" s="1669">
        <f>SUM(C5:J5)</f>
        <v>83544783</v>
      </c>
      <c r="L5" s="466">
        <f>167884015-85000000</f>
        <v>82884015</v>
      </c>
    </row>
    <row r="6" spans="1:14" x14ac:dyDescent="0.2">
      <c r="A6" s="1502" t="s">
        <v>1433</v>
      </c>
      <c r="B6" s="614" t="s">
        <v>1431</v>
      </c>
      <c r="C6" s="477"/>
      <c r="D6" s="477"/>
      <c r="E6" s="466"/>
      <c r="F6" s="477"/>
      <c r="G6" s="477"/>
      <c r="H6" s="477"/>
      <c r="I6" s="477"/>
      <c r="J6" s="477"/>
      <c r="K6" s="1669">
        <f>SUM(C6,E6)</f>
        <v>0</v>
      </c>
      <c r="L6" s="466"/>
    </row>
    <row r="7" spans="1:14" x14ac:dyDescent="0.2">
      <c r="A7" s="1502" t="s">
        <v>163</v>
      </c>
      <c r="B7" s="614" t="s">
        <v>967</v>
      </c>
      <c r="C7" s="467"/>
      <c r="D7" s="467"/>
      <c r="E7" s="467"/>
      <c r="F7" s="467"/>
      <c r="G7" s="467"/>
      <c r="H7" s="467"/>
      <c r="I7" s="467"/>
      <c r="J7" s="467"/>
      <c r="K7" s="1669">
        <f t="shared" ref="K7:K32" si="0">SUM(C7:J7)</f>
        <v>0</v>
      </c>
      <c r="L7" s="466"/>
    </row>
    <row r="8" spans="1:14" x14ac:dyDescent="0.2">
      <c r="A8" s="1502" t="s">
        <v>164</v>
      </c>
      <c r="B8" s="614">
        <v>1200</v>
      </c>
      <c r="C8" s="466">
        <v>20051281</v>
      </c>
      <c r="D8" s="466">
        <v>5407355</v>
      </c>
      <c r="E8" s="466">
        <v>224836</v>
      </c>
      <c r="F8" s="466">
        <v>139178</v>
      </c>
      <c r="G8" s="466"/>
      <c r="H8" s="466"/>
      <c r="I8" s="467">
        <v>20160</v>
      </c>
      <c r="J8" s="467"/>
      <c r="K8" s="1669">
        <f t="shared" si="0"/>
        <v>25842810</v>
      </c>
      <c r="L8" s="466">
        <v>25098093</v>
      </c>
    </row>
    <row r="9" spans="1:14" x14ac:dyDescent="0.2">
      <c r="A9" s="1502" t="s">
        <v>721</v>
      </c>
      <c r="B9" s="614" t="s">
        <v>968</v>
      </c>
      <c r="C9" s="467"/>
      <c r="D9" s="467"/>
      <c r="E9" s="467"/>
      <c r="F9" s="467"/>
      <c r="G9" s="467"/>
      <c r="H9" s="467"/>
      <c r="I9" s="467"/>
      <c r="J9" s="467"/>
      <c r="K9" s="1669">
        <f t="shared" si="0"/>
        <v>0</v>
      </c>
      <c r="L9" s="466"/>
    </row>
    <row r="10" spans="1:14" x14ac:dyDescent="0.2">
      <c r="A10" s="1502" t="s">
        <v>722</v>
      </c>
      <c r="B10" s="614">
        <v>1250</v>
      </c>
      <c r="C10" s="466"/>
      <c r="D10" s="466"/>
      <c r="E10" s="466"/>
      <c r="F10" s="466"/>
      <c r="G10" s="466"/>
      <c r="H10" s="466"/>
      <c r="I10" s="467"/>
      <c r="J10" s="467"/>
      <c r="K10" s="1669">
        <f t="shared" si="0"/>
        <v>0</v>
      </c>
      <c r="L10" s="466"/>
    </row>
    <row r="11" spans="1:14" x14ac:dyDescent="0.2">
      <c r="A11" s="1502" t="s">
        <v>1130</v>
      </c>
      <c r="B11" s="614" t="s">
        <v>161</v>
      </c>
      <c r="C11" s="467"/>
      <c r="D11" s="467"/>
      <c r="E11" s="467"/>
      <c r="F11" s="467"/>
      <c r="G11" s="467"/>
      <c r="H11" s="467"/>
      <c r="I11" s="467"/>
      <c r="J11" s="467"/>
      <c r="K11" s="1669">
        <f t="shared" si="0"/>
        <v>0</v>
      </c>
      <c r="L11" s="466"/>
    </row>
    <row r="12" spans="1:14" x14ac:dyDescent="0.2">
      <c r="A12" s="1502" t="s">
        <v>962</v>
      </c>
      <c r="B12" s="614">
        <v>1300</v>
      </c>
      <c r="C12" s="466">
        <v>601163</v>
      </c>
      <c r="D12" s="466">
        <v>25156</v>
      </c>
      <c r="E12" s="466">
        <v>22311</v>
      </c>
      <c r="F12" s="466">
        <v>16559</v>
      </c>
      <c r="G12" s="466"/>
      <c r="H12" s="466"/>
      <c r="I12" s="467"/>
      <c r="J12" s="467"/>
      <c r="K12" s="1669">
        <f t="shared" si="0"/>
        <v>665189</v>
      </c>
      <c r="L12" s="466">
        <v>701900</v>
      </c>
    </row>
    <row r="13" spans="1:14" x14ac:dyDescent="0.2">
      <c r="A13" s="1502" t="s">
        <v>723</v>
      </c>
      <c r="B13" s="614">
        <v>1400</v>
      </c>
      <c r="C13" s="466">
        <v>7616264</v>
      </c>
      <c r="D13" s="466">
        <v>1507808</v>
      </c>
      <c r="E13" s="466">
        <v>128002</v>
      </c>
      <c r="F13" s="466">
        <v>406580</v>
      </c>
      <c r="G13" s="466">
        <v>10496</v>
      </c>
      <c r="H13" s="466">
        <v>17021</v>
      </c>
      <c r="I13" s="467">
        <v>351575</v>
      </c>
      <c r="J13" s="467"/>
      <c r="K13" s="1669">
        <f t="shared" si="0"/>
        <v>10037746</v>
      </c>
      <c r="L13" s="466">
        <v>10301792</v>
      </c>
    </row>
    <row r="14" spans="1:14" x14ac:dyDescent="0.2">
      <c r="A14" s="1502" t="s">
        <v>963</v>
      </c>
      <c r="B14" s="614">
        <v>1500</v>
      </c>
      <c r="C14" s="466">
        <v>8033207</v>
      </c>
      <c r="D14" s="466">
        <v>159520</v>
      </c>
      <c r="E14" s="466">
        <v>1103416</v>
      </c>
      <c r="F14" s="466">
        <v>518606</v>
      </c>
      <c r="G14" s="466">
        <v>15000</v>
      </c>
      <c r="H14" s="466">
        <v>329956</v>
      </c>
      <c r="I14" s="467">
        <v>106169</v>
      </c>
      <c r="J14" s="467"/>
      <c r="K14" s="1669">
        <f t="shared" si="0"/>
        <v>10265874</v>
      </c>
      <c r="L14" s="466">
        <v>10272568</v>
      </c>
    </row>
    <row r="15" spans="1:14" x14ac:dyDescent="0.2">
      <c r="A15" s="1502" t="s">
        <v>964</v>
      </c>
      <c r="B15" s="614">
        <v>1600</v>
      </c>
      <c r="C15" s="466">
        <v>2220992</v>
      </c>
      <c r="D15" s="466">
        <v>35371</v>
      </c>
      <c r="E15" s="466">
        <v>101673</v>
      </c>
      <c r="F15" s="466">
        <v>7091</v>
      </c>
      <c r="G15" s="466"/>
      <c r="H15" s="466"/>
      <c r="I15" s="467"/>
      <c r="J15" s="467">
        <v>16140</v>
      </c>
      <c r="K15" s="1669">
        <f t="shared" si="0"/>
        <v>2381267</v>
      </c>
      <c r="L15" s="466">
        <v>2812100</v>
      </c>
    </row>
    <row r="16" spans="1:14" x14ac:dyDescent="0.2">
      <c r="A16" s="1502" t="s">
        <v>987</v>
      </c>
      <c r="B16" s="614" t="s">
        <v>424</v>
      </c>
      <c r="C16" s="466"/>
      <c r="D16" s="466"/>
      <c r="E16" s="466"/>
      <c r="F16" s="466"/>
      <c r="G16" s="466"/>
      <c r="H16" s="466"/>
      <c r="I16" s="467"/>
      <c r="J16" s="467"/>
      <c r="K16" s="1669">
        <f t="shared" si="0"/>
        <v>0</v>
      </c>
      <c r="L16" s="466"/>
    </row>
    <row r="17" spans="1:12" x14ac:dyDescent="0.2">
      <c r="A17" s="1502" t="s">
        <v>724</v>
      </c>
      <c r="B17" s="614" t="s">
        <v>162</v>
      </c>
      <c r="C17" s="467">
        <v>391078</v>
      </c>
      <c r="D17" s="467">
        <v>69634</v>
      </c>
      <c r="E17" s="467">
        <v>503667</v>
      </c>
      <c r="F17" s="467">
        <v>405</v>
      </c>
      <c r="G17" s="467"/>
      <c r="H17" s="467">
        <v>95</v>
      </c>
      <c r="I17" s="467">
        <v>785</v>
      </c>
      <c r="J17" s="467"/>
      <c r="K17" s="1669">
        <f t="shared" si="0"/>
        <v>965664</v>
      </c>
      <c r="L17" s="466">
        <v>884255</v>
      </c>
    </row>
    <row r="18" spans="1:12" x14ac:dyDescent="0.2">
      <c r="A18" s="1502" t="s">
        <v>1087</v>
      </c>
      <c r="B18" s="614">
        <v>1800</v>
      </c>
      <c r="C18" s="466">
        <v>2678896</v>
      </c>
      <c r="D18" s="466">
        <v>753145</v>
      </c>
      <c r="E18" s="466"/>
      <c r="F18" s="466">
        <v>3685</v>
      </c>
      <c r="G18" s="466"/>
      <c r="H18" s="466"/>
      <c r="I18" s="467">
        <v>1612</v>
      </c>
      <c r="J18" s="467"/>
      <c r="K18" s="1669">
        <f t="shared" si="0"/>
        <v>3437338</v>
      </c>
      <c r="L18" s="466">
        <v>3133773</v>
      </c>
    </row>
    <row r="19" spans="1:12" x14ac:dyDescent="0.2">
      <c r="A19" s="1502" t="s">
        <v>134</v>
      </c>
      <c r="B19" s="614">
        <v>1900</v>
      </c>
      <c r="C19" s="466">
        <v>32147</v>
      </c>
      <c r="D19" s="466">
        <v>315</v>
      </c>
      <c r="E19" s="466">
        <v>92308</v>
      </c>
      <c r="F19" s="466"/>
      <c r="G19" s="466"/>
      <c r="H19" s="466"/>
      <c r="I19" s="467"/>
      <c r="J19" s="467"/>
      <c r="K19" s="1669">
        <f t="shared" si="0"/>
        <v>124770</v>
      </c>
      <c r="L19" s="466">
        <v>138400</v>
      </c>
    </row>
    <row r="20" spans="1:12" x14ac:dyDescent="0.2">
      <c r="A20" s="1503" t="s">
        <v>738</v>
      </c>
      <c r="B20" s="602" t="s">
        <v>725</v>
      </c>
      <c r="C20" s="477"/>
      <c r="D20" s="477"/>
      <c r="E20" s="477"/>
      <c r="F20" s="477"/>
      <c r="G20" s="477"/>
      <c r="H20" s="474"/>
      <c r="I20" s="616"/>
      <c r="J20" s="475"/>
      <c r="K20" s="1669">
        <f t="shared" si="0"/>
        <v>0</v>
      </c>
      <c r="L20" s="471"/>
    </row>
    <row r="21" spans="1:12" x14ac:dyDescent="0.2">
      <c r="A21" s="1503" t="s">
        <v>739</v>
      </c>
      <c r="B21" s="602" t="s">
        <v>726</v>
      </c>
      <c r="C21" s="477"/>
      <c r="D21" s="477"/>
      <c r="E21" s="477"/>
      <c r="F21" s="477"/>
      <c r="G21" s="477"/>
      <c r="H21" s="474"/>
      <c r="I21" s="616"/>
      <c r="J21" s="477"/>
      <c r="K21" s="1669">
        <f t="shared" si="0"/>
        <v>0</v>
      </c>
      <c r="L21" s="471"/>
    </row>
    <row r="22" spans="1:12" x14ac:dyDescent="0.2">
      <c r="A22" s="1503" t="s">
        <v>740</v>
      </c>
      <c r="B22" s="602" t="s">
        <v>727</v>
      </c>
      <c r="C22" s="477"/>
      <c r="D22" s="477"/>
      <c r="E22" s="477"/>
      <c r="F22" s="477"/>
      <c r="G22" s="477"/>
      <c r="H22" s="474"/>
      <c r="I22" s="616"/>
      <c r="J22" s="477"/>
      <c r="K22" s="1669">
        <f t="shared" si="0"/>
        <v>0</v>
      </c>
      <c r="L22" s="471"/>
    </row>
    <row r="23" spans="1:12" x14ac:dyDescent="0.2">
      <c r="A23" s="1503" t="s">
        <v>741</v>
      </c>
      <c r="B23" s="602" t="s">
        <v>728</v>
      </c>
      <c r="C23" s="477"/>
      <c r="D23" s="477"/>
      <c r="E23" s="477"/>
      <c r="F23" s="477"/>
      <c r="G23" s="477"/>
      <c r="H23" s="474"/>
      <c r="I23" s="616"/>
      <c r="J23" s="477"/>
      <c r="K23" s="1669">
        <f t="shared" si="0"/>
        <v>0</v>
      </c>
      <c r="L23" s="471"/>
    </row>
    <row r="24" spans="1:12" ht="12.75" customHeight="1" x14ac:dyDescent="0.2">
      <c r="A24" s="1503" t="s">
        <v>742</v>
      </c>
      <c r="B24" s="602" t="s">
        <v>729</v>
      </c>
      <c r="C24" s="477"/>
      <c r="D24" s="477"/>
      <c r="E24" s="477"/>
      <c r="F24" s="477"/>
      <c r="G24" s="477"/>
      <c r="H24" s="474"/>
      <c r="I24" s="616"/>
      <c r="J24" s="477"/>
      <c r="K24" s="1669">
        <f t="shared" si="0"/>
        <v>0</v>
      </c>
      <c r="L24" s="471"/>
    </row>
    <row r="25" spans="1:12" ht="12.75" customHeight="1" x14ac:dyDescent="0.2">
      <c r="A25" s="1503" t="s">
        <v>802</v>
      </c>
      <c r="B25" s="602" t="s">
        <v>730</v>
      </c>
      <c r="C25" s="477"/>
      <c r="D25" s="477"/>
      <c r="E25" s="477"/>
      <c r="F25" s="477"/>
      <c r="G25" s="477"/>
      <c r="H25" s="474"/>
      <c r="I25" s="616"/>
      <c r="J25" s="477"/>
      <c r="K25" s="1669">
        <f t="shared" si="0"/>
        <v>0</v>
      </c>
      <c r="L25" s="471"/>
    </row>
    <row r="26" spans="1:12" x14ac:dyDescent="0.2">
      <c r="A26" s="1503" t="s">
        <v>622</v>
      </c>
      <c r="B26" s="602" t="s">
        <v>731</v>
      </c>
      <c r="C26" s="477"/>
      <c r="D26" s="477"/>
      <c r="E26" s="477"/>
      <c r="F26" s="477"/>
      <c r="G26" s="477"/>
      <c r="H26" s="474"/>
      <c r="I26" s="616"/>
      <c r="J26" s="477"/>
      <c r="K26" s="1669">
        <f t="shared" si="0"/>
        <v>0</v>
      </c>
      <c r="L26" s="471"/>
    </row>
    <row r="27" spans="1:12" x14ac:dyDescent="0.2">
      <c r="A27" s="1503" t="s">
        <v>623</v>
      </c>
      <c r="B27" s="602" t="s">
        <v>732</v>
      </c>
      <c r="C27" s="477"/>
      <c r="D27" s="477"/>
      <c r="E27" s="477"/>
      <c r="F27" s="477"/>
      <c r="G27" s="477"/>
      <c r="H27" s="474"/>
      <c r="I27" s="616"/>
      <c r="J27" s="477"/>
      <c r="K27" s="1669">
        <f t="shared" si="0"/>
        <v>0</v>
      </c>
      <c r="L27" s="471"/>
    </row>
    <row r="28" spans="1:12" x14ac:dyDescent="0.2">
      <c r="A28" s="1503" t="s">
        <v>150</v>
      </c>
      <c r="B28" s="602" t="s">
        <v>733</v>
      </c>
      <c r="C28" s="477"/>
      <c r="D28" s="477"/>
      <c r="E28" s="477"/>
      <c r="F28" s="477"/>
      <c r="G28" s="477"/>
      <c r="H28" s="474"/>
      <c r="I28" s="616"/>
      <c r="J28" s="477"/>
      <c r="K28" s="1669">
        <f t="shared" si="0"/>
        <v>0</v>
      </c>
      <c r="L28" s="471"/>
    </row>
    <row r="29" spans="1:12" x14ac:dyDescent="0.2">
      <c r="A29" s="1503" t="s">
        <v>151</v>
      </c>
      <c r="B29" s="602" t="s">
        <v>734</v>
      </c>
      <c r="C29" s="477"/>
      <c r="D29" s="477"/>
      <c r="E29" s="477"/>
      <c r="F29" s="477"/>
      <c r="G29" s="477"/>
      <c r="H29" s="474"/>
      <c r="I29" s="616"/>
      <c r="J29" s="477"/>
      <c r="K29" s="1669">
        <f t="shared" si="0"/>
        <v>0</v>
      </c>
      <c r="L29" s="471"/>
    </row>
    <row r="30" spans="1:12" x14ac:dyDescent="0.2">
      <c r="A30" s="1503" t="s">
        <v>152</v>
      </c>
      <c r="B30" s="602" t="s">
        <v>735</v>
      </c>
      <c r="C30" s="477"/>
      <c r="D30" s="477"/>
      <c r="E30" s="477"/>
      <c r="F30" s="477"/>
      <c r="G30" s="477"/>
      <c r="H30" s="474"/>
      <c r="I30" s="616"/>
      <c r="J30" s="477"/>
      <c r="K30" s="1669">
        <f t="shared" si="0"/>
        <v>0</v>
      </c>
      <c r="L30" s="471"/>
    </row>
    <row r="31" spans="1:12" x14ac:dyDescent="0.2">
      <c r="A31" s="1503" t="s">
        <v>153</v>
      </c>
      <c r="B31" s="602" t="s">
        <v>736</v>
      </c>
      <c r="C31" s="477"/>
      <c r="D31" s="477"/>
      <c r="E31" s="477"/>
      <c r="F31" s="477"/>
      <c r="G31" s="477"/>
      <c r="H31" s="474"/>
      <c r="I31" s="616"/>
      <c r="J31" s="477"/>
      <c r="K31" s="1669">
        <f t="shared" si="0"/>
        <v>0</v>
      </c>
      <c r="L31" s="471"/>
    </row>
    <row r="32" spans="1:12" x14ac:dyDescent="0.2">
      <c r="A32" s="1504"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107445557</v>
      </c>
      <c r="D33" s="1668">
        <f t="shared" ref="D33:L33" si="1">SUM(D5:D32)</f>
        <v>20590229</v>
      </c>
      <c r="E33" s="1668">
        <f t="shared" si="1"/>
        <v>2437107</v>
      </c>
      <c r="F33" s="1668">
        <f t="shared" si="1"/>
        <v>2650918</v>
      </c>
      <c r="G33" s="1668">
        <f t="shared" si="1"/>
        <v>428857</v>
      </c>
      <c r="H33" s="1668">
        <f t="shared" si="1"/>
        <v>386246</v>
      </c>
      <c r="I33" s="1668">
        <f t="shared" si="1"/>
        <v>3310387</v>
      </c>
      <c r="J33" s="1668">
        <f t="shared" si="1"/>
        <v>16140</v>
      </c>
      <c r="K33" s="1668">
        <f t="shared" si="1"/>
        <v>137265441</v>
      </c>
      <c r="L33" s="1668">
        <f t="shared" si="1"/>
        <v>136226896</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1727936</v>
      </c>
      <c r="D36" s="481">
        <v>488518</v>
      </c>
      <c r="E36" s="481">
        <v>848323</v>
      </c>
      <c r="F36" s="481">
        <v>12427</v>
      </c>
      <c r="G36" s="481"/>
      <c r="H36" s="481">
        <v>525</v>
      </c>
      <c r="I36" s="467">
        <v>920</v>
      </c>
      <c r="J36" s="467"/>
      <c r="K36" s="1669">
        <f t="shared" ref="K36:K41" si="2">SUM(C36:J36)</f>
        <v>3078649</v>
      </c>
      <c r="L36" s="466">
        <v>3127194</v>
      </c>
    </row>
    <row r="37" spans="1:14" x14ac:dyDescent="0.2">
      <c r="A37" s="1502" t="s">
        <v>1090</v>
      </c>
      <c r="B37" s="614">
        <v>2120</v>
      </c>
      <c r="C37" s="466">
        <v>7154116</v>
      </c>
      <c r="D37" s="466">
        <v>1562393</v>
      </c>
      <c r="E37" s="466">
        <v>40213</v>
      </c>
      <c r="F37" s="466">
        <v>679954</v>
      </c>
      <c r="G37" s="466"/>
      <c r="H37" s="466">
        <v>4300</v>
      </c>
      <c r="I37" s="467">
        <v>520</v>
      </c>
      <c r="J37" s="467"/>
      <c r="K37" s="1669">
        <f t="shared" si="2"/>
        <v>9441496</v>
      </c>
      <c r="L37" s="466">
        <v>9557227</v>
      </c>
    </row>
    <row r="38" spans="1:14" x14ac:dyDescent="0.2">
      <c r="A38" s="1502" t="s">
        <v>198</v>
      </c>
      <c r="B38" s="614">
        <v>2130</v>
      </c>
      <c r="C38" s="466">
        <v>726483</v>
      </c>
      <c r="D38" s="466">
        <v>240309</v>
      </c>
      <c r="E38" s="466">
        <v>4936</v>
      </c>
      <c r="F38" s="466">
        <v>36093</v>
      </c>
      <c r="G38" s="466"/>
      <c r="H38" s="466"/>
      <c r="I38" s="467">
        <v>203</v>
      </c>
      <c r="J38" s="467"/>
      <c r="K38" s="1669">
        <f t="shared" si="2"/>
        <v>1008024</v>
      </c>
      <c r="L38" s="466">
        <v>995431</v>
      </c>
    </row>
    <row r="39" spans="1:14" x14ac:dyDescent="0.2">
      <c r="A39" s="1502" t="s">
        <v>199</v>
      </c>
      <c r="B39" s="614">
        <v>2140</v>
      </c>
      <c r="C39" s="466">
        <v>2174985</v>
      </c>
      <c r="D39" s="466">
        <v>400349</v>
      </c>
      <c r="E39" s="466"/>
      <c r="F39" s="466"/>
      <c r="G39" s="466"/>
      <c r="H39" s="466"/>
      <c r="I39" s="467"/>
      <c r="J39" s="467"/>
      <c r="K39" s="1669">
        <f t="shared" si="2"/>
        <v>2575334</v>
      </c>
      <c r="L39" s="466">
        <v>2524300</v>
      </c>
    </row>
    <row r="40" spans="1:14" x14ac:dyDescent="0.2">
      <c r="A40" s="1502" t="s">
        <v>200</v>
      </c>
      <c r="B40" s="614">
        <v>2150</v>
      </c>
      <c r="C40" s="466">
        <v>1177657</v>
      </c>
      <c r="D40" s="466">
        <v>156564</v>
      </c>
      <c r="E40" s="466"/>
      <c r="F40" s="466"/>
      <c r="G40" s="466"/>
      <c r="H40" s="466"/>
      <c r="I40" s="467"/>
      <c r="J40" s="467"/>
      <c r="K40" s="1669">
        <f t="shared" si="2"/>
        <v>1334221</v>
      </c>
      <c r="L40" s="466">
        <v>1286800</v>
      </c>
    </row>
    <row r="41" spans="1:14" x14ac:dyDescent="0.2">
      <c r="A41" s="1502" t="s">
        <v>1669</v>
      </c>
      <c r="B41" s="614">
        <v>2190</v>
      </c>
      <c r="C41" s="466">
        <v>2114774</v>
      </c>
      <c r="D41" s="466">
        <v>1312487</v>
      </c>
      <c r="E41" s="466"/>
      <c r="F41" s="466"/>
      <c r="G41" s="466"/>
      <c r="H41" s="466"/>
      <c r="I41" s="467"/>
      <c r="J41" s="467"/>
      <c r="K41" s="1669">
        <f t="shared" si="2"/>
        <v>3427261</v>
      </c>
      <c r="L41" s="466">
        <v>3458500</v>
      </c>
    </row>
    <row r="42" spans="1:14" ht="12.75" customHeight="1" thickBot="1" x14ac:dyDescent="0.25">
      <c r="A42" s="1666" t="s">
        <v>560</v>
      </c>
      <c r="B42" s="1667" t="s">
        <v>716</v>
      </c>
      <c r="C42" s="1668">
        <f>SUM(C36:C41)</f>
        <v>15075951</v>
      </c>
      <c r="D42" s="1668">
        <f t="shared" ref="D42:L42" si="3">SUM(D36:D41)</f>
        <v>4160620</v>
      </c>
      <c r="E42" s="1668">
        <f t="shared" si="3"/>
        <v>893472</v>
      </c>
      <c r="F42" s="1668">
        <f t="shared" si="3"/>
        <v>728474</v>
      </c>
      <c r="G42" s="1668">
        <f t="shared" si="3"/>
        <v>0</v>
      </c>
      <c r="H42" s="1668">
        <f t="shared" si="3"/>
        <v>4825</v>
      </c>
      <c r="I42" s="1668">
        <f t="shared" si="3"/>
        <v>1643</v>
      </c>
      <c r="J42" s="1668">
        <f t="shared" si="3"/>
        <v>0</v>
      </c>
      <c r="K42" s="1668">
        <f t="shared" si="3"/>
        <v>20864985</v>
      </c>
      <c r="L42" s="1668">
        <f t="shared" si="3"/>
        <v>20949452</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1813138</v>
      </c>
      <c r="D44" s="481">
        <v>201621</v>
      </c>
      <c r="E44" s="481">
        <v>254105</v>
      </c>
      <c r="F44" s="481">
        <v>33581</v>
      </c>
      <c r="G44" s="481"/>
      <c r="H44" s="481">
        <v>964</v>
      </c>
      <c r="I44" s="467"/>
      <c r="J44" s="467"/>
      <c r="K44" s="1670">
        <f>SUM(C44:J44)</f>
        <v>2303409</v>
      </c>
      <c r="L44" s="481">
        <v>2115415</v>
      </c>
    </row>
    <row r="45" spans="1:14" x14ac:dyDescent="0.2">
      <c r="A45" s="1502" t="s">
        <v>815</v>
      </c>
      <c r="B45" s="614">
        <v>2220</v>
      </c>
      <c r="C45" s="466">
        <v>1395708</v>
      </c>
      <c r="D45" s="466">
        <v>442502</v>
      </c>
      <c r="E45" s="466">
        <v>148326</v>
      </c>
      <c r="F45" s="466">
        <v>64160</v>
      </c>
      <c r="G45" s="466"/>
      <c r="H45" s="466"/>
      <c r="I45" s="467">
        <v>10118</v>
      </c>
      <c r="J45" s="467"/>
      <c r="K45" s="1670">
        <f>SUM(C45:J45)</f>
        <v>2060814</v>
      </c>
      <c r="L45" s="466">
        <v>2041553</v>
      </c>
    </row>
    <row r="46" spans="1:14" x14ac:dyDescent="0.2">
      <c r="A46" s="1502" t="s">
        <v>816</v>
      </c>
      <c r="B46" s="614">
        <v>2230</v>
      </c>
      <c r="C46" s="466"/>
      <c r="D46" s="466"/>
      <c r="E46" s="466">
        <v>222315</v>
      </c>
      <c r="F46" s="466"/>
      <c r="G46" s="466"/>
      <c r="H46" s="466"/>
      <c r="I46" s="467"/>
      <c r="J46" s="467"/>
      <c r="K46" s="1670">
        <f>SUM(C46:J46)</f>
        <v>222315</v>
      </c>
      <c r="L46" s="466">
        <v>274000</v>
      </c>
    </row>
    <row r="47" spans="1:14" ht="12.75" customHeight="1" thickBot="1" x14ac:dyDescent="0.25">
      <c r="A47" s="1666" t="s">
        <v>561</v>
      </c>
      <c r="B47" s="1667" t="s">
        <v>32</v>
      </c>
      <c r="C47" s="1668">
        <f>SUM(C44:C46)</f>
        <v>3208846</v>
      </c>
      <c r="D47" s="1668">
        <f t="shared" ref="D47:K47" si="4">SUM(D44:D46)</f>
        <v>644123</v>
      </c>
      <c r="E47" s="1668">
        <f t="shared" si="4"/>
        <v>624746</v>
      </c>
      <c r="F47" s="1668">
        <f t="shared" si="4"/>
        <v>97741</v>
      </c>
      <c r="G47" s="1668">
        <f t="shared" si="4"/>
        <v>0</v>
      </c>
      <c r="H47" s="1668">
        <f t="shared" si="4"/>
        <v>964</v>
      </c>
      <c r="I47" s="1668">
        <f t="shared" si="4"/>
        <v>10118</v>
      </c>
      <c r="J47" s="1668">
        <f t="shared" si="4"/>
        <v>0</v>
      </c>
      <c r="K47" s="1668">
        <f t="shared" si="4"/>
        <v>4586538</v>
      </c>
      <c r="L47" s="1668">
        <f>SUM(L44:L46)</f>
        <v>4430968</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c r="D49" s="481"/>
      <c r="E49" s="481">
        <v>456028</v>
      </c>
      <c r="F49" s="481">
        <v>2659</v>
      </c>
      <c r="G49" s="481"/>
      <c r="H49" s="481">
        <v>35507</v>
      </c>
      <c r="I49" s="467"/>
      <c r="J49" s="467"/>
      <c r="K49" s="1670">
        <f>SUM(C49:J49)</f>
        <v>494194</v>
      </c>
      <c r="L49" s="481">
        <v>501500</v>
      </c>
    </row>
    <row r="50" spans="1:14" x14ac:dyDescent="0.2">
      <c r="A50" s="1502" t="s">
        <v>818</v>
      </c>
      <c r="B50" s="614">
        <v>2320</v>
      </c>
      <c r="C50" s="466">
        <v>430976</v>
      </c>
      <c r="D50" s="466">
        <v>43137</v>
      </c>
      <c r="E50" s="466">
        <v>9215</v>
      </c>
      <c r="F50" s="466">
        <v>4170</v>
      </c>
      <c r="G50" s="466"/>
      <c r="H50" s="466">
        <v>2148</v>
      </c>
      <c r="I50" s="467"/>
      <c r="J50" s="467"/>
      <c r="K50" s="1670">
        <f>SUM(C50:J50)</f>
        <v>489646</v>
      </c>
      <c r="L50" s="466">
        <v>487800</v>
      </c>
    </row>
    <row r="51" spans="1:14" x14ac:dyDescent="0.2">
      <c r="A51" s="1502" t="s">
        <v>42</v>
      </c>
      <c r="B51" s="614">
        <v>2330</v>
      </c>
      <c r="C51" s="466">
        <v>882575</v>
      </c>
      <c r="D51" s="466">
        <v>144763</v>
      </c>
      <c r="E51" s="466">
        <v>14860</v>
      </c>
      <c r="F51" s="466">
        <v>1725</v>
      </c>
      <c r="G51" s="466"/>
      <c r="H51" s="466"/>
      <c r="I51" s="467"/>
      <c r="J51" s="467"/>
      <c r="K51" s="1670">
        <f>SUM(C51:J51)</f>
        <v>1043923</v>
      </c>
      <c r="L51" s="466">
        <v>1053800</v>
      </c>
    </row>
    <row r="52" spans="1:14" ht="22.5" x14ac:dyDescent="0.2">
      <c r="A52" s="1503"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1313551</v>
      </c>
      <c r="D53" s="1668">
        <f t="shared" ref="D53:L53" si="5">SUM(D49:D52)</f>
        <v>187900</v>
      </c>
      <c r="E53" s="1668">
        <f t="shared" si="5"/>
        <v>480103</v>
      </c>
      <c r="F53" s="1668">
        <f t="shared" si="5"/>
        <v>8554</v>
      </c>
      <c r="G53" s="1668">
        <f t="shared" si="5"/>
        <v>0</v>
      </c>
      <c r="H53" s="1668">
        <f t="shared" si="5"/>
        <v>37655</v>
      </c>
      <c r="I53" s="1668">
        <f t="shared" si="5"/>
        <v>0</v>
      </c>
      <c r="J53" s="1668">
        <f t="shared" si="5"/>
        <v>0</v>
      </c>
      <c r="K53" s="1668">
        <f t="shared" si="5"/>
        <v>2027763</v>
      </c>
      <c r="L53" s="1668">
        <f t="shared" si="5"/>
        <v>2043100</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7582343</v>
      </c>
      <c r="D55" s="481">
        <v>2068149</v>
      </c>
      <c r="E55" s="481">
        <v>369090</v>
      </c>
      <c r="F55" s="481">
        <v>475310</v>
      </c>
      <c r="G55" s="481"/>
      <c r="H55" s="481">
        <v>22906</v>
      </c>
      <c r="I55" s="467">
        <v>68758</v>
      </c>
      <c r="J55" s="467">
        <v>46748</v>
      </c>
      <c r="K55" s="1670">
        <f>SUM(C55:J55)</f>
        <v>10633304</v>
      </c>
      <c r="L55" s="481">
        <v>10500559</v>
      </c>
    </row>
    <row r="56" spans="1:14" ht="12.75" customHeight="1" x14ac:dyDescent="0.2">
      <c r="A56" s="1506"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7582343</v>
      </c>
      <c r="D57" s="1672">
        <f t="shared" ref="D57:K57" si="6">SUM(D55:D56)</f>
        <v>2068149</v>
      </c>
      <c r="E57" s="1672">
        <f t="shared" si="6"/>
        <v>369090</v>
      </c>
      <c r="F57" s="1672">
        <f t="shared" si="6"/>
        <v>475310</v>
      </c>
      <c r="G57" s="1672">
        <f t="shared" si="6"/>
        <v>0</v>
      </c>
      <c r="H57" s="1672">
        <f t="shared" si="6"/>
        <v>22906</v>
      </c>
      <c r="I57" s="1672">
        <f t="shared" si="6"/>
        <v>68758</v>
      </c>
      <c r="J57" s="1672">
        <f t="shared" si="6"/>
        <v>46748</v>
      </c>
      <c r="K57" s="1672">
        <f t="shared" si="6"/>
        <v>10633304</v>
      </c>
      <c r="L57" s="1668">
        <f>SUM(L55:L56)</f>
        <v>10500559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v>218692</v>
      </c>
      <c r="D59" s="481">
        <v>30588</v>
      </c>
      <c r="E59" s="481">
        <v>3549</v>
      </c>
      <c r="F59" s="481">
        <v>2580</v>
      </c>
      <c r="G59" s="481"/>
      <c r="H59" s="481">
        <v>1470</v>
      </c>
      <c r="I59" s="467"/>
      <c r="J59" s="467"/>
      <c r="K59" s="1670">
        <f t="shared" ref="K59:K64" si="7">SUM(C59:J59)</f>
        <v>256879</v>
      </c>
      <c r="L59" s="481">
        <v>268900</v>
      </c>
      <c r="M59" s="609"/>
      <c r="N59" s="609"/>
    </row>
    <row r="60" spans="1:14" s="343" customFormat="1" x14ac:dyDescent="0.2">
      <c r="A60" s="1502" t="s">
        <v>463</v>
      </c>
      <c r="B60" s="614">
        <v>2520</v>
      </c>
      <c r="C60" s="466">
        <v>744429</v>
      </c>
      <c r="D60" s="466">
        <v>245193</v>
      </c>
      <c r="E60" s="466">
        <v>35353</v>
      </c>
      <c r="F60" s="466">
        <v>6850</v>
      </c>
      <c r="G60" s="466"/>
      <c r="H60" s="466"/>
      <c r="I60" s="467"/>
      <c r="J60" s="467"/>
      <c r="K60" s="1670">
        <f t="shared" si="7"/>
        <v>1031825</v>
      </c>
      <c r="L60" s="466">
        <v>970558</v>
      </c>
      <c r="M60" s="609"/>
      <c r="N60" s="609"/>
    </row>
    <row r="61" spans="1:14" s="343" customFormat="1" x14ac:dyDescent="0.2">
      <c r="A61" s="1502" t="s">
        <v>197</v>
      </c>
      <c r="B61" s="614">
        <v>2540</v>
      </c>
      <c r="C61" s="466"/>
      <c r="D61" s="466"/>
      <c r="E61" s="466"/>
      <c r="F61" s="466"/>
      <c r="G61" s="466"/>
      <c r="H61" s="466"/>
      <c r="I61" s="467"/>
      <c r="J61" s="467"/>
      <c r="K61" s="1670">
        <f t="shared" si="7"/>
        <v>0</v>
      </c>
      <c r="L61" s="466"/>
      <c r="M61" s="609"/>
      <c r="N61" s="609"/>
    </row>
    <row r="62" spans="1:14" s="343" customFormat="1" x14ac:dyDescent="0.2">
      <c r="A62" s="1502" t="s">
        <v>953</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v>2317755</v>
      </c>
      <c r="D63" s="466">
        <v>1474678</v>
      </c>
      <c r="E63" s="466">
        <v>26856</v>
      </c>
      <c r="F63" s="466">
        <v>1942843</v>
      </c>
      <c r="G63" s="466"/>
      <c r="H63" s="466">
        <v>33635</v>
      </c>
      <c r="I63" s="467">
        <v>33344</v>
      </c>
      <c r="J63" s="467"/>
      <c r="K63" s="1670">
        <f t="shared" si="7"/>
        <v>5829111</v>
      </c>
      <c r="L63" s="466">
        <v>5789930</v>
      </c>
    </row>
    <row r="64" spans="1:14" s="609" customFormat="1" x14ac:dyDescent="0.2">
      <c r="A64" s="1507" t="s">
        <v>101</v>
      </c>
      <c r="B64" s="630">
        <v>2570</v>
      </c>
      <c r="C64" s="481">
        <v>89713</v>
      </c>
      <c r="D64" s="481">
        <v>23967</v>
      </c>
      <c r="E64" s="481">
        <v>1568</v>
      </c>
      <c r="F64" s="481">
        <v>137</v>
      </c>
      <c r="G64" s="481"/>
      <c r="H64" s="481"/>
      <c r="I64" s="467"/>
      <c r="J64" s="467"/>
      <c r="K64" s="1670">
        <f t="shared" si="7"/>
        <v>115385</v>
      </c>
      <c r="L64" s="481">
        <v>117400</v>
      </c>
    </row>
    <row r="65" spans="1:14" s="343" customFormat="1" ht="12.75" customHeight="1" thickBot="1" x14ac:dyDescent="0.25">
      <c r="A65" s="1666" t="s">
        <v>719</v>
      </c>
      <c r="B65" s="1667" t="s">
        <v>35</v>
      </c>
      <c r="C65" s="1668">
        <f>SUM(C59:C64)</f>
        <v>3370589</v>
      </c>
      <c r="D65" s="1668">
        <f t="shared" ref="D65:L65" si="8">SUM(D59:D64)</f>
        <v>1774426</v>
      </c>
      <c r="E65" s="1668">
        <f t="shared" si="8"/>
        <v>67326</v>
      </c>
      <c r="F65" s="1668">
        <f t="shared" si="8"/>
        <v>1952410</v>
      </c>
      <c r="G65" s="1668">
        <f t="shared" si="8"/>
        <v>0</v>
      </c>
      <c r="H65" s="1668">
        <f t="shared" si="8"/>
        <v>35105</v>
      </c>
      <c r="I65" s="1668">
        <f t="shared" si="8"/>
        <v>33344</v>
      </c>
      <c r="J65" s="1668">
        <f t="shared" si="8"/>
        <v>0</v>
      </c>
      <c r="K65" s="1668">
        <f t="shared" si="8"/>
        <v>7233200</v>
      </c>
      <c r="L65" s="1668">
        <f t="shared" si="8"/>
        <v>7146788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70">
        <f>SUM(C67:J67)</f>
        <v>0</v>
      </c>
      <c r="L67" s="481"/>
      <c r="M67" s="609"/>
      <c r="N67" s="609"/>
    </row>
    <row r="68" spans="1:14" s="343" customFormat="1" x14ac:dyDescent="0.2">
      <c r="A68" s="1502" t="s">
        <v>607</v>
      </c>
      <c r="B68" s="614">
        <v>2620</v>
      </c>
      <c r="C68" s="466"/>
      <c r="D68" s="466"/>
      <c r="E68" s="466"/>
      <c r="F68" s="466"/>
      <c r="G68" s="466"/>
      <c r="H68" s="466"/>
      <c r="I68" s="467"/>
      <c r="J68" s="467"/>
      <c r="K68" s="1670">
        <f>SUM(C68:J68)</f>
        <v>0</v>
      </c>
      <c r="L68" s="466"/>
      <c r="M68" s="609"/>
      <c r="N68" s="609"/>
    </row>
    <row r="69" spans="1:14" s="343" customFormat="1" x14ac:dyDescent="0.2">
      <c r="A69" s="1502" t="s">
        <v>1061</v>
      </c>
      <c r="B69" s="614">
        <v>2630</v>
      </c>
      <c r="C69" s="466">
        <v>327172</v>
      </c>
      <c r="D69" s="466">
        <v>61628</v>
      </c>
      <c r="E69" s="466">
        <v>5144</v>
      </c>
      <c r="F69" s="466">
        <v>167508</v>
      </c>
      <c r="G69" s="466">
        <v>41789</v>
      </c>
      <c r="H69" s="466"/>
      <c r="I69" s="467"/>
      <c r="J69" s="467"/>
      <c r="K69" s="1670">
        <f>SUM(C69:J69)</f>
        <v>603241</v>
      </c>
      <c r="L69" s="466">
        <v>702500</v>
      </c>
      <c r="M69" s="609"/>
      <c r="N69" s="609"/>
    </row>
    <row r="70" spans="1:14" s="343" customFormat="1" x14ac:dyDescent="0.2">
      <c r="A70" s="1502" t="s">
        <v>403</v>
      </c>
      <c r="B70" s="614">
        <v>2640</v>
      </c>
      <c r="C70" s="466">
        <v>501447</v>
      </c>
      <c r="D70" s="466">
        <v>105945</v>
      </c>
      <c r="E70" s="466">
        <v>40766</v>
      </c>
      <c r="F70" s="466">
        <v>5079</v>
      </c>
      <c r="G70" s="466"/>
      <c r="H70" s="466"/>
      <c r="I70" s="467"/>
      <c r="J70" s="467"/>
      <c r="K70" s="1670">
        <f>SUM(C70:J70)</f>
        <v>653237</v>
      </c>
      <c r="L70" s="466">
        <v>689050</v>
      </c>
      <c r="M70" s="609"/>
      <c r="N70" s="609"/>
    </row>
    <row r="71" spans="1:14" s="343" customFormat="1" x14ac:dyDescent="0.2">
      <c r="A71" s="1502" t="s">
        <v>404</v>
      </c>
      <c r="B71" s="614">
        <v>2660</v>
      </c>
      <c r="C71" s="466">
        <v>1568943</v>
      </c>
      <c r="D71" s="466">
        <v>287360</v>
      </c>
      <c r="E71" s="466">
        <v>1454806</v>
      </c>
      <c r="F71" s="466">
        <v>125193</v>
      </c>
      <c r="G71" s="466">
        <v>586173</v>
      </c>
      <c r="H71" s="466"/>
      <c r="I71" s="467">
        <v>17867</v>
      </c>
      <c r="J71" s="467"/>
      <c r="K71" s="1670">
        <f>SUM(C71:J71)</f>
        <v>4040342</v>
      </c>
      <c r="L71" s="466">
        <v>4600000</v>
      </c>
      <c r="M71" s="609"/>
      <c r="N71" s="609"/>
    </row>
    <row r="72" spans="1:14" s="343" customFormat="1" ht="12.75" customHeight="1" thickBot="1" x14ac:dyDescent="0.25">
      <c r="A72" s="1666" t="s">
        <v>37</v>
      </c>
      <c r="B72" s="1673" t="s">
        <v>36</v>
      </c>
      <c r="C72" s="1668">
        <f>SUM(C67:C71)</f>
        <v>2397562</v>
      </c>
      <c r="D72" s="1668">
        <f t="shared" ref="D72:K72" si="9">SUM(D67:D71)</f>
        <v>454933</v>
      </c>
      <c r="E72" s="1668">
        <f t="shared" si="9"/>
        <v>1500716</v>
      </c>
      <c r="F72" s="1668">
        <f t="shared" si="9"/>
        <v>297780</v>
      </c>
      <c r="G72" s="1668">
        <f t="shared" si="9"/>
        <v>627962</v>
      </c>
      <c r="H72" s="1668">
        <f t="shared" si="9"/>
        <v>0</v>
      </c>
      <c r="I72" s="1668">
        <f t="shared" si="9"/>
        <v>17867</v>
      </c>
      <c r="J72" s="1668">
        <f t="shared" si="9"/>
        <v>0</v>
      </c>
      <c r="K72" s="1668">
        <f t="shared" si="9"/>
        <v>5296820</v>
      </c>
      <c r="L72" s="1668">
        <f>SUM(L67:L71)</f>
        <v>5991550</v>
      </c>
      <c r="M72" s="609"/>
      <c r="N72" s="609"/>
    </row>
    <row r="73" spans="1:14" s="343" customFormat="1" ht="14.25" thickTop="1" thickBot="1" x14ac:dyDescent="0.25">
      <c r="A73" s="1508" t="s">
        <v>980</v>
      </c>
      <c r="B73" s="632" t="s">
        <v>574</v>
      </c>
      <c r="C73" s="573"/>
      <c r="D73" s="573"/>
      <c r="E73" s="573"/>
      <c r="F73" s="573">
        <v>201</v>
      </c>
      <c r="G73" s="573"/>
      <c r="H73" s="573"/>
      <c r="I73" s="531"/>
      <c r="J73" s="531"/>
      <c r="K73" s="1668">
        <f>SUM(C73:J73)</f>
        <v>201</v>
      </c>
      <c r="L73" s="576">
        <v>7000</v>
      </c>
      <c r="M73" s="609"/>
      <c r="N73" s="609"/>
    </row>
    <row r="74" spans="1:14" ht="12.75" customHeight="1" thickTop="1" thickBot="1" x14ac:dyDescent="0.25">
      <c r="A74" s="1666" t="s">
        <v>811</v>
      </c>
      <c r="B74" s="1674">
        <v>2000</v>
      </c>
      <c r="C74" s="1675">
        <f>SUM(C42,C47,C53,C57,C65,C72,C73)</f>
        <v>32948842</v>
      </c>
      <c r="D74" s="1675">
        <f t="shared" ref="D74:K74" si="10">SUM(D42,D47,D53,D57,D65,D72,D73)</f>
        <v>9290151</v>
      </c>
      <c r="E74" s="1675">
        <f t="shared" si="10"/>
        <v>3935453</v>
      </c>
      <c r="F74" s="1675">
        <f t="shared" si="10"/>
        <v>3560470</v>
      </c>
      <c r="G74" s="1675">
        <f t="shared" si="10"/>
        <v>627962</v>
      </c>
      <c r="H74" s="1675">
        <f t="shared" si="10"/>
        <v>101455</v>
      </c>
      <c r="I74" s="1675">
        <f t="shared" si="10"/>
        <v>131730</v>
      </c>
      <c r="J74" s="1675">
        <f t="shared" si="10"/>
        <v>46748</v>
      </c>
      <c r="K74" s="1675">
        <f t="shared" si="10"/>
        <v>50642811</v>
      </c>
      <c r="L74" s="1675">
        <f>SUM(L42,L47,L53,L57,L65,L72,L73)</f>
        <v>51069417</v>
      </c>
    </row>
    <row r="75" spans="1:14" s="259" customFormat="1" ht="15.75" customHeight="1" thickTop="1" thickBot="1" x14ac:dyDescent="0.25">
      <c r="A75" s="1608" t="s">
        <v>47</v>
      </c>
      <c r="B75" s="1609" t="s">
        <v>575</v>
      </c>
      <c r="C75" s="573"/>
      <c r="D75" s="573"/>
      <c r="E75" s="573">
        <v>5843</v>
      </c>
      <c r="F75" s="573">
        <v>5863</v>
      </c>
      <c r="G75" s="573"/>
      <c r="H75" s="573"/>
      <c r="I75" s="531"/>
      <c r="J75" s="531"/>
      <c r="K75" s="1668">
        <f>SUM(C75:J75)</f>
        <v>11706</v>
      </c>
      <c r="L75" s="576">
        <v>32587</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c r="I78" s="477"/>
      <c r="J78" s="477"/>
      <c r="K78" s="1669">
        <f t="shared" ref="K78:K83" si="11">SUM(C78:J78)</f>
        <v>0</v>
      </c>
      <c r="L78" s="481"/>
    </row>
    <row r="79" spans="1:14" x14ac:dyDescent="0.2">
      <c r="A79" s="1502" t="s">
        <v>304</v>
      </c>
      <c r="B79" s="614">
        <v>4120</v>
      </c>
      <c r="C79" s="616"/>
      <c r="D79" s="616"/>
      <c r="E79" s="466"/>
      <c r="F79" s="616"/>
      <c r="G79" s="616"/>
      <c r="H79" s="466"/>
      <c r="I79" s="477"/>
      <c r="J79" s="477"/>
      <c r="K79" s="1669">
        <f t="shared" si="11"/>
        <v>0</v>
      </c>
      <c r="L79" s="466"/>
    </row>
    <row r="80" spans="1:14" x14ac:dyDescent="0.2">
      <c r="A80" s="1502" t="s">
        <v>305</v>
      </c>
      <c r="B80" s="614">
        <v>4130</v>
      </c>
      <c r="C80" s="616"/>
      <c r="D80" s="616"/>
      <c r="E80" s="466"/>
      <c r="F80" s="616"/>
      <c r="G80" s="616"/>
      <c r="H80" s="466"/>
      <c r="I80" s="477"/>
      <c r="J80" s="477"/>
      <c r="K80" s="1669">
        <f t="shared" si="11"/>
        <v>0</v>
      </c>
      <c r="L80" s="466"/>
    </row>
    <row r="81" spans="1:12" x14ac:dyDescent="0.2">
      <c r="A81" s="1502" t="s">
        <v>697</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v>274812</v>
      </c>
      <c r="I82" s="477"/>
      <c r="J82" s="477"/>
      <c r="K82" s="1669">
        <f t="shared" si="11"/>
        <v>274812</v>
      </c>
      <c r="L82" s="466">
        <v>310000</v>
      </c>
    </row>
    <row r="83" spans="1:12" x14ac:dyDescent="0.2">
      <c r="A83" s="1506"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0</v>
      </c>
      <c r="F84" s="616"/>
      <c r="G84" s="616"/>
      <c r="H84" s="1668">
        <f>SUM(H78:H83)</f>
        <v>274812</v>
      </c>
      <c r="I84" s="477"/>
      <c r="J84" s="477"/>
      <c r="K84" s="1668">
        <f>SUM(K78:K83)</f>
        <v>274812</v>
      </c>
      <c r="L84" s="1668">
        <f>SUM(L78:L83)</f>
        <v>310000</v>
      </c>
    </row>
    <row r="85" spans="1:12" ht="12.75" customHeight="1" thickTop="1" thickBot="1" x14ac:dyDescent="0.25">
      <c r="A85" s="1509" t="s">
        <v>255</v>
      </c>
      <c r="B85" s="635">
        <v>4210</v>
      </c>
      <c r="C85" s="616"/>
      <c r="D85" s="616"/>
      <c r="E85" s="636"/>
      <c r="F85" s="616"/>
      <c r="G85" s="616"/>
      <c r="H85" s="535">
        <v>221764</v>
      </c>
      <c r="I85" s="477"/>
      <c r="J85" s="477"/>
      <c r="K85" s="1675">
        <f>H85</f>
        <v>221764</v>
      </c>
      <c r="L85" s="530">
        <v>208000</v>
      </c>
    </row>
    <row r="86" spans="1:12" ht="12.75" customHeight="1" thickTop="1" thickBot="1" x14ac:dyDescent="0.25">
      <c r="A86" s="1510" t="s">
        <v>699</v>
      </c>
      <c r="B86" s="637">
        <v>4220</v>
      </c>
      <c r="C86" s="616"/>
      <c r="D86" s="616"/>
      <c r="E86" s="638"/>
      <c r="F86" s="616"/>
      <c r="G86" s="616"/>
      <c r="H86" s="467">
        <v>7764573</v>
      </c>
      <c r="I86" s="477"/>
      <c r="J86" s="477"/>
      <c r="K86" s="1675">
        <f t="shared" ref="K86:K98" si="12">H86</f>
        <v>7764573</v>
      </c>
      <c r="L86" s="530">
        <v>8264000</v>
      </c>
    </row>
    <row r="87" spans="1:12" ht="14.25" thickTop="1" thickBot="1" x14ac:dyDescent="0.25">
      <c r="A87" s="1511" t="s">
        <v>700</v>
      </c>
      <c r="B87" s="639">
        <v>4230</v>
      </c>
      <c r="C87" s="616"/>
      <c r="D87" s="616"/>
      <c r="E87" s="638"/>
      <c r="F87" s="616"/>
      <c r="G87" s="616"/>
      <c r="H87" s="467"/>
      <c r="I87" s="477"/>
      <c r="J87" s="477"/>
      <c r="K87" s="1675">
        <f t="shared" si="12"/>
        <v>0</v>
      </c>
      <c r="L87" s="530"/>
    </row>
    <row r="88" spans="1:12" ht="12.75" customHeight="1" thickTop="1" thickBot="1" x14ac:dyDescent="0.25">
      <c r="A88" s="1511" t="s">
        <v>765</v>
      </c>
      <c r="B88" s="639">
        <v>4240</v>
      </c>
      <c r="C88" s="616"/>
      <c r="D88" s="616"/>
      <c r="E88" s="638"/>
      <c r="F88" s="616"/>
      <c r="G88" s="616"/>
      <c r="H88" s="467">
        <v>4372</v>
      </c>
      <c r="I88" s="477"/>
      <c r="J88" s="477"/>
      <c r="K88" s="1675">
        <f t="shared" si="12"/>
        <v>4372</v>
      </c>
      <c r="L88" s="530">
        <v>20000</v>
      </c>
    </row>
    <row r="89" spans="1:12" ht="12.75" customHeight="1" thickTop="1" thickBot="1" x14ac:dyDescent="0.25">
      <c r="A89" s="1511" t="s">
        <v>701</v>
      </c>
      <c r="B89" s="639">
        <v>4270</v>
      </c>
      <c r="C89" s="616"/>
      <c r="D89" s="616"/>
      <c r="E89" s="638"/>
      <c r="F89" s="616"/>
      <c r="G89" s="616"/>
      <c r="H89" s="467"/>
      <c r="I89" s="477"/>
      <c r="J89" s="477"/>
      <c r="K89" s="1675">
        <f t="shared" si="12"/>
        <v>0</v>
      </c>
      <c r="L89" s="530"/>
    </row>
    <row r="90" spans="1:12" ht="12.75" customHeight="1" thickTop="1" thickBot="1" x14ac:dyDescent="0.25">
      <c r="A90" s="1511" t="s">
        <v>686</v>
      </c>
      <c r="B90" s="639">
        <v>4280</v>
      </c>
      <c r="C90" s="616"/>
      <c r="D90" s="616"/>
      <c r="E90" s="638"/>
      <c r="F90" s="616"/>
      <c r="G90" s="616"/>
      <c r="H90" s="467"/>
      <c r="I90" s="477"/>
      <c r="J90" s="477"/>
      <c r="K90" s="1675">
        <f t="shared" si="12"/>
        <v>0</v>
      </c>
      <c r="L90" s="530"/>
    </row>
    <row r="91" spans="1:12" ht="12.75" customHeight="1" thickTop="1" thickBot="1" x14ac:dyDescent="0.25">
      <c r="A91" s="1511"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7990709</v>
      </c>
      <c r="I92" s="477"/>
      <c r="J92" s="477"/>
      <c r="K92" s="1675">
        <f t="shared" si="12"/>
        <v>7990709</v>
      </c>
      <c r="L92" s="1668">
        <f>SUM(L85:L91)</f>
        <v>8492000</v>
      </c>
    </row>
    <row r="93" spans="1:12" ht="14.25" thickTop="1" thickBot="1" x14ac:dyDescent="0.25">
      <c r="A93" s="1510" t="s">
        <v>688</v>
      </c>
      <c r="B93" s="640">
        <v>4310</v>
      </c>
      <c r="C93" s="616"/>
      <c r="D93" s="616"/>
      <c r="E93" s="638"/>
      <c r="F93" s="616"/>
      <c r="G93" s="616"/>
      <c r="H93" s="641"/>
      <c r="I93" s="477"/>
      <c r="J93" s="477"/>
      <c r="K93" s="1675">
        <f t="shared" si="12"/>
        <v>0</v>
      </c>
      <c r="L93" s="532"/>
    </row>
    <row r="94" spans="1:12" ht="12.75" customHeight="1" thickTop="1" thickBot="1" x14ac:dyDescent="0.25">
      <c r="A94" s="1511" t="s">
        <v>689</v>
      </c>
      <c r="B94" s="639">
        <v>4320</v>
      </c>
      <c r="C94" s="616"/>
      <c r="D94" s="616"/>
      <c r="E94" s="638"/>
      <c r="F94" s="616"/>
      <c r="G94" s="616"/>
      <c r="H94" s="467"/>
      <c r="I94" s="477"/>
      <c r="J94" s="477"/>
      <c r="K94" s="1675">
        <f t="shared" si="12"/>
        <v>0</v>
      </c>
      <c r="L94" s="530"/>
    </row>
    <row r="95" spans="1:12" ht="15" customHeight="1" thickTop="1" thickBot="1" x14ac:dyDescent="0.25">
      <c r="A95" s="1511" t="s">
        <v>1488</v>
      </c>
      <c r="B95" s="639">
        <v>4330</v>
      </c>
      <c r="C95" s="616"/>
      <c r="D95" s="616"/>
      <c r="E95" s="638"/>
      <c r="F95" s="616"/>
      <c r="G95" s="616"/>
      <c r="H95" s="467"/>
      <c r="I95" s="477"/>
      <c r="J95" s="477"/>
      <c r="K95" s="1675">
        <f t="shared" si="12"/>
        <v>0</v>
      </c>
      <c r="L95" s="530"/>
    </row>
    <row r="96" spans="1:12" ht="14.25" thickTop="1" thickBot="1" x14ac:dyDescent="0.25">
      <c r="A96" s="1511" t="s">
        <v>690</v>
      </c>
      <c r="B96" s="639">
        <v>4340</v>
      </c>
      <c r="C96" s="616"/>
      <c r="D96" s="616"/>
      <c r="E96" s="638"/>
      <c r="F96" s="616"/>
      <c r="G96" s="616"/>
      <c r="H96" s="467"/>
      <c r="I96" s="477"/>
      <c r="J96" s="477"/>
      <c r="K96" s="1675">
        <f t="shared" si="12"/>
        <v>0</v>
      </c>
      <c r="L96" s="530"/>
    </row>
    <row r="97" spans="1:14" ht="12.75" customHeight="1" thickTop="1" thickBot="1" x14ac:dyDescent="0.25">
      <c r="A97" s="1511" t="s">
        <v>763</v>
      </c>
      <c r="B97" s="639">
        <v>4370</v>
      </c>
      <c r="C97" s="616"/>
      <c r="D97" s="616"/>
      <c r="E97" s="638"/>
      <c r="F97" s="616"/>
      <c r="G97" s="616"/>
      <c r="H97" s="467"/>
      <c r="I97" s="477"/>
      <c r="J97" s="477"/>
      <c r="K97" s="1675">
        <f t="shared" si="12"/>
        <v>0</v>
      </c>
      <c r="L97" s="530"/>
    </row>
    <row r="98" spans="1:14" ht="14.25" thickTop="1" thickBot="1" x14ac:dyDescent="0.25">
      <c r="A98" s="1511" t="s">
        <v>764</v>
      </c>
      <c r="B98" s="639">
        <v>4380</v>
      </c>
      <c r="C98" s="616"/>
      <c r="D98" s="616"/>
      <c r="E98" s="642"/>
      <c r="F98" s="616"/>
      <c r="G98" s="616"/>
      <c r="H98" s="467"/>
      <c r="I98" s="477"/>
      <c r="J98" s="477"/>
      <c r="K98" s="1675">
        <f t="shared" si="12"/>
        <v>0</v>
      </c>
      <c r="L98" s="530"/>
    </row>
    <row r="99" spans="1:14" ht="14.25" thickTop="1" thickBot="1" x14ac:dyDescent="0.25">
      <c r="A99" s="1511"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0</v>
      </c>
      <c r="F102" s="616"/>
      <c r="G102" s="616"/>
      <c r="H102" s="1675">
        <f>SUM(H84,H92,H100,H101)</f>
        <v>8265521</v>
      </c>
      <c r="I102" s="477"/>
      <c r="J102" s="477"/>
      <c r="K102" s="1675">
        <f>SUM(K84,K92,K100,K101)</f>
        <v>8265521</v>
      </c>
      <c r="L102" s="1675">
        <f>SUM(L84,L92,L100,L101)</f>
        <v>8802000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1170</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589</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140394399</v>
      </c>
      <c r="D114" s="1668">
        <f t="shared" ref="D114:K114" si="13">SUM(D33,D74,D75,D102,D112,D113)</f>
        <v>29880380</v>
      </c>
      <c r="E114" s="1668">
        <f t="shared" si="13"/>
        <v>6378403</v>
      </c>
      <c r="F114" s="1668">
        <f t="shared" si="13"/>
        <v>6217251</v>
      </c>
      <c r="G114" s="1668">
        <f t="shared" si="13"/>
        <v>1056819</v>
      </c>
      <c r="H114" s="1668">
        <f>SUM(H33,H74,H75,H102,H112,H113)</f>
        <v>8753222</v>
      </c>
      <c r="I114" s="1668">
        <f t="shared" si="13"/>
        <v>3442117</v>
      </c>
      <c r="J114" s="1668">
        <f t="shared" si="13"/>
        <v>62888</v>
      </c>
      <c r="K114" s="1668">
        <f t="shared" si="13"/>
        <v>196185479</v>
      </c>
      <c r="L114" s="1668">
        <f>SUM(L33,L74,L75,L102,L112,L113)</f>
        <v>196130900</v>
      </c>
    </row>
    <row r="115" spans="1:14" ht="13.5" thickTop="1" x14ac:dyDescent="0.2">
      <c r="A115" s="2197" t="s">
        <v>996</v>
      </c>
      <c r="B115" s="2198"/>
      <c r="C115" s="618"/>
      <c r="D115" s="618"/>
      <c r="E115" s="618"/>
      <c r="F115" s="618"/>
      <c r="G115" s="618"/>
      <c r="H115" s="618"/>
      <c r="I115" s="618"/>
      <c r="J115" s="618"/>
      <c r="K115" s="1682">
        <f>'Revenues 9-14'!C268-'Expenditures 15-22'!K114</f>
        <v>8287119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02" t="s">
        <v>296</v>
      </c>
      <c r="B117" s="2203"/>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2056</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v>10921453</v>
      </c>
      <c r="D124" s="466">
        <v>2850602</v>
      </c>
      <c r="E124" s="466">
        <v>3478522</v>
      </c>
      <c r="F124" s="466">
        <v>5327018</v>
      </c>
      <c r="G124" s="466">
        <v>3214102</v>
      </c>
      <c r="H124" s="466"/>
      <c r="I124" s="467">
        <v>692959</v>
      </c>
      <c r="J124" s="467">
        <v>70090</v>
      </c>
      <c r="K124" s="1668">
        <f>SUM(C124:J124)</f>
        <v>26554746</v>
      </c>
      <c r="L124" s="466">
        <v>28404500</v>
      </c>
    </row>
    <row r="125" spans="1:14" ht="14.25" thickTop="1" thickBot="1" x14ac:dyDescent="0.25">
      <c r="A125" s="1502" t="s">
        <v>953</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10921453</v>
      </c>
      <c r="D127" s="1668">
        <f t="shared" ref="D127:L127" si="14">SUM(D122:D126)</f>
        <v>2850602</v>
      </c>
      <c r="E127" s="1668">
        <f t="shared" si="14"/>
        <v>3478522</v>
      </c>
      <c r="F127" s="1668">
        <f t="shared" si="14"/>
        <v>5327018</v>
      </c>
      <c r="G127" s="1668">
        <f t="shared" si="14"/>
        <v>3214102</v>
      </c>
      <c r="H127" s="1668">
        <f t="shared" si="14"/>
        <v>0</v>
      </c>
      <c r="I127" s="1668">
        <f t="shared" si="14"/>
        <v>692959</v>
      </c>
      <c r="J127" s="1668">
        <f t="shared" si="14"/>
        <v>70090</v>
      </c>
      <c r="K127" s="1668">
        <f t="shared" si="14"/>
        <v>26554746</v>
      </c>
      <c r="L127" s="1668">
        <f t="shared" si="14"/>
        <v>28404500</v>
      </c>
    </row>
    <row r="128" spans="1:14" ht="12.75" customHeight="1" thickTop="1" x14ac:dyDescent="0.2">
      <c r="A128" s="1509"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10921453</v>
      </c>
      <c r="D129" s="1675">
        <f t="shared" ref="D129:L129" si="15">SUM(D120,D127,D128)</f>
        <v>2850602</v>
      </c>
      <c r="E129" s="1675">
        <f t="shared" si="15"/>
        <v>3478522</v>
      </c>
      <c r="F129" s="1675">
        <f t="shared" si="15"/>
        <v>5327018</v>
      </c>
      <c r="G129" s="1675">
        <f t="shared" si="15"/>
        <v>3214102</v>
      </c>
      <c r="H129" s="1675">
        <f t="shared" si="15"/>
        <v>0</v>
      </c>
      <c r="I129" s="1675">
        <f t="shared" si="15"/>
        <v>692959</v>
      </c>
      <c r="J129" s="1675">
        <f t="shared" si="15"/>
        <v>70090</v>
      </c>
      <c r="K129" s="1675">
        <f t="shared" si="15"/>
        <v>26554746</v>
      </c>
      <c r="L129" s="1675">
        <f t="shared" si="15"/>
        <v>28404500</v>
      </c>
    </row>
    <row r="130" spans="1:14" ht="15.75" customHeight="1" thickTop="1" thickBot="1" x14ac:dyDescent="0.25">
      <c r="A130" s="1608" t="s">
        <v>1036</v>
      </c>
      <c r="B130" s="1609" t="s">
        <v>575</v>
      </c>
      <c r="C130" s="576"/>
      <c r="D130" s="576"/>
      <c r="E130" s="576"/>
      <c r="F130" s="576"/>
      <c r="G130" s="576"/>
      <c r="H130" s="576"/>
      <c r="I130" s="531"/>
      <c r="J130" s="531"/>
      <c r="K130" s="1668">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9" t="s">
        <v>1842</v>
      </c>
      <c r="C133" s="468"/>
      <c r="D133" s="468"/>
      <c r="E133" s="641"/>
      <c r="F133" s="468"/>
      <c r="G133" s="468"/>
      <c r="H133" s="641"/>
      <c r="I133" s="468"/>
      <c r="J133" s="468"/>
      <c r="K133" s="1819">
        <f>SUM(E133,H133)</f>
        <v>0</v>
      </c>
      <c r="L133" s="641"/>
      <c r="M133" s="206"/>
      <c r="N133" s="206"/>
    </row>
    <row r="134" spans="1:14" x14ac:dyDescent="0.2">
      <c r="A134" s="1502" t="s">
        <v>304</v>
      </c>
      <c r="B134" s="614">
        <v>4120</v>
      </c>
      <c r="C134" s="616"/>
      <c r="D134" s="616"/>
      <c r="E134" s="478"/>
      <c r="F134" s="616"/>
      <c r="G134" s="616"/>
      <c r="H134" s="481"/>
      <c r="I134" s="477"/>
      <c r="J134" s="616"/>
      <c r="K134" s="1670">
        <f>SUM(E134,H134)</f>
        <v>0</v>
      </c>
      <c r="L134" s="481"/>
    </row>
    <row r="135" spans="1:14" x14ac:dyDescent="0.2">
      <c r="A135" s="1502" t="s">
        <v>697</v>
      </c>
      <c r="B135" s="614">
        <v>4140</v>
      </c>
      <c r="C135" s="616"/>
      <c r="D135" s="616"/>
      <c r="E135" s="467"/>
      <c r="F135" s="616"/>
      <c r="G135" s="616"/>
      <c r="H135" s="466"/>
      <c r="I135" s="477"/>
      <c r="J135" s="616"/>
      <c r="K135" s="1670">
        <f>SUM(E135,H135)</f>
        <v>0</v>
      </c>
      <c r="L135" s="466"/>
    </row>
    <row r="136" spans="1:14" x14ac:dyDescent="0.2">
      <c r="A136" s="1506"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1170</v>
      </c>
      <c r="B144" s="628" t="s">
        <v>617</v>
      </c>
      <c r="C144" s="616"/>
      <c r="D144" s="616"/>
      <c r="E144" s="616"/>
      <c r="F144" s="616"/>
      <c r="G144" s="616"/>
      <c r="H144" s="466"/>
      <c r="I144" s="468"/>
      <c r="J144" s="616"/>
      <c r="K144" s="1670">
        <f>SUM(H144)</f>
        <v>0</v>
      </c>
      <c r="L144" s="466"/>
    </row>
    <row r="145" spans="1:14" x14ac:dyDescent="0.2">
      <c r="A145" s="1502" t="s">
        <v>89</v>
      </c>
      <c r="B145" s="614" t="s">
        <v>589</v>
      </c>
      <c r="C145" s="616"/>
      <c r="D145" s="616"/>
      <c r="E145" s="616"/>
      <c r="F145" s="616"/>
      <c r="G145" s="616"/>
      <c r="H145" s="466"/>
      <c r="I145" s="468"/>
      <c r="J145" s="616"/>
      <c r="K145" s="1670">
        <f>SUM(H145)</f>
        <v>0</v>
      </c>
      <c r="L145" s="466"/>
    </row>
    <row r="146" spans="1:14" ht="12.75" customHeight="1" x14ac:dyDescent="0.2">
      <c r="A146" s="1502" t="s">
        <v>619</v>
      </c>
      <c r="B146" s="614" t="s">
        <v>618</v>
      </c>
      <c r="C146" s="616"/>
      <c r="D146" s="616"/>
      <c r="E146" s="616"/>
      <c r="F146" s="616"/>
      <c r="G146" s="616"/>
      <c r="H146" s="466"/>
      <c r="I146" s="468"/>
      <c r="J146" s="616"/>
      <c r="K146" s="1670">
        <f>SUM(H146)</f>
        <v>0</v>
      </c>
      <c r="L146" s="466"/>
    </row>
    <row r="147" spans="1:14" ht="12.75" customHeight="1" thickBot="1" x14ac:dyDescent="0.25">
      <c r="A147" s="1513"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5"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214" t="s">
        <v>620</v>
      </c>
      <c r="B151" s="2194"/>
      <c r="C151" s="1668">
        <f>SUM(C129,C130,C139,C149,C150)</f>
        <v>10921453</v>
      </c>
      <c r="D151" s="1668">
        <f t="shared" ref="D151:K151" si="16">SUM(D129,D130,D139,D149,D150)</f>
        <v>2850602</v>
      </c>
      <c r="E151" s="1668">
        <f t="shared" si="16"/>
        <v>3478522</v>
      </c>
      <c r="F151" s="1668">
        <f t="shared" si="16"/>
        <v>5327018</v>
      </c>
      <c r="G151" s="1668">
        <f t="shared" si="16"/>
        <v>3214102</v>
      </c>
      <c r="H151" s="1668">
        <f t="shared" si="16"/>
        <v>0</v>
      </c>
      <c r="I151" s="1668">
        <f t="shared" si="16"/>
        <v>692959</v>
      </c>
      <c r="J151" s="1668">
        <f t="shared" si="16"/>
        <v>70090</v>
      </c>
      <c r="K151" s="1668">
        <f t="shared" si="16"/>
        <v>26554746</v>
      </c>
      <c r="L151" s="1668">
        <f>SUM(L129,L130,L139,L149,L150)</f>
        <v>28404500</v>
      </c>
    </row>
    <row r="152" spans="1:14" ht="12.75" customHeight="1" thickTop="1" x14ac:dyDescent="0.2">
      <c r="A152" s="2217" t="s">
        <v>1178</v>
      </c>
      <c r="B152" s="2218"/>
      <c r="C152" s="618"/>
      <c r="D152" s="618"/>
      <c r="E152" s="618"/>
      <c r="F152" s="618"/>
      <c r="G152" s="618"/>
      <c r="H152" s="618"/>
      <c r="I152" s="618"/>
      <c r="J152" s="616"/>
      <c r="K152" s="1682">
        <f>'Revenues 9-14'!D268-'Expenditures 15-22'!K151</f>
        <v>6881263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02" t="s">
        <v>621</v>
      </c>
      <c r="B154" s="2204"/>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1843</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1842</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1844</v>
      </c>
      <c r="C158" s="616"/>
      <c r="D158" s="616"/>
      <c r="E158" s="616"/>
      <c r="F158" s="616"/>
      <c r="G158" s="616"/>
      <c r="H158" s="467"/>
      <c r="I158" s="616"/>
      <c r="J158" s="616"/>
      <c r="K158" s="1669">
        <f>H158</f>
        <v>0</v>
      </c>
      <c r="L158" s="467"/>
      <c r="M158" s="619"/>
      <c r="N158" s="619"/>
    </row>
    <row r="159" spans="1:14" s="620" customFormat="1" ht="12" x14ac:dyDescent="0.2">
      <c r="A159" s="1824" t="s">
        <v>1845</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1846</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1170</v>
      </c>
      <c r="B165" s="614" t="s">
        <v>617</v>
      </c>
      <c r="C165" s="616"/>
      <c r="D165" s="616"/>
      <c r="E165" s="616"/>
      <c r="F165" s="616"/>
      <c r="G165" s="616"/>
      <c r="H165" s="466"/>
      <c r="I165" s="616"/>
      <c r="J165" s="616"/>
      <c r="K165" s="1669">
        <f>SUM(C165:J165)</f>
        <v>0</v>
      </c>
      <c r="L165" s="466"/>
    </row>
    <row r="166" spans="1:14" x14ac:dyDescent="0.2">
      <c r="A166" s="1502" t="s">
        <v>89</v>
      </c>
      <c r="B166" s="628" t="s">
        <v>589</v>
      </c>
      <c r="C166" s="616"/>
      <c r="D166" s="616"/>
      <c r="E166" s="616"/>
      <c r="F166" s="616"/>
      <c r="G166" s="616"/>
      <c r="H166" s="466"/>
      <c r="I166" s="616"/>
      <c r="J166" s="616"/>
      <c r="K166" s="1669">
        <f>SUM(C166:J166)</f>
        <v>0</v>
      </c>
      <c r="L166" s="466"/>
    </row>
    <row r="167" spans="1:14" ht="12.75" customHeight="1" x14ac:dyDescent="0.2">
      <c r="A167" s="1502"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3985</v>
      </c>
      <c r="I169" s="616"/>
      <c r="J169" s="616"/>
      <c r="K169" s="1669">
        <f>SUM(C169:H169)</f>
        <v>3985</v>
      </c>
      <c r="L169" s="656">
        <v>3985</v>
      </c>
    </row>
    <row r="170" spans="1:14" ht="33.75" customHeight="1" x14ac:dyDescent="0.2">
      <c r="A170" s="669" t="s">
        <v>1670</v>
      </c>
      <c r="B170" s="671" t="s">
        <v>31</v>
      </c>
      <c r="C170" s="616"/>
      <c r="D170" s="616"/>
      <c r="E170" s="616"/>
      <c r="F170" s="616"/>
      <c r="G170" s="616"/>
      <c r="H170" s="569">
        <v>433118</v>
      </c>
      <c r="I170" s="616"/>
      <c r="J170" s="616"/>
      <c r="K170" s="1669">
        <f>SUM(C170:J170)</f>
        <v>433118</v>
      </c>
      <c r="L170" s="569">
        <v>433115</v>
      </c>
    </row>
    <row r="171" spans="1:14" ht="15.75" customHeight="1" x14ac:dyDescent="0.2">
      <c r="A171" s="621" t="s">
        <v>766</v>
      </c>
      <c r="B171" s="672" t="s">
        <v>84</v>
      </c>
      <c r="C171" s="616"/>
      <c r="D171" s="616"/>
      <c r="E171" s="466"/>
      <c r="F171" s="616"/>
      <c r="G171" s="616"/>
      <c r="H171" s="569"/>
      <c r="I171" s="477"/>
      <c r="J171" s="616"/>
      <c r="K171" s="1669">
        <f>SUM(C171:J171)</f>
        <v>0</v>
      </c>
      <c r="L171" s="569"/>
    </row>
    <row r="172" spans="1:14" ht="12.75" customHeight="1" thickBot="1" x14ac:dyDescent="0.25">
      <c r="A172" s="1666" t="s">
        <v>638</v>
      </c>
      <c r="B172" s="1667" t="s">
        <v>492</v>
      </c>
      <c r="C172" s="616"/>
      <c r="D172" s="616"/>
      <c r="E172" s="1675">
        <f>SUM(E168,E169,E170,E171)</f>
        <v>0</v>
      </c>
      <c r="F172" s="616"/>
      <c r="G172" s="616"/>
      <c r="H172" s="1675">
        <f>SUM(H168,H169,H170,H171)</f>
        <v>437103</v>
      </c>
      <c r="I172" s="638"/>
      <c r="J172" s="616"/>
      <c r="K172" s="1675">
        <f>SUM(K168,K169,K170,K171)</f>
        <v>437103</v>
      </c>
      <c r="L172" s="1675">
        <f>SUM(L168,L169,L170,L171)</f>
        <v>437100</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437103</v>
      </c>
      <c r="I174" s="638"/>
      <c r="J174" s="616"/>
      <c r="K174" s="1675">
        <f>SUM(K160,K172,K173)</f>
        <v>437103</v>
      </c>
      <c r="L174" s="1675">
        <f>SUM(L160,L172,L173)</f>
        <v>437100</v>
      </c>
    </row>
    <row r="175" spans="1:14" ht="13.5" thickTop="1" x14ac:dyDescent="0.2">
      <c r="A175" s="2197" t="s">
        <v>996</v>
      </c>
      <c r="B175" s="2198"/>
      <c r="C175" s="616"/>
      <c r="D175" s="616"/>
      <c r="E175" s="616"/>
      <c r="F175" s="616"/>
      <c r="G175" s="616"/>
      <c r="H175" s="618"/>
      <c r="I175" s="616"/>
      <c r="J175" s="616"/>
      <c r="K175" s="1682">
        <f>'Revenues 9-14'!E268-'Expenditures 15-22'!K174</f>
        <v>-444462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2056</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5913241</v>
      </c>
      <c r="D182" s="466">
        <v>1852944</v>
      </c>
      <c r="E182" s="466">
        <v>1657401</v>
      </c>
      <c r="F182" s="466">
        <v>1284217</v>
      </c>
      <c r="G182" s="466">
        <v>2176046</v>
      </c>
      <c r="H182" s="466"/>
      <c r="I182" s="467">
        <v>64507</v>
      </c>
      <c r="J182" s="467">
        <v>24466</v>
      </c>
      <c r="K182" s="1669">
        <f>SUM(C182:J182)</f>
        <v>12972822</v>
      </c>
      <c r="L182" s="466">
        <v>13144000</v>
      </c>
    </row>
    <row r="183" spans="1:14" ht="12.75" customHeight="1" thickBot="1" x14ac:dyDescent="0.25">
      <c r="A183" s="1507"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5913241</v>
      </c>
      <c r="D184" s="1675">
        <f t="shared" ref="D184:J184" si="17">SUM(D180,D182,D183)</f>
        <v>1852944</v>
      </c>
      <c r="E184" s="1675">
        <f t="shared" si="17"/>
        <v>1657401</v>
      </c>
      <c r="F184" s="1675">
        <f t="shared" si="17"/>
        <v>1284217</v>
      </c>
      <c r="G184" s="1675">
        <f t="shared" si="17"/>
        <v>2176046</v>
      </c>
      <c r="H184" s="1675">
        <f t="shared" si="17"/>
        <v>0</v>
      </c>
      <c r="I184" s="1675">
        <f t="shared" si="17"/>
        <v>64507</v>
      </c>
      <c r="J184" s="1675">
        <f t="shared" si="17"/>
        <v>24466</v>
      </c>
      <c r="K184" s="1675">
        <f>SUM(K180,K182,K183)</f>
        <v>12972822</v>
      </c>
      <c r="L184" s="1675">
        <f>SUM(L180, L182:L183)</f>
        <v>13144000</v>
      </c>
    </row>
    <row r="185" spans="1:14" ht="15.75" customHeight="1" thickTop="1" thickBot="1" x14ac:dyDescent="0.25">
      <c r="A185" s="1620" t="s">
        <v>939</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69">
        <f t="shared" ref="K188:K193" si="18">SUM(E188,H188)</f>
        <v>0</v>
      </c>
      <c r="L188" s="466"/>
    </row>
    <row r="189" spans="1:14" x14ac:dyDescent="0.2">
      <c r="A189" s="1502" t="s">
        <v>304</v>
      </c>
      <c r="B189" s="614">
        <v>4120</v>
      </c>
      <c r="C189" s="616"/>
      <c r="D189" s="616"/>
      <c r="E189" s="466"/>
      <c r="F189" s="616"/>
      <c r="G189" s="616"/>
      <c r="H189" s="466"/>
      <c r="I189" s="477"/>
      <c r="J189" s="616"/>
      <c r="K189" s="1669">
        <f t="shared" si="18"/>
        <v>0</v>
      </c>
      <c r="L189" s="466"/>
    </row>
    <row r="190" spans="1:14" x14ac:dyDescent="0.2">
      <c r="A190" s="1502" t="s">
        <v>305</v>
      </c>
      <c r="B190" s="628">
        <v>4130</v>
      </c>
      <c r="C190" s="616"/>
      <c r="D190" s="616"/>
      <c r="E190" s="466"/>
      <c r="F190" s="616"/>
      <c r="G190" s="616"/>
      <c r="H190" s="466"/>
      <c r="I190" s="477"/>
      <c r="J190" s="616"/>
      <c r="K190" s="1669">
        <f t="shared" si="18"/>
        <v>0</v>
      </c>
      <c r="L190" s="466"/>
    </row>
    <row r="191" spans="1:14" x14ac:dyDescent="0.2">
      <c r="A191" s="1502" t="s">
        <v>697</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1170</v>
      </c>
      <c r="B201" s="628" t="s">
        <v>617</v>
      </c>
      <c r="C201" s="616"/>
      <c r="D201" s="616"/>
      <c r="E201" s="616"/>
      <c r="F201" s="616"/>
      <c r="G201" s="616"/>
      <c r="H201" s="466"/>
      <c r="I201" s="616"/>
      <c r="J201" s="616"/>
      <c r="K201" s="1669">
        <f>SUM(H201)</f>
        <v>0</v>
      </c>
      <c r="L201" s="466"/>
    </row>
    <row r="202" spans="1:14" x14ac:dyDescent="0.2">
      <c r="A202" s="1502" t="s">
        <v>89</v>
      </c>
      <c r="B202" s="614" t="s">
        <v>589</v>
      </c>
      <c r="C202" s="616"/>
      <c r="D202" s="616"/>
      <c r="E202" s="616"/>
      <c r="F202" s="616"/>
      <c r="G202" s="616"/>
      <c r="H202" s="466"/>
      <c r="I202" s="616"/>
      <c r="J202" s="616"/>
      <c r="K202" s="1669">
        <f>SUM(H202)</f>
        <v>0</v>
      </c>
      <c r="L202" s="466"/>
    </row>
    <row r="203" spans="1:14" x14ac:dyDescent="0.2">
      <c r="A203" s="1514"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5913241</v>
      </c>
      <c r="D210" s="1668">
        <f>SUM(D184,D185)</f>
        <v>1852944</v>
      </c>
      <c r="E210" s="1668">
        <f>SUM(E184,E185,E196)</f>
        <v>1657401</v>
      </c>
      <c r="F210" s="1668">
        <f>SUM(F184,F185)</f>
        <v>1284217</v>
      </c>
      <c r="G210" s="1668">
        <f>SUM(G184,G185)</f>
        <v>2176046</v>
      </c>
      <c r="H210" s="1668">
        <f>SUM(H184,H185,H196,H208,H209)</f>
        <v>0</v>
      </c>
      <c r="I210" s="1668">
        <f>SUM(I184,I185)</f>
        <v>64507</v>
      </c>
      <c r="J210" s="1668">
        <f>SUM(J184,J185)</f>
        <v>24466</v>
      </c>
      <c r="K210" s="1669">
        <f>SUM(K184,K185,K196,K208,K209)</f>
        <v>12972822</v>
      </c>
      <c r="L210" s="1668">
        <f>SUM(L184,L185,L196,L208,L209)</f>
        <v>13144000</v>
      </c>
    </row>
    <row r="211" spans="1:14" ht="13.5" thickTop="1" x14ac:dyDescent="0.2">
      <c r="A211" s="2197" t="s">
        <v>996</v>
      </c>
      <c r="B211" s="2198"/>
      <c r="C211" s="618"/>
      <c r="D211" s="618"/>
      <c r="E211" s="618"/>
      <c r="F211" s="618"/>
      <c r="G211" s="618"/>
      <c r="H211" s="618"/>
      <c r="I211" s="616"/>
      <c r="J211" s="616"/>
      <c r="K211" s="1682">
        <f>'Revenues 9-14'!F268-'Expenditures 15-22'!K210</f>
        <v>1444343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9" t="s">
        <v>965</v>
      </c>
      <c r="B213" s="2220"/>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1359361</v>
      </c>
      <c r="E215" s="616"/>
      <c r="F215" s="616"/>
      <c r="G215" s="616"/>
      <c r="H215" s="616"/>
      <c r="I215" s="616"/>
      <c r="J215" s="616"/>
      <c r="K215" s="1669">
        <f>D215</f>
        <v>1359361</v>
      </c>
      <c r="L215" s="466">
        <v>1245000</v>
      </c>
    </row>
    <row r="216" spans="1:14" x14ac:dyDescent="0.2">
      <c r="A216" s="1502" t="s">
        <v>163</v>
      </c>
      <c r="B216" s="614" t="s">
        <v>967</v>
      </c>
      <c r="C216" s="616"/>
      <c r="D216" s="467"/>
      <c r="E216" s="616"/>
      <c r="F216" s="616"/>
      <c r="G216" s="616"/>
      <c r="H216" s="616"/>
      <c r="I216" s="616"/>
      <c r="J216" s="616"/>
      <c r="K216" s="1669">
        <f t="shared" ref="K216:K228" si="19">D216</f>
        <v>0</v>
      </c>
      <c r="L216" s="466"/>
    </row>
    <row r="217" spans="1:14" x14ac:dyDescent="0.2">
      <c r="A217" s="1502" t="s">
        <v>164</v>
      </c>
      <c r="B217" s="614">
        <v>1200</v>
      </c>
      <c r="C217" s="616"/>
      <c r="D217" s="466">
        <v>1392127</v>
      </c>
      <c r="E217" s="616"/>
      <c r="F217" s="616"/>
      <c r="G217" s="616"/>
      <c r="H217" s="616"/>
      <c r="I217" s="616"/>
      <c r="J217" s="616"/>
      <c r="K217" s="1669">
        <f t="shared" si="19"/>
        <v>1392127</v>
      </c>
      <c r="L217" s="466">
        <v>1380000</v>
      </c>
    </row>
    <row r="218" spans="1:14" x14ac:dyDescent="0.2">
      <c r="A218" s="1502" t="s">
        <v>278</v>
      </c>
      <c r="B218" s="614" t="s">
        <v>968</v>
      </c>
      <c r="C218" s="616"/>
      <c r="D218" s="467"/>
      <c r="E218" s="616"/>
      <c r="F218" s="616"/>
      <c r="G218" s="616"/>
      <c r="H218" s="616"/>
      <c r="I218" s="616"/>
      <c r="J218" s="616"/>
      <c r="K218" s="1669">
        <f t="shared" si="19"/>
        <v>0</v>
      </c>
      <c r="L218" s="466"/>
    </row>
    <row r="219" spans="1:14" x14ac:dyDescent="0.2">
      <c r="A219" s="1502" t="s">
        <v>279</v>
      </c>
      <c r="B219" s="614">
        <v>1250</v>
      </c>
      <c r="C219" s="616"/>
      <c r="D219" s="466"/>
      <c r="E219" s="616"/>
      <c r="F219" s="616"/>
      <c r="G219" s="616"/>
      <c r="H219" s="616"/>
      <c r="I219" s="616"/>
      <c r="J219" s="616"/>
      <c r="K219" s="1669">
        <f t="shared" si="19"/>
        <v>0</v>
      </c>
      <c r="L219" s="466"/>
    </row>
    <row r="220" spans="1:14" x14ac:dyDescent="0.2">
      <c r="A220" s="1502" t="s">
        <v>280</v>
      </c>
      <c r="B220" s="614" t="s">
        <v>161</v>
      </c>
      <c r="C220" s="616"/>
      <c r="D220" s="467"/>
      <c r="E220" s="616"/>
      <c r="F220" s="616"/>
      <c r="G220" s="616"/>
      <c r="H220" s="616"/>
      <c r="I220" s="616"/>
      <c r="J220" s="616"/>
      <c r="K220" s="1669">
        <f t="shared" si="19"/>
        <v>0</v>
      </c>
      <c r="L220" s="466"/>
    </row>
    <row r="221" spans="1:14" x14ac:dyDescent="0.2">
      <c r="A221" s="1502" t="s">
        <v>962</v>
      </c>
      <c r="B221" s="614">
        <v>1300</v>
      </c>
      <c r="C221" s="616"/>
      <c r="D221" s="466">
        <v>42409</v>
      </c>
      <c r="E221" s="616"/>
      <c r="F221" s="616"/>
      <c r="G221" s="616"/>
      <c r="H221" s="616"/>
      <c r="I221" s="616"/>
      <c r="J221" s="616"/>
      <c r="K221" s="1669">
        <f t="shared" si="19"/>
        <v>42409</v>
      </c>
      <c r="L221" s="466">
        <v>40000</v>
      </c>
    </row>
    <row r="222" spans="1:14" x14ac:dyDescent="0.2">
      <c r="A222" s="1502" t="s">
        <v>723</v>
      </c>
      <c r="B222" s="614">
        <v>1400</v>
      </c>
      <c r="C222" s="616"/>
      <c r="D222" s="466">
        <v>120336</v>
      </c>
      <c r="E222" s="616"/>
      <c r="F222" s="616"/>
      <c r="G222" s="616"/>
      <c r="H222" s="616"/>
      <c r="I222" s="616"/>
      <c r="J222" s="616"/>
      <c r="K222" s="1669">
        <f t="shared" si="19"/>
        <v>120336</v>
      </c>
      <c r="L222" s="466">
        <v>107000</v>
      </c>
    </row>
    <row r="223" spans="1:14" x14ac:dyDescent="0.2">
      <c r="A223" s="1502" t="s">
        <v>963</v>
      </c>
      <c r="B223" s="614">
        <v>1500</v>
      </c>
      <c r="C223" s="616"/>
      <c r="D223" s="466">
        <v>334564</v>
      </c>
      <c r="E223" s="616"/>
      <c r="F223" s="616"/>
      <c r="G223" s="616"/>
      <c r="H223" s="616"/>
      <c r="I223" s="616"/>
      <c r="J223" s="616"/>
      <c r="K223" s="1669">
        <f t="shared" si="19"/>
        <v>334564</v>
      </c>
      <c r="L223" s="466">
        <v>332000</v>
      </c>
    </row>
    <row r="224" spans="1:14" x14ac:dyDescent="0.2">
      <c r="A224" s="1502" t="s">
        <v>964</v>
      </c>
      <c r="B224" s="614">
        <v>1600</v>
      </c>
      <c r="C224" s="616"/>
      <c r="D224" s="466">
        <v>118817</v>
      </c>
      <c r="E224" s="616"/>
      <c r="F224" s="616"/>
      <c r="G224" s="616"/>
      <c r="H224" s="616"/>
      <c r="I224" s="616"/>
      <c r="J224" s="616"/>
      <c r="K224" s="1669">
        <f t="shared" si="19"/>
        <v>118817</v>
      </c>
      <c r="L224" s="466">
        <v>96000</v>
      </c>
    </row>
    <row r="225" spans="1:12" x14ac:dyDescent="0.2">
      <c r="A225" s="1502" t="s">
        <v>987</v>
      </c>
      <c r="B225" s="614">
        <v>1650</v>
      </c>
      <c r="C225" s="616"/>
      <c r="D225" s="466"/>
      <c r="E225" s="616"/>
      <c r="F225" s="616"/>
      <c r="G225" s="616"/>
      <c r="H225" s="616"/>
      <c r="I225" s="616"/>
      <c r="J225" s="616"/>
      <c r="K225" s="1669">
        <f t="shared" si="19"/>
        <v>0</v>
      </c>
      <c r="L225" s="466"/>
    </row>
    <row r="226" spans="1:12" x14ac:dyDescent="0.2">
      <c r="A226" s="1502" t="s">
        <v>724</v>
      </c>
      <c r="B226" s="614" t="s">
        <v>162</v>
      </c>
      <c r="C226" s="616"/>
      <c r="D226" s="467">
        <v>5551</v>
      </c>
      <c r="E226" s="616"/>
      <c r="F226" s="616"/>
      <c r="G226" s="616"/>
      <c r="H226" s="616"/>
      <c r="I226" s="616"/>
      <c r="J226" s="616"/>
      <c r="K226" s="1669">
        <f t="shared" si="19"/>
        <v>5551</v>
      </c>
      <c r="L226" s="466">
        <v>16000</v>
      </c>
    </row>
    <row r="227" spans="1:12" x14ac:dyDescent="0.2">
      <c r="A227" s="1502" t="s">
        <v>1087</v>
      </c>
      <c r="B227" s="614">
        <v>1800</v>
      </c>
      <c r="C227" s="616"/>
      <c r="D227" s="466">
        <v>161959</v>
      </c>
      <c r="E227" s="616"/>
      <c r="F227" s="616"/>
      <c r="G227" s="616"/>
      <c r="H227" s="616"/>
      <c r="I227" s="616"/>
      <c r="J227" s="616"/>
      <c r="K227" s="1669">
        <f t="shared" si="19"/>
        <v>161959</v>
      </c>
      <c r="L227" s="466">
        <v>150000</v>
      </c>
    </row>
    <row r="228" spans="1:12" x14ac:dyDescent="0.2">
      <c r="A228" s="1502"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3535124</v>
      </c>
      <c r="E229" s="616"/>
      <c r="F229" s="616"/>
      <c r="G229" s="616"/>
      <c r="H229" s="616"/>
      <c r="I229" s="616"/>
      <c r="J229" s="616"/>
      <c r="K229" s="1668">
        <f>SUM(K215:K228)</f>
        <v>3535124</v>
      </c>
      <c r="L229" s="1668">
        <f>SUM(L215:L228)</f>
        <v>3366000</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53131</v>
      </c>
      <c r="E232" s="616"/>
      <c r="F232" s="616"/>
      <c r="G232" s="616"/>
      <c r="H232" s="616"/>
      <c r="I232" s="616"/>
      <c r="J232" s="616"/>
      <c r="K232" s="1669">
        <f t="shared" ref="K232:K237" si="20">D232</f>
        <v>53131</v>
      </c>
      <c r="L232" s="466">
        <v>53000</v>
      </c>
    </row>
    <row r="233" spans="1:12" x14ac:dyDescent="0.2">
      <c r="A233" s="1502" t="s">
        <v>1090</v>
      </c>
      <c r="B233" s="614">
        <v>2120</v>
      </c>
      <c r="C233" s="616"/>
      <c r="D233" s="466">
        <v>265233</v>
      </c>
      <c r="E233" s="616"/>
      <c r="F233" s="616"/>
      <c r="G233" s="616"/>
      <c r="H233" s="616"/>
      <c r="I233" s="616"/>
      <c r="J233" s="616"/>
      <c r="K233" s="1669">
        <f t="shared" si="20"/>
        <v>265233</v>
      </c>
      <c r="L233" s="466">
        <v>281000</v>
      </c>
    </row>
    <row r="234" spans="1:12" x14ac:dyDescent="0.2">
      <c r="A234" s="1502" t="s">
        <v>198</v>
      </c>
      <c r="B234" s="614">
        <v>2130</v>
      </c>
      <c r="C234" s="616"/>
      <c r="D234" s="466">
        <v>77752</v>
      </c>
      <c r="E234" s="616"/>
      <c r="F234" s="616"/>
      <c r="G234" s="616"/>
      <c r="H234" s="616"/>
      <c r="I234" s="616"/>
      <c r="J234" s="616"/>
      <c r="K234" s="1669">
        <f t="shared" si="20"/>
        <v>77752</v>
      </c>
      <c r="L234" s="466">
        <v>76000</v>
      </c>
    </row>
    <row r="235" spans="1:12" x14ac:dyDescent="0.2">
      <c r="A235" s="1502" t="s">
        <v>199</v>
      </c>
      <c r="B235" s="614">
        <v>2140</v>
      </c>
      <c r="C235" s="616"/>
      <c r="D235" s="466">
        <v>34345</v>
      </c>
      <c r="E235" s="616"/>
      <c r="F235" s="616"/>
      <c r="G235" s="616"/>
      <c r="H235" s="616"/>
      <c r="I235" s="616"/>
      <c r="J235" s="616"/>
      <c r="K235" s="1669">
        <f t="shared" si="20"/>
        <v>34345</v>
      </c>
      <c r="L235" s="466">
        <v>36000</v>
      </c>
    </row>
    <row r="236" spans="1:12" x14ac:dyDescent="0.2">
      <c r="A236" s="1502" t="s">
        <v>200</v>
      </c>
      <c r="B236" s="614">
        <v>2150</v>
      </c>
      <c r="C236" s="616"/>
      <c r="D236" s="466"/>
      <c r="E236" s="616"/>
      <c r="F236" s="616"/>
      <c r="G236" s="616"/>
      <c r="H236" s="616"/>
      <c r="I236" s="616"/>
      <c r="J236" s="616"/>
      <c r="K236" s="1669">
        <f t="shared" si="20"/>
        <v>0</v>
      </c>
      <c r="L236" s="466"/>
    </row>
    <row r="237" spans="1:12" x14ac:dyDescent="0.2">
      <c r="A237" s="1502" t="s">
        <v>165</v>
      </c>
      <c r="B237" s="614">
        <v>2190</v>
      </c>
      <c r="C237" s="616"/>
      <c r="D237" s="466">
        <v>360901</v>
      </c>
      <c r="E237" s="616"/>
      <c r="F237" s="616"/>
      <c r="G237" s="616"/>
      <c r="H237" s="616"/>
      <c r="I237" s="616"/>
      <c r="J237" s="616"/>
      <c r="K237" s="1669">
        <f t="shared" si="20"/>
        <v>360901</v>
      </c>
      <c r="L237" s="466">
        <v>377000</v>
      </c>
    </row>
    <row r="238" spans="1:12" ht="12.75" customHeight="1" thickBot="1" x14ac:dyDescent="0.25">
      <c r="A238" s="1666" t="s">
        <v>560</v>
      </c>
      <c r="B238" s="1673" t="s">
        <v>716</v>
      </c>
      <c r="C238" s="616"/>
      <c r="D238" s="1668">
        <f>SUM(D232:D237)</f>
        <v>791362</v>
      </c>
      <c r="E238" s="616"/>
      <c r="F238" s="616"/>
      <c r="G238" s="616"/>
      <c r="H238" s="616"/>
      <c r="I238" s="616"/>
      <c r="J238" s="616"/>
      <c r="K238" s="1668">
        <f>SUM(K232:K237)</f>
        <v>791362</v>
      </c>
      <c r="L238" s="1668">
        <f>SUM(L232:L237)</f>
        <v>823000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66350</v>
      </c>
      <c r="E240" s="616"/>
      <c r="F240" s="616"/>
      <c r="G240" s="616"/>
      <c r="H240" s="616"/>
      <c r="I240" s="616"/>
      <c r="J240" s="616"/>
      <c r="K240" s="1670">
        <f>D240</f>
        <v>66350</v>
      </c>
      <c r="L240" s="481">
        <v>50000</v>
      </c>
    </row>
    <row r="241" spans="1:12" x14ac:dyDescent="0.2">
      <c r="A241" s="1502" t="s">
        <v>815</v>
      </c>
      <c r="B241" s="614">
        <v>2220</v>
      </c>
      <c r="C241" s="616"/>
      <c r="D241" s="466">
        <v>113067</v>
      </c>
      <c r="E241" s="616"/>
      <c r="F241" s="616"/>
      <c r="G241" s="616"/>
      <c r="H241" s="616"/>
      <c r="I241" s="616"/>
      <c r="J241" s="616"/>
      <c r="K241" s="1670">
        <f>D241</f>
        <v>113067</v>
      </c>
      <c r="L241" s="466">
        <v>122000</v>
      </c>
    </row>
    <row r="242" spans="1:12" x14ac:dyDescent="0.2">
      <c r="A242" s="1502"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179417</v>
      </c>
      <c r="E243" s="616"/>
      <c r="F243" s="616"/>
      <c r="G243" s="616"/>
      <c r="H243" s="616"/>
      <c r="I243" s="616"/>
      <c r="J243" s="616"/>
      <c r="K243" s="1668">
        <f>SUM(K240:K242)</f>
        <v>179417</v>
      </c>
      <c r="L243" s="1668">
        <f>SUM(L240:L242)</f>
        <v>172000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2000000</v>
      </c>
      <c r="E245" s="616"/>
      <c r="F245" s="616"/>
      <c r="G245" s="616"/>
      <c r="H245" s="616"/>
      <c r="I245" s="616"/>
      <c r="J245" s="616"/>
      <c r="K245" s="1670">
        <f>D245</f>
        <v>2000000</v>
      </c>
      <c r="L245" s="481">
        <v>2000000</v>
      </c>
    </row>
    <row r="246" spans="1:12" x14ac:dyDescent="0.2">
      <c r="A246" s="1502" t="s">
        <v>818</v>
      </c>
      <c r="B246" s="614">
        <v>2320</v>
      </c>
      <c r="C246" s="616"/>
      <c r="D246" s="466">
        <v>26860</v>
      </c>
      <c r="E246" s="616"/>
      <c r="F246" s="616"/>
      <c r="G246" s="616"/>
      <c r="H246" s="616"/>
      <c r="I246" s="616"/>
      <c r="J246" s="616"/>
      <c r="K246" s="1670">
        <f t="shared" ref="K246:K256" si="21">D246</f>
        <v>26860</v>
      </c>
      <c r="L246" s="466">
        <v>26000</v>
      </c>
    </row>
    <row r="247" spans="1:12" x14ac:dyDescent="0.2">
      <c r="A247" s="1502" t="s">
        <v>819</v>
      </c>
      <c r="B247" s="614">
        <v>2330</v>
      </c>
      <c r="C247" s="616"/>
      <c r="D247" s="466">
        <v>44309</v>
      </c>
      <c r="E247" s="616"/>
      <c r="F247" s="616"/>
      <c r="G247" s="616"/>
      <c r="H247" s="616"/>
      <c r="I247" s="616"/>
      <c r="J247" s="616"/>
      <c r="K247" s="1670">
        <f t="shared" si="21"/>
        <v>44309</v>
      </c>
      <c r="L247" s="466">
        <v>41000</v>
      </c>
    </row>
    <row r="248" spans="1:12" x14ac:dyDescent="0.2">
      <c r="A248" s="1503" t="s">
        <v>299</v>
      </c>
      <c r="B248" s="602" t="s">
        <v>281</v>
      </c>
      <c r="C248" s="616"/>
      <c r="D248" s="474"/>
      <c r="E248" s="616"/>
      <c r="F248" s="616"/>
      <c r="G248" s="616"/>
      <c r="H248" s="616"/>
      <c r="I248" s="616"/>
      <c r="J248" s="616"/>
      <c r="K248" s="1670">
        <f t="shared" si="21"/>
        <v>0</v>
      </c>
      <c r="L248" s="466"/>
    </row>
    <row r="249" spans="1:12" x14ac:dyDescent="0.2">
      <c r="A249" s="1504" t="s">
        <v>1803</v>
      </c>
      <c r="B249" s="683" t="s">
        <v>282</v>
      </c>
      <c r="C249" s="616"/>
      <c r="D249" s="474"/>
      <c r="E249" s="616"/>
      <c r="F249" s="616"/>
      <c r="G249" s="616"/>
      <c r="H249" s="616"/>
      <c r="I249" s="616"/>
      <c r="J249" s="616"/>
      <c r="K249" s="1670">
        <f t="shared" si="21"/>
        <v>0</v>
      </c>
      <c r="L249" s="466"/>
    </row>
    <row r="250" spans="1:12" x14ac:dyDescent="0.2">
      <c r="A250" s="1503" t="s">
        <v>1804</v>
      </c>
      <c r="B250" s="602" t="s">
        <v>283</v>
      </c>
      <c r="C250" s="616"/>
      <c r="D250" s="474"/>
      <c r="E250" s="616"/>
      <c r="F250" s="616"/>
      <c r="G250" s="616"/>
      <c r="H250" s="616"/>
      <c r="I250" s="616"/>
      <c r="J250" s="616"/>
      <c r="K250" s="1670">
        <f t="shared" si="21"/>
        <v>0</v>
      </c>
      <c r="L250" s="466"/>
    </row>
    <row r="251" spans="1:12" x14ac:dyDescent="0.2">
      <c r="A251" s="1503" t="s">
        <v>238</v>
      </c>
      <c r="B251" s="602" t="s">
        <v>284</v>
      </c>
      <c r="C251" s="616"/>
      <c r="D251" s="474"/>
      <c r="E251" s="616"/>
      <c r="F251" s="616"/>
      <c r="G251" s="616"/>
      <c r="H251" s="616"/>
      <c r="I251" s="616"/>
      <c r="J251" s="616"/>
      <c r="K251" s="1670">
        <f t="shared" si="21"/>
        <v>0</v>
      </c>
      <c r="L251" s="466"/>
    </row>
    <row r="252" spans="1:12" x14ac:dyDescent="0.2">
      <c r="A252" s="1503" t="s">
        <v>702</v>
      </c>
      <c r="B252" s="602" t="s">
        <v>285</v>
      </c>
      <c r="C252" s="616"/>
      <c r="D252" s="474"/>
      <c r="E252" s="616"/>
      <c r="F252" s="616"/>
      <c r="G252" s="616"/>
      <c r="H252" s="616"/>
      <c r="I252" s="616"/>
      <c r="J252" s="616"/>
      <c r="K252" s="1670">
        <f t="shared" si="21"/>
        <v>0</v>
      </c>
      <c r="L252" s="466"/>
    </row>
    <row r="253" spans="1:12" x14ac:dyDescent="0.2">
      <c r="A253" s="1503" t="s">
        <v>239</v>
      </c>
      <c r="B253" s="602" t="s">
        <v>286</v>
      </c>
      <c r="C253" s="616"/>
      <c r="D253" s="474"/>
      <c r="E253" s="616"/>
      <c r="F253" s="616"/>
      <c r="G253" s="616"/>
      <c r="H253" s="616"/>
      <c r="I253" s="616"/>
      <c r="J253" s="616"/>
      <c r="K253" s="1670">
        <f t="shared" si="21"/>
        <v>0</v>
      </c>
      <c r="L253" s="466"/>
    </row>
    <row r="254" spans="1:12" ht="22.5" x14ac:dyDescent="0.2">
      <c r="A254" s="1503" t="s">
        <v>1029</v>
      </c>
      <c r="B254" s="683" t="s">
        <v>287</v>
      </c>
      <c r="C254" s="616"/>
      <c r="D254" s="474"/>
      <c r="E254" s="616"/>
      <c r="F254" s="616"/>
      <c r="G254" s="616"/>
      <c r="H254" s="616"/>
      <c r="I254" s="616"/>
      <c r="J254" s="616"/>
      <c r="K254" s="1670">
        <f t="shared" si="21"/>
        <v>0</v>
      </c>
      <c r="L254" s="466"/>
    </row>
    <row r="255" spans="1:12" x14ac:dyDescent="0.2">
      <c r="A255" s="1503" t="s">
        <v>1030</v>
      </c>
      <c r="B255" s="602" t="s">
        <v>288</v>
      </c>
      <c r="C255" s="616"/>
      <c r="D255" s="474"/>
      <c r="E255" s="616"/>
      <c r="F255" s="616"/>
      <c r="G255" s="616"/>
      <c r="H255" s="616"/>
      <c r="I255" s="616"/>
      <c r="J255" s="616"/>
      <c r="K255" s="1670">
        <f t="shared" si="21"/>
        <v>0</v>
      </c>
      <c r="L255" s="466"/>
    </row>
    <row r="256" spans="1:12" x14ac:dyDescent="0.2">
      <c r="A256" s="1503"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2071169</v>
      </c>
      <c r="E257" s="616"/>
      <c r="F257" s="616"/>
      <c r="G257" s="616"/>
      <c r="H257" s="616"/>
      <c r="I257" s="616"/>
      <c r="J257" s="616"/>
      <c r="K257" s="1668">
        <f>SUM(K245:K256)</f>
        <v>2071169</v>
      </c>
      <c r="L257" s="1668">
        <f>SUM(L245:L256)</f>
        <v>2067000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562984</v>
      </c>
      <c r="E259" s="616"/>
      <c r="F259" s="616"/>
      <c r="G259" s="616"/>
      <c r="H259" s="616"/>
      <c r="I259" s="616"/>
      <c r="J259" s="616"/>
      <c r="K259" s="1670">
        <f>D259</f>
        <v>562984</v>
      </c>
      <c r="L259" s="481">
        <v>551000</v>
      </c>
    </row>
    <row r="260" spans="1:14" s="597" customFormat="1" x14ac:dyDescent="0.2">
      <c r="A260" s="1520" t="s">
        <v>1802</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562984</v>
      </c>
      <c r="E261" s="616"/>
      <c r="F261" s="616"/>
      <c r="G261" s="616"/>
      <c r="H261" s="616"/>
      <c r="I261" s="616"/>
      <c r="J261" s="616"/>
      <c r="K261" s="1668">
        <f>SUM(K259:K260)</f>
        <v>562984</v>
      </c>
      <c r="L261" s="1668">
        <f>SUM(L259:L260)</f>
        <v>551000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v>35609</v>
      </c>
      <c r="E263" s="616"/>
      <c r="F263" s="616"/>
      <c r="G263" s="616"/>
      <c r="H263" s="616"/>
      <c r="I263" s="616"/>
      <c r="J263" s="616"/>
      <c r="K263" s="1670">
        <f>D263</f>
        <v>35609</v>
      </c>
      <c r="L263" s="481">
        <v>39000</v>
      </c>
    </row>
    <row r="264" spans="1:14" x14ac:dyDescent="0.2">
      <c r="A264" s="1502" t="s">
        <v>463</v>
      </c>
      <c r="B264" s="685">
        <v>2520</v>
      </c>
      <c r="C264" s="616"/>
      <c r="D264" s="466">
        <v>105426</v>
      </c>
      <c r="E264" s="616"/>
      <c r="F264" s="616"/>
      <c r="G264" s="616"/>
      <c r="H264" s="616"/>
      <c r="I264" s="616"/>
      <c r="J264" s="616"/>
      <c r="K264" s="1670">
        <f t="shared" ref="K264:K269" si="22">D264</f>
        <v>105426</v>
      </c>
      <c r="L264" s="466">
        <v>104000</v>
      </c>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v>1795586</v>
      </c>
      <c r="E266" s="616"/>
      <c r="F266" s="616"/>
      <c r="G266" s="616"/>
      <c r="H266" s="616"/>
      <c r="I266" s="616"/>
      <c r="J266" s="616"/>
      <c r="K266" s="1670">
        <f t="shared" si="22"/>
        <v>1795586</v>
      </c>
      <c r="L266" s="466">
        <v>1850000</v>
      </c>
    </row>
    <row r="267" spans="1:14" x14ac:dyDescent="0.2">
      <c r="A267" s="1502" t="s">
        <v>953</v>
      </c>
      <c r="B267" s="614">
        <v>2550</v>
      </c>
      <c r="C267" s="616"/>
      <c r="D267" s="466">
        <v>964440</v>
      </c>
      <c r="E267" s="616"/>
      <c r="F267" s="616"/>
      <c r="G267" s="616"/>
      <c r="H267" s="616"/>
      <c r="I267" s="616"/>
      <c r="J267" s="616"/>
      <c r="K267" s="1670">
        <f t="shared" si="22"/>
        <v>964440</v>
      </c>
      <c r="L267" s="466">
        <v>993000</v>
      </c>
    </row>
    <row r="268" spans="1:14" x14ac:dyDescent="0.2">
      <c r="A268" s="1502" t="s">
        <v>100</v>
      </c>
      <c r="B268" s="614">
        <v>2560</v>
      </c>
      <c r="C268" s="616"/>
      <c r="D268" s="466">
        <v>379126</v>
      </c>
      <c r="E268" s="616"/>
      <c r="F268" s="616"/>
      <c r="G268" s="616"/>
      <c r="H268" s="616"/>
      <c r="I268" s="616"/>
      <c r="J268" s="616"/>
      <c r="K268" s="1670">
        <f t="shared" si="22"/>
        <v>379126</v>
      </c>
      <c r="L268" s="466">
        <v>386000</v>
      </c>
    </row>
    <row r="269" spans="1:14" x14ac:dyDescent="0.2">
      <c r="A269" s="1502" t="s">
        <v>101</v>
      </c>
      <c r="B269" s="614">
        <v>2570</v>
      </c>
      <c r="C269" s="616"/>
      <c r="D269" s="466">
        <v>14821</v>
      </c>
      <c r="E269" s="616"/>
      <c r="F269" s="616"/>
      <c r="G269" s="616"/>
      <c r="H269" s="616"/>
      <c r="I269" s="616"/>
      <c r="J269" s="616"/>
      <c r="K269" s="1670">
        <f t="shared" si="22"/>
        <v>14821</v>
      </c>
      <c r="L269" s="466">
        <v>15000</v>
      </c>
    </row>
    <row r="270" spans="1:14" ht="12.75" customHeight="1" thickBot="1" x14ac:dyDescent="0.25">
      <c r="A270" s="1666" t="s">
        <v>719</v>
      </c>
      <c r="B270" s="1673" t="s">
        <v>35</v>
      </c>
      <c r="C270" s="616"/>
      <c r="D270" s="1668">
        <f>SUM(D263:D269)</f>
        <v>3295008</v>
      </c>
      <c r="E270" s="616"/>
      <c r="F270" s="616"/>
      <c r="G270" s="616"/>
      <c r="H270" s="616"/>
      <c r="I270" s="616"/>
      <c r="J270" s="616"/>
      <c r="K270" s="1668">
        <f>SUM(K263:K269)</f>
        <v>3295008</v>
      </c>
      <c r="L270" s="1668">
        <f>SUM(L263:L269)</f>
        <v>3387000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70">
        <f>D272</f>
        <v>0</v>
      </c>
      <c r="L272" s="481"/>
    </row>
    <row r="273" spans="1:12" x14ac:dyDescent="0.2">
      <c r="A273" s="1502" t="s">
        <v>607</v>
      </c>
      <c r="B273" s="628">
        <v>2620</v>
      </c>
      <c r="C273" s="616"/>
      <c r="D273" s="466"/>
      <c r="E273" s="616"/>
      <c r="F273" s="616"/>
      <c r="G273" s="616"/>
      <c r="H273" s="616"/>
      <c r="I273" s="616"/>
      <c r="J273" s="616"/>
      <c r="K273" s="1670">
        <f>D273</f>
        <v>0</v>
      </c>
      <c r="L273" s="466"/>
    </row>
    <row r="274" spans="1:12" ht="12" customHeight="1" x14ac:dyDescent="0.2">
      <c r="A274" s="1502" t="s">
        <v>1061</v>
      </c>
      <c r="B274" s="614">
        <v>2630</v>
      </c>
      <c r="C274" s="616"/>
      <c r="D274" s="466">
        <v>54938</v>
      </c>
      <c r="E274" s="616"/>
      <c r="F274" s="616"/>
      <c r="G274" s="616"/>
      <c r="H274" s="616"/>
      <c r="I274" s="616"/>
      <c r="J274" s="616"/>
      <c r="K274" s="1670">
        <f>D274</f>
        <v>54938</v>
      </c>
      <c r="L274" s="466">
        <v>45000</v>
      </c>
    </row>
    <row r="275" spans="1:12" x14ac:dyDescent="0.2">
      <c r="A275" s="1502" t="s">
        <v>403</v>
      </c>
      <c r="B275" s="614">
        <v>2640</v>
      </c>
      <c r="C275" s="616"/>
      <c r="D275" s="466">
        <v>57886</v>
      </c>
      <c r="E275" s="616"/>
      <c r="F275" s="616"/>
      <c r="G275" s="616"/>
      <c r="H275" s="616"/>
      <c r="I275" s="616"/>
      <c r="J275" s="616"/>
      <c r="K275" s="1670">
        <f>D275</f>
        <v>57886</v>
      </c>
      <c r="L275" s="466">
        <v>62000</v>
      </c>
    </row>
    <row r="276" spans="1:12" x14ac:dyDescent="0.2">
      <c r="A276" s="1502" t="s">
        <v>404</v>
      </c>
      <c r="B276" s="614">
        <v>2660</v>
      </c>
      <c r="C276" s="616"/>
      <c r="D276" s="466">
        <v>250422</v>
      </c>
      <c r="E276" s="616"/>
      <c r="F276" s="616"/>
      <c r="G276" s="616"/>
      <c r="H276" s="616"/>
      <c r="I276" s="616"/>
      <c r="J276" s="616"/>
      <c r="K276" s="1670">
        <f>D276</f>
        <v>250422</v>
      </c>
      <c r="L276" s="466">
        <v>252000</v>
      </c>
    </row>
    <row r="277" spans="1:12" ht="12.75" customHeight="1" thickBot="1" x14ac:dyDescent="0.25">
      <c r="A277" s="1689" t="s">
        <v>37</v>
      </c>
      <c r="B277" s="1667" t="s">
        <v>36</v>
      </c>
      <c r="C277" s="616"/>
      <c r="D277" s="1668">
        <f>SUM(D272:D276)</f>
        <v>363246</v>
      </c>
      <c r="E277" s="616"/>
      <c r="F277" s="616"/>
      <c r="G277" s="616"/>
      <c r="H277" s="616"/>
      <c r="I277" s="616"/>
      <c r="J277" s="616"/>
      <c r="K277" s="1668">
        <f>SUM(K272:K276)</f>
        <v>363246</v>
      </c>
      <c r="L277" s="1668">
        <f>SUM(L272:L276)</f>
        <v>359000</v>
      </c>
    </row>
    <row r="278" spans="1:12" ht="13.5" customHeight="1" thickTop="1" x14ac:dyDescent="0.2">
      <c r="A278" s="1508"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7263186</v>
      </c>
      <c r="E279" s="616"/>
      <c r="F279" s="616"/>
      <c r="G279" s="616"/>
      <c r="H279" s="616"/>
      <c r="I279" s="616"/>
      <c r="J279" s="616"/>
      <c r="K279" s="1675">
        <f>SUM(K238,K243,K257,K261,K270,K277,K278)</f>
        <v>7263186</v>
      </c>
      <c r="L279" s="1675">
        <f>SUM(L238,L243,L257,L261,L270,L277,L278)</f>
        <v>7359000</v>
      </c>
    </row>
    <row r="280" spans="1:12" ht="15.75" customHeight="1" thickTop="1" thickBot="1" x14ac:dyDescent="0.25">
      <c r="A280" s="1622" t="s">
        <v>875</v>
      </c>
      <c r="B280" s="1611">
        <v>3000</v>
      </c>
      <c r="C280" s="616"/>
      <c r="D280" s="576"/>
      <c r="E280" s="616"/>
      <c r="F280" s="616"/>
      <c r="G280" s="616"/>
      <c r="H280" s="616"/>
      <c r="I280" s="616"/>
      <c r="J280" s="616"/>
      <c r="K280" s="1677">
        <f>D280</f>
        <v>0</v>
      </c>
      <c r="L280" s="576"/>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8" t="s">
        <v>496</v>
      </c>
      <c r="B282" s="690" t="s">
        <v>1842</v>
      </c>
      <c r="C282" s="616"/>
      <c r="D282" s="467"/>
      <c r="E282" s="616"/>
      <c r="F282" s="616"/>
      <c r="G282" s="616"/>
      <c r="H282" s="616"/>
      <c r="I282" s="616"/>
      <c r="J282" s="616"/>
      <c r="K282" s="1669">
        <f>D282</f>
        <v>0</v>
      </c>
      <c r="L282" s="467"/>
    </row>
    <row r="283" spans="1:12" x14ac:dyDescent="0.2">
      <c r="A283" s="1502" t="s">
        <v>304</v>
      </c>
      <c r="B283" s="614">
        <v>4120</v>
      </c>
      <c r="C283" s="616"/>
      <c r="D283" s="466"/>
      <c r="E283" s="616"/>
      <c r="F283" s="616"/>
      <c r="G283" s="616"/>
      <c r="H283" s="616"/>
      <c r="I283" s="616"/>
      <c r="J283" s="616"/>
      <c r="K283" s="1669">
        <f>D283</f>
        <v>0</v>
      </c>
      <c r="L283" s="466"/>
    </row>
    <row r="284" spans="1:12" x14ac:dyDescent="0.2">
      <c r="A284" s="1502"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1170</v>
      </c>
      <c r="B290" s="628" t="s">
        <v>617</v>
      </c>
      <c r="C290" s="616"/>
      <c r="D290" s="616"/>
      <c r="E290" s="616"/>
      <c r="F290" s="616"/>
      <c r="G290" s="616"/>
      <c r="H290" s="466"/>
      <c r="I290" s="616"/>
      <c r="J290" s="616"/>
      <c r="K290" s="1669">
        <f>H290</f>
        <v>0</v>
      </c>
      <c r="L290" s="466"/>
    </row>
    <row r="291" spans="1:14" x14ac:dyDescent="0.2">
      <c r="A291" s="1502" t="s">
        <v>89</v>
      </c>
      <c r="B291" s="614" t="s">
        <v>589</v>
      </c>
      <c r="C291" s="616"/>
      <c r="D291" s="616"/>
      <c r="E291" s="616"/>
      <c r="F291" s="616"/>
      <c r="G291" s="616"/>
      <c r="H291" s="466"/>
      <c r="I291" s="616"/>
      <c r="J291" s="616"/>
      <c r="K291" s="1669">
        <f>H291</f>
        <v>0</v>
      </c>
      <c r="L291" s="466"/>
    </row>
    <row r="292" spans="1:14" x14ac:dyDescent="0.2">
      <c r="A292" s="1502"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215" t="s">
        <v>505</v>
      </c>
      <c r="B295" s="2216"/>
      <c r="C295" s="616"/>
      <c r="D295" s="1668">
        <f>SUM(D229,D279,D280,D285)</f>
        <v>10798310</v>
      </c>
      <c r="E295" s="616"/>
      <c r="F295" s="616"/>
      <c r="G295" s="616"/>
      <c r="H295" s="1668">
        <f>H293</f>
        <v>0</v>
      </c>
      <c r="I295" s="616"/>
      <c r="J295" s="616"/>
      <c r="K295" s="1668">
        <f>SUM(K229,K279,K280,K285,K293,K294)</f>
        <v>10798310</v>
      </c>
      <c r="L295" s="1668">
        <f>SUM(L229,L279,L280,L285,L293,L294)</f>
        <v>10725000</v>
      </c>
    </row>
    <row r="296" spans="1:14" ht="13.5" thickTop="1" x14ac:dyDescent="0.2">
      <c r="A296" s="2197" t="s">
        <v>996</v>
      </c>
      <c r="B296" s="2198"/>
      <c r="C296" s="616"/>
      <c r="D296" s="618"/>
      <c r="E296" s="616"/>
      <c r="F296" s="616"/>
      <c r="G296" s="616"/>
      <c r="H296" s="687"/>
      <c r="I296" s="616"/>
      <c r="J296" s="616"/>
      <c r="K296" s="1682">
        <f>'Revenues 9-14'!G268-'Expenditures 15-22'!K295</f>
        <v>-430346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7" t="s">
        <v>143</v>
      </c>
      <c r="B298" s="2201"/>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v>11625231</v>
      </c>
      <c r="H301" s="466"/>
      <c r="I301" s="467"/>
      <c r="J301" s="467"/>
      <c r="K301" s="1669">
        <f>SUM(C301:J301)</f>
        <v>11625231</v>
      </c>
      <c r="L301" s="467">
        <v>13290000</v>
      </c>
    </row>
    <row r="302" spans="1:14" ht="13.5" customHeight="1" x14ac:dyDescent="0.2">
      <c r="A302" s="1515"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11625231</v>
      </c>
      <c r="H303" s="1675">
        <f t="shared" si="23"/>
        <v>0</v>
      </c>
      <c r="I303" s="1675">
        <f t="shared" si="23"/>
        <v>0</v>
      </c>
      <c r="J303" s="1675">
        <f t="shared" si="23"/>
        <v>0</v>
      </c>
      <c r="K303" s="1675">
        <f t="shared" si="23"/>
        <v>11625231</v>
      </c>
      <c r="L303" s="1675">
        <f t="shared" si="23"/>
        <v>13290000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1847</v>
      </c>
      <c r="B306" s="690" t="s">
        <v>1842</v>
      </c>
      <c r="C306" s="616"/>
      <c r="D306" s="616"/>
      <c r="E306" s="467"/>
      <c r="F306" s="616"/>
      <c r="G306" s="616"/>
      <c r="H306" s="467"/>
      <c r="I306" s="616"/>
      <c r="J306" s="616"/>
      <c r="K306" s="1669">
        <f>SUM(E306,H306)</f>
        <v>0</v>
      </c>
      <c r="L306" s="467"/>
    </row>
    <row r="307" spans="1:14" x14ac:dyDescent="0.2">
      <c r="A307" s="1502" t="s">
        <v>304</v>
      </c>
      <c r="B307" s="614">
        <v>4120</v>
      </c>
      <c r="C307" s="616"/>
      <c r="D307" s="616"/>
      <c r="E307" s="467"/>
      <c r="F307" s="616"/>
      <c r="G307" s="616"/>
      <c r="H307" s="467"/>
      <c r="I307" s="477"/>
      <c r="J307" s="616"/>
      <c r="K307" s="1669">
        <f>SUM(E307,H307)</f>
        <v>0</v>
      </c>
      <c r="L307" s="466"/>
    </row>
    <row r="308" spans="1:14" x14ac:dyDescent="0.2">
      <c r="A308" s="1502" t="s">
        <v>697</v>
      </c>
      <c r="B308" s="614">
        <v>4140</v>
      </c>
      <c r="C308" s="616"/>
      <c r="D308" s="616"/>
      <c r="E308" s="467"/>
      <c r="F308" s="616"/>
      <c r="G308" s="616"/>
      <c r="H308" s="467"/>
      <c r="I308" s="477"/>
      <c r="J308" s="616"/>
      <c r="K308" s="1669">
        <f>SUM(E308,H308)</f>
        <v>0</v>
      </c>
      <c r="L308" s="466"/>
    </row>
    <row r="309" spans="1:14" ht="12.75" customHeight="1" x14ac:dyDescent="0.2">
      <c r="A309" s="1506"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212" t="s">
        <v>277</v>
      </c>
      <c r="B312" s="2213"/>
      <c r="C312" s="1668">
        <f>SUM(C303)</f>
        <v>0</v>
      </c>
      <c r="D312" s="1668">
        <f>SUM(D303)</f>
        <v>0</v>
      </c>
      <c r="E312" s="1668">
        <f>SUM(E303,E310)</f>
        <v>0</v>
      </c>
      <c r="F312" s="1668">
        <f>SUM(F303)</f>
        <v>0</v>
      </c>
      <c r="G312" s="1668">
        <f>SUM(G303)</f>
        <v>11625231</v>
      </c>
      <c r="H312" s="1668">
        <f>SUM(H303,H310)</f>
        <v>0</v>
      </c>
      <c r="I312" s="1668">
        <f>SUM(I303)</f>
        <v>0</v>
      </c>
      <c r="J312" s="1668">
        <f>SUM(J303)</f>
        <v>0</v>
      </c>
      <c r="K312" s="1668">
        <f>SUM(K303,K310,K311)</f>
        <v>11625231</v>
      </c>
      <c r="L312" s="1668">
        <f>SUM(L303,L310,L311)</f>
        <v>13290000</v>
      </c>
      <c r="M312" s="665"/>
      <c r="N312" s="665"/>
    </row>
    <row r="313" spans="1:14" ht="13.5" thickTop="1" x14ac:dyDescent="0.2">
      <c r="A313" s="2208" t="s">
        <v>996</v>
      </c>
      <c r="B313" s="2209"/>
      <c r="C313" s="626"/>
      <c r="D313" s="626"/>
      <c r="E313" s="626"/>
      <c r="F313" s="626"/>
      <c r="G313" s="626"/>
      <c r="H313" s="626"/>
      <c r="I313" s="626"/>
      <c r="J313" s="626"/>
      <c r="K313" s="1683">
        <f>'Revenues 9-14'!H268-'Expenditures 15-22'!K312</f>
        <v>-11493588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21" t="s">
        <v>149</v>
      </c>
      <c r="B315" s="2222"/>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23" t="s">
        <v>898</v>
      </c>
      <c r="B317" s="2222"/>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1" t="s">
        <v>1803</v>
      </c>
      <c r="B320" s="698" t="s">
        <v>282</v>
      </c>
      <c r="C320" s="467"/>
      <c r="D320" s="467"/>
      <c r="E320" s="467"/>
      <c r="F320" s="467"/>
      <c r="G320" s="467"/>
      <c r="H320" s="467"/>
      <c r="I320" s="467"/>
      <c r="J320" s="467"/>
      <c r="K320" s="1669">
        <f t="shared" ref="K320:K327" si="24">SUM(C320:J320)</f>
        <v>0</v>
      </c>
      <c r="L320" s="467"/>
      <c r="M320" s="665"/>
      <c r="N320" s="665"/>
    </row>
    <row r="321" spans="1:14" s="674" customFormat="1" x14ac:dyDescent="0.2">
      <c r="A321" s="1517"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7" t="s">
        <v>238</v>
      </c>
      <c r="B322" s="697" t="s">
        <v>284</v>
      </c>
      <c r="C322" s="467"/>
      <c r="D322" s="467"/>
      <c r="E322" s="467"/>
      <c r="F322" s="467"/>
      <c r="G322" s="467"/>
      <c r="H322" s="467"/>
      <c r="I322" s="467"/>
      <c r="J322" s="467"/>
      <c r="K322" s="1669">
        <f t="shared" si="24"/>
        <v>0</v>
      </c>
      <c r="L322" s="467"/>
      <c r="M322" s="665"/>
      <c r="N322" s="665"/>
    </row>
    <row r="323" spans="1:14" s="674" customFormat="1" x14ac:dyDescent="0.2">
      <c r="A323" s="1517"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7"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7"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7"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7"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18"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18"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0</v>
      </c>
      <c r="F330" s="1668">
        <f t="shared" si="25"/>
        <v>0</v>
      </c>
      <c r="G330" s="1668">
        <f t="shared" si="25"/>
        <v>0</v>
      </c>
      <c r="H330" s="1668">
        <f t="shared" si="25"/>
        <v>0</v>
      </c>
      <c r="I330" s="1668">
        <f t="shared" si="25"/>
        <v>0</v>
      </c>
      <c r="J330" s="1668">
        <f t="shared" si="25"/>
        <v>0</v>
      </c>
      <c r="K330" s="1668">
        <f>SUM(K319:K329)</f>
        <v>0</v>
      </c>
      <c r="L330" s="1668">
        <f>SUM(L319:L329)</f>
        <v>0</v>
      </c>
      <c r="M330" s="665"/>
      <c r="N330" s="665"/>
    </row>
    <row r="331" spans="1:14" s="674" customFormat="1" ht="12.75" customHeight="1" thickTop="1" x14ac:dyDescent="0.2">
      <c r="A331" s="1829" t="s">
        <v>1848</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1842</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1844</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1849</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9">
        <f>H337</f>
        <v>0</v>
      </c>
      <c r="L337" s="478"/>
    </row>
    <row r="338" spans="1:14" ht="12.75" customHeight="1" x14ac:dyDescent="0.2">
      <c r="A338" s="1516" t="s">
        <v>1170</v>
      </c>
      <c r="B338" s="690" t="s">
        <v>617</v>
      </c>
      <c r="C338" s="638"/>
      <c r="D338" s="638"/>
      <c r="E338" s="638"/>
      <c r="F338" s="638"/>
      <c r="G338" s="638"/>
      <c r="H338" s="478"/>
      <c r="I338" s="638"/>
      <c r="J338" s="638"/>
      <c r="K338" s="1669">
        <f>H338</f>
        <v>0</v>
      </c>
      <c r="L338" s="478"/>
    </row>
    <row r="339" spans="1:14" x14ac:dyDescent="0.2">
      <c r="A339" s="1502"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0</v>
      </c>
      <c r="F342" s="1668">
        <f>SUM(F330)</f>
        <v>0</v>
      </c>
      <c r="G342" s="1668">
        <f>SUM(G330)</f>
        <v>0</v>
      </c>
      <c r="H342" s="1668">
        <f>SUM(H330,H334,H340)</f>
        <v>0</v>
      </c>
      <c r="I342" s="1668">
        <f>SUM(I330)</f>
        <v>0</v>
      </c>
      <c r="J342" s="1668">
        <f>SUM(J330)</f>
        <v>0</v>
      </c>
      <c r="K342" s="1668">
        <f>SUM(K330,K334,K340)</f>
        <v>0</v>
      </c>
      <c r="L342" s="1675">
        <f>SUM(L330,L334,L340,L341)</f>
        <v>0</v>
      </c>
    </row>
    <row r="343" spans="1:14" ht="12.75" customHeight="1" thickTop="1" x14ac:dyDescent="0.2">
      <c r="A343" s="2210" t="s">
        <v>996</v>
      </c>
      <c r="B343" s="2211"/>
      <c r="C343" s="616"/>
      <c r="D343" s="616"/>
      <c r="E343" s="616"/>
      <c r="F343" s="616"/>
      <c r="G343" s="616"/>
      <c r="H343" s="616"/>
      <c r="I343" s="616"/>
      <c r="J343" s="616"/>
      <c r="K343" s="1682">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00" t="s">
        <v>966</v>
      </c>
      <c r="B345" s="2201"/>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row>
    <row r="349" spans="1:14" x14ac:dyDescent="0.2">
      <c r="A349" s="1502" t="s">
        <v>197</v>
      </c>
      <c r="B349" s="614">
        <v>2540</v>
      </c>
      <c r="C349" s="466"/>
      <c r="D349" s="466"/>
      <c r="E349" s="466"/>
      <c r="F349" s="466"/>
      <c r="G349" s="466">
        <v>1083293</v>
      </c>
      <c r="H349" s="466"/>
      <c r="I349" s="467"/>
      <c r="J349" s="467"/>
      <c r="K349" s="1669">
        <f>SUM(C349:J349)</f>
        <v>1083293</v>
      </c>
      <c r="L349" s="466">
        <v>3000000</v>
      </c>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1083293</v>
      </c>
      <c r="H350" s="1668">
        <f t="shared" si="26"/>
        <v>0</v>
      </c>
      <c r="I350" s="1668">
        <f t="shared" si="26"/>
        <v>0</v>
      </c>
      <c r="J350" s="1668">
        <f t="shared" si="26"/>
        <v>0</v>
      </c>
      <c r="K350" s="1668">
        <f t="shared" si="26"/>
        <v>1083293</v>
      </c>
      <c r="L350" s="1668">
        <f t="shared" si="26"/>
        <v>3000000</v>
      </c>
    </row>
    <row r="351" spans="1:14" ht="12.75" customHeight="1" thickTop="1" x14ac:dyDescent="0.2">
      <c r="A351" s="1508"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1083293</v>
      </c>
      <c r="H352" s="1668">
        <f t="shared" si="27"/>
        <v>0</v>
      </c>
      <c r="I352" s="1668">
        <f t="shared" si="27"/>
        <v>0</v>
      </c>
      <c r="J352" s="1668">
        <f t="shared" si="27"/>
        <v>0</v>
      </c>
      <c r="K352" s="1668">
        <f t="shared" si="27"/>
        <v>1083293</v>
      </c>
      <c r="L352" s="1668">
        <f t="shared" si="27"/>
        <v>3000000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2" t="s">
        <v>1850</v>
      </c>
      <c r="B354" s="683" t="s">
        <v>1842</v>
      </c>
      <c r="C354" s="616"/>
      <c r="D354" s="616"/>
      <c r="E354" s="616"/>
      <c r="F354" s="616"/>
      <c r="G354" s="616"/>
      <c r="H354" s="474"/>
      <c r="I354" s="701"/>
      <c r="J354" s="616"/>
      <c r="K354" s="1697">
        <f>H354</f>
        <v>0</v>
      </c>
      <c r="L354" s="471"/>
    </row>
    <row r="355" spans="1:14" ht="12.75" customHeight="1" x14ac:dyDescent="0.2">
      <c r="A355" s="1511" t="s">
        <v>1851</v>
      </c>
      <c r="B355" s="690" t="s">
        <v>1844</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1083293</v>
      </c>
      <c r="H367" s="1668">
        <f t="shared" si="28"/>
        <v>0</v>
      </c>
      <c r="I367" s="1668">
        <f t="shared" si="28"/>
        <v>0</v>
      </c>
      <c r="J367" s="1668">
        <f t="shared" si="28"/>
        <v>0</v>
      </c>
      <c r="K367" s="1668">
        <f t="shared" si="28"/>
        <v>1083293</v>
      </c>
      <c r="L367" s="1668">
        <f t="shared" si="28"/>
        <v>3000000</v>
      </c>
    </row>
    <row r="368" spans="1:14" ht="13.5" thickTop="1" x14ac:dyDescent="0.2">
      <c r="A368" s="2197" t="s">
        <v>996</v>
      </c>
      <c r="B368" s="2198"/>
      <c r="C368" s="654"/>
      <c r="D368" s="654"/>
      <c r="E368" s="626"/>
      <c r="F368" s="626"/>
      <c r="G368" s="626"/>
      <c r="H368" s="626"/>
      <c r="I368" s="626"/>
      <c r="J368" s="623"/>
      <c r="K368" s="1669">
        <f>'Revenues 9-14'!K268-'Expenditures 15-22'!K367</f>
        <v>-1045305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224" t="s">
        <v>1800</v>
      </c>
      <c r="B2" s="1526" t="s">
        <v>1947</v>
      </c>
      <c r="C2" s="714" t="s">
        <v>1948</v>
      </c>
      <c r="D2" s="714" t="s">
        <v>1949</v>
      </c>
      <c r="E2" s="714" t="s">
        <v>1950</v>
      </c>
      <c r="F2" s="714" t="s">
        <v>1951</v>
      </c>
    </row>
    <row r="3" spans="1:6" ht="12" customHeight="1" x14ac:dyDescent="0.2">
      <c r="A3" s="2225"/>
      <c r="B3" s="1523"/>
      <c r="C3" s="1524"/>
      <c r="D3" s="1525" t="s">
        <v>256</v>
      </c>
      <c r="E3" s="1524"/>
      <c r="F3" s="1525" t="s">
        <v>257</v>
      </c>
    </row>
    <row r="4" spans="1:6" ht="13.7" customHeight="1" x14ac:dyDescent="0.2">
      <c r="A4" s="715" t="s">
        <v>1155</v>
      </c>
      <c r="B4" s="1747">
        <f>'Revenues 9-14'!C5</f>
        <v>170540072</v>
      </c>
      <c r="C4" s="1522">
        <v>91619835</v>
      </c>
      <c r="D4" s="1750">
        <f>B4-C4</f>
        <v>78920237</v>
      </c>
      <c r="E4" s="1522">
        <v>174022047</v>
      </c>
      <c r="F4" s="1750">
        <f>E4-C4</f>
        <v>82402212</v>
      </c>
    </row>
    <row r="5" spans="1:6" ht="13.7" customHeight="1" x14ac:dyDescent="0.2">
      <c r="A5" s="715" t="s">
        <v>870</v>
      </c>
      <c r="B5" s="1748">
        <f>'Revenues 9-14'!D5</f>
        <v>29965260</v>
      </c>
      <c r="C5" s="585">
        <v>16807121</v>
      </c>
      <c r="D5" s="1751">
        <f t="shared" ref="D5:D18" si="0">B5-C5</f>
        <v>13158139</v>
      </c>
      <c r="E5" s="585">
        <v>31920584</v>
      </c>
      <c r="F5" s="1751">
        <f>E5-C5</f>
        <v>15113463</v>
      </c>
    </row>
    <row r="6" spans="1:6" ht="13.7" customHeight="1" x14ac:dyDescent="0.2">
      <c r="A6" s="715" t="s">
        <v>411</v>
      </c>
      <c r="B6" s="1748">
        <f>'Revenues 9-14'!E5</f>
        <v>-42480</v>
      </c>
      <c r="C6" s="585"/>
      <c r="D6" s="1751">
        <f t="shared" si="0"/>
        <v>-42480</v>
      </c>
      <c r="E6" s="585"/>
      <c r="F6" s="1751">
        <f t="shared" ref="F6:F18" si="1">E6-C6</f>
        <v>0</v>
      </c>
    </row>
    <row r="7" spans="1:6" ht="13.7" customHeight="1" x14ac:dyDescent="0.2">
      <c r="A7" s="715" t="s">
        <v>155</v>
      </c>
      <c r="B7" s="1748">
        <f>'Revenues 9-14'!F5</f>
        <v>8507058</v>
      </c>
      <c r="C7" s="585">
        <v>4617341</v>
      </c>
      <c r="D7" s="1751">
        <f t="shared" si="0"/>
        <v>3889717</v>
      </c>
      <c r="E7" s="585">
        <v>8769391</v>
      </c>
      <c r="F7" s="1751">
        <f t="shared" si="1"/>
        <v>4152050</v>
      </c>
    </row>
    <row r="8" spans="1:6" ht="13.7" customHeight="1" x14ac:dyDescent="0.2">
      <c r="A8" s="715" t="s">
        <v>1179</v>
      </c>
      <c r="B8" s="1748">
        <f>'Revenues 9-14'!G5</f>
        <v>4788029</v>
      </c>
      <c r="C8" s="585">
        <f>2530695</f>
        <v>2530695</v>
      </c>
      <c r="D8" s="1751">
        <f t="shared" si="0"/>
        <v>2257334</v>
      </c>
      <c r="E8" s="585">
        <v>4806372</v>
      </c>
      <c r="F8" s="1751">
        <f t="shared" si="1"/>
        <v>2275677</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2527547</v>
      </c>
      <c r="C10" s="585">
        <v>1355730</v>
      </c>
      <c r="D10" s="1751">
        <f t="shared" si="0"/>
        <v>1171817</v>
      </c>
      <c r="E10" s="585">
        <v>2574842</v>
      </c>
      <c r="F10" s="1751">
        <f t="shared" si="1"/>
        <v>1219112</v>
      </c>
    </row>
    <row r="11" spans="1:6" x14ac:dyDescent="0.2">
      <c r="A11" s="715" t="s">
        <v>409</v>
      </c>
      <c r="B11" s="1748">
        <f>'Revenues 9-14'!J5</f>
        <v>0</v>
      </c>
      <c r="C11" s="585"/>
      <c r="D11" s="1751">
        <f t="shared" si="0"/>
        <v>0</v>
      </c>
      <c r="E11" s="585"/>
      <c r="F11" s="1751">
        <f t="shared" si="1"/>
        <v>0</v>
      </c>
    </row>
    <row r="12" spans="1:6" ht="13.7" customHeight="1" x14ac:dyDescent="0.2">
      <c r="A12" s="715" t="s">
        <v>157</v>
      </c>
      <c r="B12" s="1748">
        <f>'Revenues 9-14'!K5</f>
        <v>0</v>
      </c>
      <c r="C12" s="585"/>
      <c r="D12" s="1751">
        <f t="shared" si="0"/>
        <v>0</v>
      </c>
      <c r="E12" s="585"/>
      <c r="F12" s="1751">
        <f t="shared" si="1"/>
        <v>0</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0</v>
      </c>
      <c r="C14" s="585"/>
      <c r="D14" s="1751">
        <f t="shared" si="0"/>
        <v>0</v>
      </c>
      <c r="E14" s="585"/>
      <c r="F14" s="1751">
        <f t="shared" si="1"/>
        <v>0</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4937355</v>
      </c>
      <c r="C16" s="585">
        <v>2680022</v>
      </c>
      <c r="D16" s="1751">
        <f t="shared" si="0"/>
        <v>2257333</v>
      </c>
      <c r="E16" s="585">
        <v>5089978</v>
      </c>
      <c r="F16" s="1751">
        <f t="shared" si="1"/>
        <v>2409956</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221222841</v>
      </c>
      <c r="C19" s="1749">
        <f>SUM(C4:C18)</f>
        <v>119610744</v>
      </c>
      <c r="D19" s="1749">
        <f>SUM(D4:D18)</f>
        <v>101612097</v>
      </c>
      <c r="E19" s="1749">
        <f>SUM(E4:E18)</f>
        <v>227183214</v>
      </c>
      <c r="F19" s="1749">
        <f>SUM(F4:F18)</f>
        <v>107572470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6" t="s">
        <v>629</v>
      </c>
      <c r="B1" s="2244"/>
      <c r="C1" s="721"/>
    </row>
    <row r="2" spans="1:7" ht="33.75" x14ac:dyDescent="0.2">
      <c r="A2" s="2251" t="s">
        <v>1800</v>
      </c>
      <c r="B2" s="2252"/>
      <c r="C2" s="1882" t="s">
        <v>1952</v>
      </c>
      <c r="D2" s="723" t="s">
        <v>1953</v>
      </c>
      <c r="E2" s="723" t="s">
        <v>1954</v>
      </c>
      <c r="F2" s="1882" t="s">
        <v>1955</v>
      </c>
    </row>
    <row r="3" spans="1:7" ht="15.75" customHeight="1" x14ac:dyDescent="0.2">
      <c r="A3" s="2253" t="s">
        <v>1114</v>
      </c>
      <c r="B3" s="2254"/>
      <c r="C3" s="2247"/>
      <c r="D3" s="2248"/>
      <c r="E3" s="2248"/>
      <c r="F3" s="2249"/>
    </row>
    <row r="4" spans="1:7" ht="12.75" customHeight="1" thickBot="1" x14ac:dyDescent="0.25">
      <c r="A4" s="2241" t="s">
        <v>630</v>
      </c>
      <c r="B4" s="2242"/>
      <c r="C4" s="581"/>
      <c r="D4" s="581"/>
      <c r="E4" s="581"/>
      <c r="F4" s="1753">
        <f>SUM(C4+D4)-E4</f>
        <v>0</v>
      </c>
    </row>
    <row r="5" spans="1:7" ht="15.75" customHeight="1" thickTop="1" x14ac:dyDescent="0.2">
      <c r="A5" s="2245" t="s">
        <v>1110</v>
      </c>
      <c r="B5" s="2240"/>
      <c r="C5" s="2234"/>
      <c r="D5" s="2235"/>
      <c r="E5" s="2235"/>
      <c r="F5" s="2236"/>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237" t="s">
        <v>631</v>
      </c>
      <c r="B15" s="2238"/>
      <c r="C15" s="1753">
        <f>SUM(C6:C14)</f>
        <v>0</v>
      </c>
      <c r="D15" s="1753">
        <f>SUM(D6:D14)</f>
        <v>0</v>
      </c>
      <c r="E15" s="1753">
        <f>SUM(E6:E14)</f>
        <v>0</v>
      </c>
      <c r="F15" s="1753">
        <f>SUM(F6:F14)</f>
        <v>0</v>
      </c>
      <c r="G15" s="552"/>
    </row>
    <row r="16" spans="1:7" s="202" customFormat="1" ht="15.75" customHeight="1" thickTop="1" x14ac:dyDescent="0.2">
      <c r="A16" s="2250" t="s">
        <v>1111</v>
      </c>
      <c r="B16" s="2240"/>
      <c r="C16" s="2234"/>
      <c r="D16" s="2235"/>
      <c r="E16" s="2235"/>
      <c r="F16" s="2236"/>
    </row>
    <row r="17" spans="1:11" ht="12.75" customHeight="1" thickBot="1" x14ac:dyDescent="0.25">
      <c r="A17" s="2232" t="s">
        <v>64</v>
      </c>
      <c r="B17" s="2233"/>
      <c r="C17" s="726"/>
      <c r="D17" s="585"/>
      <c r="E17" s="726"/>
      <c r="F17" s="1753">
        <f>SUM(C17+D17)-E17</f>
        <v>0</v>
      </c>
    </row>
    <row r="18" spans="1:11" ht="12.75" customHeight="1" thickTop="1" thickBot="1" x14ac:dyDescent="0.25">
      <c r="A18" s="2232" t="s">
        <v>6</v>
      </c>
      <c r="B18" s="2233"/>
      <c r="C18" s="726"/>
      <c r="D18" s="585"/>
      <c r="E18" s="726"/>
      <c r="F18" s="1753">
        <f>SUM(C18+D18)-E18</f>
        <v>0</v>
      </c>
    </row>
    <row r="19" spans="1:11" ht="12.75" customHeight="1" thickTop="1" thickBot="1" x14ac:dyDescent="0.25">
      <c r="A19" s="2232" t="s">
        <v>388</v>
      </c>
      <c r="B19" s="2233"/>
      <c r="C19" s="726"/>
      <c r="D19" s="585"/>
      <c r="E19" s="726"/>
      <c r="F19" s="1753">
        <f>SUM(C19+D19)-E19</f>
        <v>0</v>
      </c>
    </row>
    <row r="20" spans="1:11" ht="12.75" customHeight="1" thickTop="1" thickBot="1" x14ac:dyDescent="0.25">
      <c r="A20" s="2232" t="s">
        <v>448</v>
      </c>
      <c r="B20" s="2233"/>
      <c r="C20" s="726"/>
      <c r="D20" s="585"/>
      <c r="E20" s="726"/>
      <c r="F20" s="1753">
        <f>SUM(C20+D20)-E20</f>
        <v>0</v>
      </c>
    </row>
    <row r="21" spans="1:11" ht="14.25" thickTop="1" thickBot="1" x14ac:dyDescent="0.25">
      <c r="A21" s="2237" t="s">
        <v>632</v>
      </c>
      <c r="B21" s="2238"/>
      <c r="C21" s="1753">
        <f>SUM(C17:C20)</f>
        <v>0</v>
      </c>
      <c r="D21" s="1753">
        <f>SUM(D17:D20)</f>
        <v>0</v>
      </c>
      <c r="E21" s="1753">
        <f>SUM(E17:E20)</f>
        <v>0</v>
      </c>
      <c r="F21" s="1753">
        <f>SUM(F17:F20)</f>
        <v>0</v>
      </c>
      <c r="G21" s="552"/>
    </row>
    <row r="22" spans="1:11" ht="15.75" customHeight="1" thickTop="1" x14ac:dyDescent="0.2">
      <c r="A22" s="2239" t="s">
        <v>1112</v>
      </c>
      <c r="B22" s="2240"/>
      <c r="C22" s="2234"/>
      <c r="D22" s="2235"/>
      <c r="E22" s="2235"/>
      <c r="F22" s="2236"/>
    </row>
    <row r="23" spans="1:11" ht="13.5" thickBot="1" x14ac:dyDescent="0.25">
      <c r="A23" s="2241" t="s">
        <v>633</v>
      </c>
      <c r="B23" s="2242"/>
      <c r="C23" s="581"/>
      <c r="D23" s="581"/>
      <c r="E23" s="581"/>
      <c r="F23" s="1753">
        <f>SUM(C23+D23)-E23</f>
        <v>0</v>
      </c>
      <c r="G23" s="552"/>
    </row>
    <row r="24" spans="1:11" ht="15.75" customHeight="1" thickTop="1" x14ac:dyDescent="0.2">
      <c r="A24" s="2239" t="s">
        <v>1113</v>
      </c>
      <c r="B24" s="2240"/>
      <c r="C24" s="2234"/>
      <c r="D24" s="2235"/>
      <c r="E24" s="2235"/>
      <c r="F24" s="2236"/>
    </row>
    <row r="25" spans="1:11" ht="13.5" thickBot="1" x14ac:dyDescent="0.25">
      <c r="A25" s="2241" t="s">
        <v>634</v>
      </c>
      <c r="B25" s="2242"/>
      <c r="C25" s="581"/>
      <c r="D25" s="581"/>
      <c r="E25" s="581"/>
      <c r="F25" s="1753">
        <f>SUM(C25+D25)-E25</f>
        <v>0</v>
      </c>
      <c r="G25" s="552"/>
    </row>
    <row r="26" spans="1:11" ht="15.75" customHeight="1" thickTop="1" x14ac:dyDescent="0.2">
      <c r="A26" s="2245" t="s">
        <v>657</v>
      </c>
      <c r="B26" s="2240"/>
      <c r="C26" s="727"/>
      <c r="D26" s="727"/>
      <c r="E26" s="727"/>
      <c r="F26" s="728"/>
    </row>
    <row r="27" spans="1:11" ht="13.5" thickBot="1" x14ac:dyDescent="0.25">
      <c r="A27" s="2237" t="s">
        <v>1070</v>
      </c>
      <c r="B27" s="2238"/>
      <c r="C27" s="585"/>
      <c r="D27" s="585"/>
      <c r="E27" s="585"/>
      <c r="F27" s="1753">
        <f>SUM(C27+D27)-E27</f>
        <v>0</v>
      </c>
      <c r="G27" s="552"/>
    </row>
    <row r="28" spans="1:11" ht="7.5" customHeight="1" thickTop="1" x14ac:dyDescent="0.2">
      <c r="A28" s="593"/>
    </row>
    <row r="29" spans="1:11" ht="23.25" customHeight="1" x14ac:dyDescent="0.2">
      <c r="A29" s="2243" t="s">
        <v>582</v>
      </c>
      <c r="B29" s="2244"/>
      <c r="C29" s="729"/>
      <c r="D29" s="729"/>
      <c r="E29" s="729"/>
      <c r="F29" s="729"/>
      <c r="G29" s="729"/>
      <c r="H29" s="729"/>
      <c r="I29" s="729"/>
      <c r="J29" s="729"/>
    </row>
    <row r="30" spans="1:11" ht="33.75" x14ac:dyDescent="0.2">
      <c r="A30" s="1527" t="s">
        <v>1071</v>
      </c>
      <c r="B30" s="730" t="s">
        <v>1124</v>
      </c>
      <c r="C30" s="1883" t="s">
        <v>583</v>
      </c>
      <c r="D30" s="1883" t="s">
        <v>1673</v>
      </c>
      <c r="E30" s="1883" t="s">
        <v>1956</v>
      </c>
      <c r="F30" s="1883" t="s">
        <v>1957</v>
      </c>
      <c r="G30" s="1883" t="s">
        <v>1908</v>
      </c>
      <c r="H30" s="1883" t="s">
        <v>1958</v>
      </c>
      <c r="I30" s="1883" t="s">
        <v>1959</v>
      </c>
      <c r="J30" s="1884" t="s">
        <v>2</v>
      </c>
      <c r="K30" s="731"/>
    </row>
    <row r="31" spans="1:11" ht="12" customHeight="1" x14ac:dyDescent="0.2">
      <c r="A31" s="732" t="s">
        <v>2080</v>
      </c>
      <c r="B31" s="733">
        <v>42170</v>
      </c>
      <c r="C31" s="734">
        <v>1722000</v>
      </c>
      <c r="D31" s="735">
        <v>7</v>
      </c>
      <c r="E31" s="734">
        <v>433118</v>
      </c>
      <c r="F31" s="734">
        <v>0</v>
      </c>
      <c r="G31" s="734">
        <v>0</v>
      </c>
      <c r="H31" s="734">
        <v>433118</v>
      </c>
      <c r="I31" s="1754">
        <f>((E31+F31)-H31)+G31</f>
        <v>0</v>
      </c>
      <c r="J31" s="734">
        <v>0</v>
      </c>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1722000</v>
      </c>
      <c r="D49" s="745"/>
      <c r="E49" s="1754">
        <f t="shared" ref="E49:J49" si="2">SUM(E31:E48)</f>
        <v>433118</v>
      </c>
      <c r="F49" s="1754">
        <f t="shared" si="2"/>
        <v>0</v>
      </c>
      <c r="G49" s="1754">
        <f t="shared" si="2"/>
        <v>0</v>
      </c>
      <c r="H49" s="1754">
        <f t="shared" si="2"/>
        <v>433118</v>
      </c>
      <c r="I49" s="1754">
        <f t="shared" si="2"/>
        <v>0</v>
      </c>
      <c r="J49" s="1754">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26" t="s">
        <v>584</v>
      </c>
      <c r="C52" s="2227"/>
      <c r="D52" s="2227"/>
      <c r="E52" s="749" t="s">
        <v>845</v>
      </c>
      <c r="F52" s="2228"/>
      <c r="G52" s="2229"/>
      <c r="H52" s="736"/>
      <c r="I52" s="736"/>
      <c r="J52" s="746"/>
    </row>
    <row r="53" spans="1:11" ht="11.25" customHeight="1" x14ac:dyDescent="0.2">
      <c r="A53" s="750" t="s">
        <v>913</v>
      </c>
      <c r="B53" s="751" t="s">
        <v>951</v>
      </c>
      <c r="C53" s="746"/>
      <c r="D53" s="737"/>
      <c r="E53" s="749" t="s">
        <v>497</v>
      </c>
      <c r="F53" s="2230"/>
      <c r="G53" s="2231"/>
      <c r="H53" s="736"/>
      <c r="I53" s="736"/>
      <c r="J53" s="746"/>
    </row>
    <row r="54" spans="1:11" ht="11.25" customHeight="1" x14ac:dyDescent="0.2">
      <c r="A54" s="752" t="s">
        <v>914</v>
      </c>
      <c r="B54" s="747" t="s">
        <v>952</v>
      </c>
      <c r="C54" s="746"/>
      <c r="D54" s="737"/>
      <c r="E54" s="749" t="s">
        <v>498</v>
      </c>
      <c r="F54" s="2230"/>
      <c r="G54" s="223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8"/>
      <c r="I1" s="760"/>
      <c r="J1" s="433"/>
    </row>
    <row r="2" spans="1:11" ht="26.25" x14ac:dyDescent="0.2">
      <c r="A2" s="2274" t="s">
        <v>1677</v>
      </c>
      <c r="B2" s="2275"/>
      <c r="C2" s="2275"/>
      <c r="D2" s="2275"/>
      <c r="E2" s="2276"/>
      <c r="F2" s="761" t="s">
        <v>904</v>
      </c>
      <c r="G2" s="762" t="s">
        <v>1674</v>
      </c>
      <c r="H2" s="762" t="s">
        <v>410</v>
      </c>
      <c r="I2" s="762" t="s">
        <v>1158</v>
      </c>
      <c r="J2" s="762" t="s">
        <v>1810</v>
      </c>
      <c r="K2" s="762" t="s">
        <v>138</v>
      </c>
    </row>
    <row r="3" spans="1:11" x14ac:dyDescent="0.2">
      <c r="A3" s="2277" t="s">
        <v>1960</v>
      </c>
      <c r="B3" s="2278"/>
      <c r="C3" s="2278"/>
      <c r="D3" s="2278"/>
      <c r="E3" s="2279"/>
      <c r="F3" s="763"/>
      <c r="G3" s="764"/>
      <c r="H3" s="764"/>
      <c r="I3" s="764"/>
      <c r="J3" s="765"/>
      <c r="K3" s="765"/>
    </row>
    <row r="4" spans="1:11" x14ac:dyDescent="0.2">
      <c r="A4" s="2280" t="s">
        <v>369</v>
      </c>
      <c r="B4" s="2281"/>
      <c r="C4" s="2281"/>
      <c r="D4" s="2281"/>
      <c r="E4" s="2227"/>
      <c r="F4" s="766"/>
      <c r="G4" s="767"/>
      <c r="H4" s="768"/>
      <c r="I4" s="767"/>
      <c r="J4" s="769"/>
      <c r="K4" s="769"/>
    </row>
    <row r="5" spans="1:11" x14ac:dyDescent="0.2">
      <c r="A5" s="2258" t="s">
        <v>1069</v>
      </c>
      <c r="B5" s="2259"/>
      <c r="C5" s="2259"/>
      <c r="D5" s="2259"/>
      <c r="E5" s="2260"/>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101900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153998</v>
      </c>
    </row>
    <row r="10" spans="1:11" x14ac:dyDescent="0.2">
      <c r="A10" s="2258" t="s">
        <v>1811</v>
      </c>
      <c r="B10" s="2259"/>
      <c r="C10" s="2259"/>
      <c r="D10" s="2259"/>
      <c r="E10" s="2261"/>
      <c r="F10" s="783" t="s">
        <v>862</v>
      </c>
      <c r="G10" s="782"/>
      <c r="H10" s="784"/>
      <c r="I10" s="764"/>
      <c r="J10" s="765"/>
      <c r="K10" s="765"/>
    </row>
    <row r="11" spans="1:11" x14ac:dyDescent="0.2">
      <c r="A11" s="2258" t="s">
        <v>160</v>
      </c>
      <c r="B11" s="2259"/>
      <c r="C11" s="2259"/>
      <c r="D11" s="2259"/>
      <c r="E11" s="2260"/>
      <c r="F11" s="770" t="s">
        <v>852</v>
      </c>
      <c r="G11" s="771"/>
      <c r="H11" s="764"/>
      <c r="I11" s="764"/>
      <c r="J11" s="765"/>
      <c r="K11" s="773"/>
    </row>
    <row r="12" spans="1:11" ht="13.5" thickBot="1" x14ac:dyDescent="0.25">
      <c r="A12" s="2285" t="s">
        <v>905</v>
      </c>
      <c r="B12" s="2286"/>
      <c r="C12" s="2286"/>
      <c r="D12" s="2286"/>
      <c r="E12" s="2287"/>
      <c r="F12" s="1755"/>
      <c r="G12" s="1756">
        <f>SUM(G5:G11)</f>
        <v>0</v>
      </c>
      <c r="H12" s="1756">
        <f>SUM(H5:H11)</f>
        <v>0</v>
      </c>
      <c r="I12" s="1756">
        <f>SUM(I5:I11)</f>
        <v>0</v>
      </c>
      <c r="J12" s="1756">
        <f>SUM(J5:J11)</f>
        <v>0</v>
      </c>
      <c r="K12" s="1756">
        <f>SUM(K5:K11)</f>
        <v>255898</v>
      </c>
    </row>
    <row r="13" spans="1:11" ht="13.5" thickTop="1" x14ac:dyDescent="0.2">
      <c r="A13" s="2282" t="s">
        <v>370</v>
      </c>
      <c r="B13" s="2283"/>
      <c r="C13" s="2283"/>
      <c r="D13" s="2283"/>
      <c r="E13" s="2284"/>
      <c r="F13" s="785"/>
      <c r="G13" s="786"/>
      <c r="H13" s="787"/>
      <c r="I13" s="788"/>
      <c r="J13" s="788"/>
      <c r="K13" s="788"/>
    </row>
    <row r="14" spans="1:11" x14ac:dyDescent="0.2">
      <c r="A14" s="2265" t="s">
        <v>456</v>
      </c>
      <c r="B14" s="2265"/>
      <c r="C14" s="2265"/>
      <c r="D14" s="2265"/>
      <c r="E14" s="2266"/>
      <c r="F14" s="789" t="s">
        <v>854</v>
      </c>
      <c r="G14" s="782"/>
      <c r="H14" s="764"/>
      <c r="I14" s="771"/>
      <c r="J14" s="773"/>
      <c r="K14" s="765">
        <v>255898</v>
      </c>
    </row>
    <row r="15" spans="1:11" x14ac:dyDescent="0.2">
      <c r="A15" s="2259" t="s">
        <v>4</v>
      </c>
      <c r="B15" s="2259"/>
      <c r="C15" s="2259"/>
      <c r="D15" s="2259"/>
      <c r="E15" s="2260"/>
      <c r="F15" s="789" t="s">
        <v>855</v>
      </c>
      <c r="G15" s="771"/>
      <c r="H15" s="764"/>
      <c r="I15" s="764"/>
      <c r="J15" s="765"/>
      <c r="K15" s="765"/>
    </row>
    <row r="16" spans="1:11" x14ac:dyDescent="0.2">
      <c r="A16" s="2259" t="s">
        <v>298</v>
      </c>
      <c r="B16" s="2259"/>
      <c r="C16" s="2259"/>
      <c r="D16" s="2259"/>
      <c r="E16" s="2260"/>
      <c r="F16" s="789" t="s">
        <v>923</v>
      </c>
      <c r="G16" s="772"/>
      <c r="H16" s="767"/>
      <c r="I16" s="767"/>
      <c r="J16" s="769"/>
      <c r="K16" s="769"/>
    </row>
    <row r="17" spans="1:11" x14ac:dyDescent="0.2">
      <c r="A17" s="2290" t="s">
        <v>935</v>
      </c>
      <c r="B17" s="2290"/>
      <c r="C17" s="2290"/>
      <c r="D17" s="2290"/>
      <c r="E17" s="2291"/>
      <c r="F17" s="790"/>
      <c r="G17" s="791"/>
      <c r="H17" s="792"/>
      <c r="I17" s="792"/>
      <c r="J17" s="793"/>
      <c r="K17" s="794"/>
    </row>
    <row r="18" spans="1:11" x14ac:dyDescent="0.2">
      <c r="A18" s="2269" t="s">
        <v>368</v>
      </c>
      <c r="B18" s="2270"/>
      <c r="C18" s="2270"/>
      <c r="D18" s="2270"/>
      <c r="E18" s="2271"/>
      <c r="F18" s="789" t="s">
        <v>932</v>
      </c>
      <c r="G18" s="782"/>
      <c r="H18" s="782"/>
      <c r="I18" s="782"/>
      <c r="J18" s="765"/>
      <c r="K18" s="795"/>
    </row>
    <row r="19" spans="1:11" ht="21.75" customHeight="1" x14ac:dyDescent="0.2">
      <c r="A19" s="2267" t="s">
        <v>1807</v>
      </c>
      <c r="B19" s="2267"/>
      <c r="C19" s="2267"/>
      <c r="D19" s="2267"/>
      <c r="E19" s="2268"/>
      <c r="F19" s="789" t="s">
        <v>933</v>
      </c>
      <c r="G19" s="782"/>
      <c r="H19" s="782"/>
      <c r="I19" s="782"/>
      <c r="J19" s="765"/>
      <c r="K19" s="795"/>
    </row>
    <row r="20" spans="1:11" x14ac:dyDescent="0.2">
      <c r="A20" s="2269" t="s">
        <v>1812</v>
      </c>
      <c r="B20" s="2270"/>
      <c r="C20" s="2270"/>
      <c r="D20" s="2270"/>
      <c r="E20" s="2271"/>
      <c r="F20" s="789" t="s">
        <v>934</v>
      </c>
      <c r="G20" s="782"/>
      <c r="H20" s="782"/>
      <c r="I20" s="782"/>
      <c r="J20" s="765"/>
      <c r="K20" s="795"/>
    </row>
    <row r="21" spans="1:11" ht="13.5" thickBot="1" x14ac:dyDescent="0.25">
      <c r="A21" s="2288" t="s">
        <v>638</v>
      </c>
      <c r="B21" s="2288"/>
      <c r="C21" s="2288"/>
      <c r="D21" s="2288"/>
      <c r="E21" s="2288"/>
      <c r="F21" s="1757"/>
      <c r="G21" s="792"/>
      <c r="H21" s="796"/>
      <c r="I21" s="796"/>
      <c r="J21" s="1758">
        <f>SUM(J18:J20)</f>
        <v>0</v>
      </c>
      <c r="K21" s="793"/>
    </row>
    <row r="22" spans="1:11" ht="13.5" thickTop="1" x14ac:dyDescent="0.2">
      <c r="A22" s="2259" t="s">
        <v>1813</v>
      </c>
      <c r="B22" s="2259"/>
      <c r="C22" s="2259"/>
      <c r="D22" s="2259"/>
      <c r="E22" s="2260"/>
      <c r="F22" s="789" t="s">
        <v>862</v>
      </c>
      <c r="G22" s="782"/>
      <c r="H22" s="764"/>
      <c r="I22" s="764"/>
      <c r="J22" s="797"/>
      <c r="K22" s="765"/>
    </row>
    <row r="23" spans="1:11" ht="13.5" thickBot="1" x14ac:dyDescent="0.25">
      <c r="A23" s="2289" t="s">
        <v>906</v>
      </c>
      <c r="B23" s="2288"/>
      <c r="C23" s="2288"/>
      <c r="D23" s="2288"/>
      <c r="E23" s="2288"/>
      <c r="F23" s="1759"/>
      <c r="G23" s="1756">
        <f>SUM(G14:G16,G21,G22)</f>
        <v>0</v>
      </c>
      <c r="H23" s="1756">
        <f>SUM(H14:H16,H21,H22)</f>
        <v>0</v>
      </c>
      <c r="I23" s="1756">
        <f>SUM(I14:I16,I21,I22)</f>
        <v>0</v>
      </c>
      <c r="J23" s="1756">
        <f>SUM(J14:J16,J21,J22)</f>
        <v>0</v>
      </c>
      <c r="K23" s="1756">
        <f>SUM(K14:K16,K21,K22)</f>
        <v>255898</v>
      </c>
    </row>
    <row r="24" spans="1:11" ht="14.25" thickTop="1" thickBot="1" x14ac:dyDescent="0.25">
      <c r="A24" s="2289" t="s">
        <v>1961</v>
      </c>
      <c r="B24" s="2288"/>
      <c r="C24" s="2288"/>
      <c r="D24" s="2288"/>
      <c r="E24" s="2288"/>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1907</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2"/>
      <c r="I31" s="2263"/>
      <c r="J31" s="2263"/>
      <c r="K31" s="2263"/>
    </row>
    <row r="32" spans="1:11" x14ac:dyDescent="0.2">
      <c r="A32" s="809"/>
      <c r="B32" s="237"/>
      <c r="C32" s="237"/>
      <c r="D32" s="237"/>
      <c r="E32" s="805"/>
      <c r="F32" s="811" t="s">
        <v>540</v>
      </c>
      <c r="G32" s="764"/>
      <c r="H32" s="2264"/>
      <c r="I32" s="2263"/>
      <c r="J32" s="2263"/>
      <c r="K32" s="2263"/>
    </row>
    <row r="33" spans="1:11" ht="1.5" customHeight="1" x14ac:dyDescent="0.2">
      <c r="A33" s="812" t="s">
        <v>1169</v>
      </c>
      <c r="B33" s="364"/>
      <c r="C33" s="364"/>
      <c r="D33" s="364"/>
      <c r="E33" s="364"/>
      <c r="F33" s="364"/>
      <c r="G33" s="813"/>
      <c r="H33" s="2264"/>
      <c r="I33" s="2263"/>
      <c r="J33" s="2263"/>
      <c r="K33" s="2263"/>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59" t="s">
        <v>541</v>
      </c>
      <c r="B41" s="2272"/>
      <c r="C41" s="2272"/>
      <c r="D41" s="2272"/>
      <c r="E41" s="2272"/>
      <c r="F41" s="227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1808</v>
      </c>
      <c r="B46" s="408" t="s">
        <v>1675</v>
      </c>
    </row>
    <row r="47" spans="1:11" s="823" customFormat="1" ht="12.75" customHeight="1" x14ac:dyDescent="0.2">
      <c r="A47" s="821"/>
      <c r="B47" s="822" t="s">
        <v>1676</v>
      </c>
      <c r="E47" s="822"/>
      <c r="K47" s="824"/>
    </row>
    <row r="48" spans="1:11" ht="12.75" customHeight="1" x14ac:dyDescent="0.2">
      <c r="A48" s="1530"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6" sqref="E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4" t="s">
        <v>1906</v>
      </c>
      <c r="B1" s="2295"/>
      <c r="C1" s="2296"/>
      <c r="D1" s="826"/>
      <c r="E1" s="827"/>
      <c r="F1" s="827"/>
      <c r="G1" s="828"/>
      <c r="H1" s="829"/>
      <c r="I1" s="830"/>
      <c r="J1" s="2292"/>
      <c r="K1" s="2293"/>
      <c r="L1" s="2293"/>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7" t="s">
        <v>892</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1456291</v>
      </c>
      <c r="D5" s="841"/>
      <c r="E5" s="841"/>
      <c r="F5" s="1758">
        <f>(C5+D5)-E5</f>
        <v>1456291</v>
      </c>
      <c r="G5" s="837"/>
      <c r="H5" s="842"/>
      <c r="I5" s="842"/>
      <c r="J5" s="842"/>
      <c r="K5" s="793"/>
      <c r="L5" s="1767">
        <f>F5-K5</f>
        <v>1456291</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320773495</v>
      </c>
      <c r="D8" s="844">
        <v>6394681</v>
      </c>
      <c r="E8" s="844">
        <v>209996</v>
      </c>
      <c r="F8" s="1758">
        <f>(C8+D8)-E8</f>
        <v>326958180</v>
      </c>
      <c r="G8" s="843">
        <v>50</v>
      </c>
      <c r="H8" s="765">
        <v>135138498</v>
      </c>
      <c r="I8" s="765">
        <v>9701509</v>
      </c>
      <c r="J8" s="765">
        <v>56222</v>
      </c>
      <c r="K8" s="1767">
        <f>(H8+I8)-J8</f>
        <v>144783785</v>
      </c>
      <c r="L8" s="1767">
        <f>F8-K8</f>
        <v>182174395</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38759012</v>
      </c>
      <c r="D10" s="846">
        <v>10275251</v>
      </c>
      <c r="E10" s="846">
        <v>4566116</v>
      </c>
      <c r="F10" s="1762">
        <f>(C10+D10)-E10</f>
        <v>44468147</v>
      </c>
      <c r="G10" s="843">
        <v>20</v>
      </c>
      <c r="H10" s="847">
        <v>27925476</v>
      </c>
      <c r="I10" s="847">
        <v>3156630</v>
      </c>
      <c r="J10" s="847">
        <v>4287375</v>
      </c>
      <c r="K10" s="1767">
        <f>(H10+I10)-J10</f>
        <v>26794731</v>
      </c>
      <c r="L10" s="1767">
        <f>F10-K10</f>
        <v>17673416</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c r="D12" s="844"/>
      <c r="E12" s="844"/>
      <c r="F12" s="1758">
        <f>(C12+D12)-E12</f>
        <v>0</v>
      </c>
      <c r="G12" s="843">
        <v>10</v>
      </c>
      <c r="H12" s="765"/>
      <c r="I12" s="765"/>
      <c r="J12" s="765"/>
      <c r="K12" s="1767">
        <f>(H12+I12)-J12</f>
        <v>0</v>
      </c>
      <c r="L12" s="1767">
        <f>F12-K12</f>
        <v>0</v>
      </c>
    </row>
    <row r="13" spans="1:14" ht="14.25" thickTop="1" thickBot="1" x14ac:dyDescent="0.25">
      <c r="A13" s="848" t="s">
        <v>1122</v>
      </c>
      <c r="B13" s="840">
        <v>252</v>
      </c>
      <c r="C13" s="844">
        <v>28678540</v>
      </c>
      <c r="D13" s="844">
        <v>1963059</v>
      </c>
      <c r="E13" s="844">
        <v>225056</v>
      </c>
      <c r="F13" s="1758">
        <f>(C13+D13)-E13</f>
        <v>30416543</v>
      </c>
      <c r="G13" s="843">
        <v>5</v>
      </c>
      <c r="H13" s="765">
        <v>19508429</v>
      </c>
      <c r="I13" s="765">
        <v>1571063</v>
      </c>
      <c r="J13" s="765">
        <v>202049</v>
      </c>
      <c r="K13" s="1767">
        <f>(H13+I13)-J13</f>
        <v>20877443</v>
      </c>
      <c r="L13" s="1767">
        <f>F13-K13</f>
        <v>9539100</v>
      </c>
    </row>
    <row r="14" spans="1:14" ht="14.25" thickTop="1" thickBot="1" x14ac:dyDescent="0.25">
      <c r="A14" s="848" t="s">
        <v>1123</v>
      </c>
      <c r="B14" s="840">
        <v>253</v>
      </c>
      <c r="C14" s="765">
        <v>12461000</v>
      </c>
      <c r="D14" s="765">
        <v>2176046</v>
      </c>
      <c r="E14" s="765">
        <v>1520051</v>
      </c>
      <c r="F14" s="1758">
        <f>(C14+D14)-E14</f>
        <v>13116995</v>
      </c>
      <c r="G14" s="843">
        <v>3</v>
      </c>
      <c r="H14" s="765">
        <v>10640542</v>
      </c>
      <c r="I14" s="765">
        <v>1178899</v>
      </c>
      <c r="J14" s="765">
        <v>1487267</v>
      </c>
      <c r="K14" s="1767">
        <f>(H14+I14)-J14</f>
        <v>10332174</v>
      </c>
      <c r="L14" s="1767">
        <f>F14-K14</f>
        <v>2784821</v>
      </c>
    </row>
    <row r="15" spans="1:14" ht="15" customHeight="1" thickTop="1" thickBot="1" x14ac:dyDescent="0.25">
      <c r="A15" s="1629" t="s">
        <v>528</v>
      </c>
      <c r="B15" s="1628">
        <v>260</v>
      </c>
      <c r="C15" s="844">
        <v>9763634</v>
      </c>
      <c r="D15" s="844">
        <v>15727597</v>
      </c>
      <c r="E15" s="844">
        <v>17381143</v>
      </c>
      <c r="F15" s="1758">
        <f>(C15+D15)-E15</f>
        <v>8110088</v>
      </c>
      <c r="G15" s="849" t="s">
        <v>862</v>
      </c>
      <c r="H15" s="781"/>
      <c r="I15" s="781"/>
      <c r="J15" s="781"/>
      <c r="K15" s="781"/>
      <c r="L15" s="1767">
        <f>F15-K15</f>
        <v>8110088</v>
      </c>
    </row>
    <row r="16" spans="1:14" ht="15" customHeight="1" thickTop="1" thickBot="1" x14ac:dyDescent="0.25">
      <c r="A16" s="1763" t="s">
        <v>643</v>
      </c>
      <c r="B16" s="1764">
        <v>200</v>
      </c>
      <c r="C16" s="1758">
        <f>SUM(C3,C5:C6,C8:C10,C12:C15)</f>
        <v>411891972</v>
      </c>
      <c r="D16" s="1758">
        <f>SUM(D3,D5:D6,D8:D10,D12:D15)</f>
        <v>36536634</v>
      </c>
      <c r="E16" s="1758">
        <f>SUM(E3,E5:E6,E8:E10,E12:E15)</f>
        <v>23902362</v>
      </c>
      <c r="F16" s="1758">
        <f>SUM(F3,F5:F6,F8:F10,F12:F15)</f>
        <v>424526244</v>
      </c>
      <c r="G16" s="843"/>
      <c r="H16" s="1758">
        <f>SUM(H3,H6,H8:H10,H12:H14,)</f>
        <v>193212945</v>
      </c>
      <c r="I16" s="1758">
        <f>SUM(I3,I6,I8:I10,I12:I14,)</f>
        <v>15608101</v>
      </c>
      <c r="J16" s="1758">
        <f>SUM(J3,J6,J8:J10,J12:J14,)</f>
        <v>6032913</v>
      </c>
      <c r="K16" s="1758">
        <f>(H16+I16)-J16</f>
        <v>202788133</v>
      </c>
      <c r="L16" s="1758">
        <f>F16-K16</f>
        <v>221738111</v>
      </c>
    </row>
    <row r="17" spans="1:12" ht="15" customHeight="1" thickTop="1" thickBot="1" x14ac:dyDescent="0.25">
      <c r="A17" s="1631" t="s">
        <v>291</v>
      </c>
      <c r="B17" s="1628">
        <v>700</v>
      </c>
      <c r="C17" s="769"/>
      <c r="D17" s="769"/>
      <c r="E17" s="769"/>
      <c r="F17" s="1758">
        <f>SUM('Expenditures 15-22'!I114,'Expenditures 15-22'!I151,'Expenditures 15-22'!I210,'Expenditures 15-22'!I312,'Expenditures 15-22'!I342,'Expenditures 15-22'!I367)</f>
        <v>4199583</v>
      </c>
      <c r="G17" s="837">
        <v>10</v>
      </c>
      <c r="H17" s="769"/>
      <c r="I17" s="1767">
        <f>F17/G17</f>
        <v>419958.3</v>
      </c>
      <c r="J17" s="769"/>
      <c r="K17" s="795"/>
      <c r="L17" s="795"/>
    </row>
    <row r="18" spans="1:12" ht="14.25" thickTop="1" thickBot="1" x14ac:dyDescent="0.25">
      <c r="A18" s="1765" t="s">
        <v>685</v>
      </c>
      <c r="B18" s="1766"/>
      <c r="C18" s="771"/>
      <c r="D18" s="771"/>
      <c r="E18" s="771"/>
      <c r="F18" s="850"/>
      <c r="G18" s="851"/>
      <c r="H18" s="773"/>
      <c r="I18" s="1758">
        <f>SUM(I16,I17)</f>
        <v>16028059.300000001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40" zoomScaleNormal="140" workbookViewId="0">
      <pane ySplit="5" topLeftCell="A3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00" t="s">
        <v>1971</v>
      </c>
      <c r="B1" s="2301"/>
      <c r="C1" s="2301"/>
      <c r="D1" s="2301"/>
      <c r="E1" s="2301"/>
      <c r="F1" s="2302"/>
      <c r="G1" s="855"/>
    </row>
    <row r="2" spans="1:7" ht="15" customHeight="1" thickBot="1" x14ac:dyDescent="0.25">
      <c r="A2" s="2303" t="s">
        <v>477</v>
      </c>
      <c r="B2" s="2304"/>
      <c r="C2" s="2304"/>
      <c r="D2" s="2304"/>
      <c r="E2" s="2304"/>
      <c r="F2" s="230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06"/>
      <c r="B5" s="2307"/>
      <c r="C5" s="2307"/>
      <c r="D5" s="2307"/>
      <c r="E5" s="2307"/>
      <c r="F5" s="2307"/>
    </row>
    <row r="6" spans="1:7" ht="13.5" customHeight="1" thickBot="1" x14ac:dyDescent="0.25">
      <c r="A6" s="2297" t="s">
        <v>1104</v>
      </c>
      <c r="B6" s="2298"/>
      <c r="C6" s="2298"/>
      <c r="D6" s="2298"/>
      <c r="E6" s="2298"/>
      <c r="F6" s="229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196185479</v>
      </c>
      <c r="G8" s="865"/>
    </row>
    <row r="9" spans="1:7" x14ac:dyDescent="0.2">
      <c r="A9" s="869" t="s">
        <v>460</v>
      </c>
      <c r="B9" s="870" t="s">
        <v>1874</v>
      </c>
      <c r="C9" s="871"/>
      <c r="D9" s="869" t="s">
        <v>501</v>
      </c>
      <c r="E9" s="868"/>
      <c r="F9" s="1907">
        <f>'Expenditures 15-22'!K151</f>
        <v>26554746</v>
      </c>
      <c r="G9" s="872"/>
    </row>
    <row r="10" spans="1:7" x14ac:dyDescent="0.2">
      <c r="A10" s="869" t="s">
        <v>499</v>
      </c>
      <c r="B10" s="870" t="s">
        <v>1875</v>
      </c>
      <c r="C10" s="871"/>
      <c r="D10" s="869" t="s">
        <v>501</v>
      </c>
      <c r="E10" s="868"/>
      <c r="F10" s="1907">
        <f>'Expenditures 15-22'!K174</f>
        <v>437103</v>
      </c>
      <c r="G10" s="872"/>
    </row>
    <row r="11" spans="1:7" x14ac:dyDescent="0.2">
      <c r="A11" s="869" t="s">
        <v>461</v>
      </c>
      <c r="B11" s="870" t="s">
        <v>1876</v>
      </c>
      <c r="C11" s="871"/>
      <c r="D11" s="869" t="s">
        <v>501</v>
      </c>
      <c r="E11" s="868"/>
      <c r="F11" s="1907">
        <f>'Expenditures 15-22'!K210</f>
        <v>12972822</v>
      </c>
      <c r="G11" s="872"/>
    </row>
    <row r="12" spans="1:7" x14ac:dyDescent="0.2">
      <c r="A12" s="869" t="s">
        <v>462</v>
      </c>
      <c r="B12" s="870" t="s">
        <v>1877</v>
      </c>
      <c r="C12" s="871"/>
      <c r="D12" s="869" t="s">
        <v>501</v>
      </c>
      <c r="E12" s="868"/>
      <c r="F12" s="1907">
        <f>'Expenditures 15-22'!K295</f>
        <v>10798310</v>
      </c>
      <c r="G12" s="872"/>
    </row>
    <row r="13" spans="1:7" x14ac:dyDescent="0.2">
      <c r="A13" s="869" t="s">
        <v>106</v>
      </c>
      <c r="B13" s="870" t="s">
        <v>1878</v>
      </c>
      <c r="C13" s="871"/>
      <c r="D13" s="869" t="s">
        <v>501</v>
      </c>
      <c r="E13" s="868"/>
      <c r="F13" s="1907">
        <f>'Expenditures 15-22'!K342</f>
        <v>0</v>
      </c>
      <c r="G13" s="873"/>
    </row>
    <row r="14" spans="1:7" ht="12" customHeight="1" thickBot="1" x14ac:dyDescent="0.25">
      <c r="A14" s="1768"/>
      <c r="B14" s="1769"/>
      <c r="C14" s="1770"/>
      <c r="D14" s="1771" t="s">
        <v>501</v>
      </c>
      <c r="E14" s="1772" t="s">
        <v>958</v>
      </c>
      <c r="F14" s="1773">
        <f>SUM(F8:F13)</f>
        <v>246948460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65780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2">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1998</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665189</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2381267</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11706</v>
      </c>
      <c r="G52" s="865"/>
    </row>
    <row r="53" spans="1:7" x14ac:dyDescent="0.2">
      <c r="A53" s="869" t="s">
        <v>459</v>
      </c>
      <c r="B53" s="869" t="s">
        <v>1475</v>
      </c>
      <c r="C53" s="889">
        <f>'Expenditures 15-22'!B102</f>
        <v>4000</v>
      </c>
      <c r="D53" s="888" t="str">
        <f>'Expenditures 15-22'!A102</f>
        <v>Total Payments to Other Govt Units</v>
      </c>
      <c r="E53" s="868"/>
      <c r="F53" s="1911">
        <f>'Expenditures 15-22'!K102</f>
        <v>8265521</v>
      </c>
      <c r="G53" s="865"/>
    </row>
    <row r="54" spans="1:7" x14ac:dyDescent="0.2">
      <c r="A54" s="869" t="s">
        <v>459</v>
      </c>
      <c r="B54" s="869" t="s">
        <v>1476</v>
      </c>
      <c r="C54" s="889" t="s">
        <v>982</v>
      </c>
      <c r="D54" s="885" t="s">
        <v>1095</v>
      </c>
      <c r="E54" s="868"/>
      <c r="F54" s="1911">
        <f>'Expenditures 15-22'!G114</f>
        <v>1056819</v>
      </c>
      <c r="G54" s="865"/>
    </row>
    <row r="55" spans="1:7" x14ac:dyDescent="0.2">
      <c r="A55" s="869" t="s">
        <v>459</v>
      </c>
      <c r="B55" s="869" t="s">
        <v>1477</v>
      </c>
      <c r="C55" s="889" t="s">
        <v>982</v>
      </c>
      <c r="D55" s="885" t="s">
        <v>291</v>
      </c>
      <c r="E55" s="868"/>
      <c r="F55" s="1911">
        <f>'Expenditures 15-22'!I114</f>
        <v>3442117</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1">
        <f>'Expenditures 15-22'!K139</f>
        <v>0</v>
      </c>
      <c r="G57" s="865"/>
    </row>
    <row r="58" spans="1:7" x14ac:dyDescent="0.2">
      <c r="A58" s="869" t="s">
        <v>460</v>
      </c>
      <c r="B58" s="869" t="s">
        <v>1880</v>
      </c>
      <c r="C58" s="886" t="s">
        <v>982</v>
      </c>
      <c r="D58" s="885" t="s">
        <v>1095</v>
      </c>
      <c r="E58" s="868"/>
      <c r="F58" s="1913">
        <f>'Expenditures 15-22'!G151</f>
        <v>3214102</v>
      </c>
      <c r="G58" s="865"/>
    </row>
    <row r="59" spans="1:7" x14ac:dyDescent="0.2">
      <c r="A59" s="893" t="s">
        <v>460</v>
      </c>
      <c r="B59" s="856" t="s">
        <v>1881</v>
      </c>
      <c r="C59" s="894" t="s">
        <v>982</v>
      </c>
      <c r="D59" s="856" t="s">
        <v>291</v>
      </c>
      <c r="F59" s="1914">
        <f>'Expenditures 15-22'!I151</f>
        <v>692959</v>
      </c>
      <c r="G59" s="865"/>
    </row>
    <row r="60" spans="1:7" x14ac:dyDescent="0.2">
      <c r="A60" s="893" t="s">
        <v>499</v>
      </c>
      <c r="B60" s="856" t="s">
        <v>1882</v>
      </c>
      <c r="C60" s="894">
        <v>4000</v>
      </c>
      <c r="D60" s="856" t="s">
        <v>312</v>
      </c>
      <c r="F60" s="1912">
        <f>'Expenditures 15-22'!K160</f>
        <v>0</v>
      </c>
      <c r="G60" s="865"/>
    </row>
    <row r="61" spans="1:7" x14ac:dyDescent="0.2">
      <c r="A61" s="895" t="s">
        <v>499</v>
      </c>
      <c r="B61" s="895" t="s">
        <v>1883</v>
      </c>
      <c r="C61" s="896" t="str">
        <f>'Expenditures 15-22'!B170</f>
        <v>5300</v>
      </c>
      <c r="D61" s="897" t="s">
        <v>311</v>
      </c>
      <c r="E61" s="879"/>
      <c r="F61" s="1911">
        <f>'Expenditures 15-22'!K170</f>
        <v>433118</v>
      </c>
      <c r="G61" s="865"/>
    </row>
    <row r="62" spans="1:7" x14ac:dyDescent="0.2">
      <c r="A62" s="869" t="s">
        <v>461</v>
      </c>
      <c r="B62" s="869" t="s">
        <v>1884</v>
      </c>
      <c r="C62" s="886">
        <f>'Expenditures 15-22'!B185</f>
        <v>3000</v>
      </c>
      <c r="D62" s="876" t="s">
        <v>449</v>
      </c>
      <c r="E62" s="868"/>
      <c r="F62" s="1911">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1886</v>
      </c>
      <c r="C64" s="896" t="str">
        <f>'Expenditures 15-22'!B206</f>
        <v>5300</v>
      </c>
      <c r="D64" s="892" t="s">
        <v>311</v>
      </c>
      <c r="E64" s="868"/>
      <c r="F64" s="1911">
        <f>'Expenditures 15-22'!K206</f>
        <v>0</v>
      </c>
      <c r="G64" s="865"/>
    </row>
    <row r="65" spans="1:8" x14ac:dyDescent="0.2">
      <c r="A65" s="869" t="s">
        <v>461</v>
      </c>
      <c r="B65" s="869" t="s">
        <v>1887</v>
      </c>
      <c r="C65" s="886" t="s">
        <v>982</v>
      </c>
      <c r="D65" s="885" t="s">
        <v>1095</v>
      </c>
      <c r="E65" s="868"/>
      <c r="F65" s="1911">
        <f>'Expenditures 15-22'!G210</f>
        <v>2176046</v>
      </c>
      <c r="G65" s="865"/>
    </row>
    <row r="66" spans="1:8" x14ac:dyDescent="0.2">
      <c r="A66" s="869" t="s">
        <v>461</v>
      </c>
      <c r="B66" s="869" t="s">
        <v>1888</v>
      </c>
      <c r="C66" s="886" t="s">
        <v>982</v>
      </c>
      <c r="D66" s="885" t="s">
        <v>291</v>
      </c>
      <c r="E66" s="868"/>
      <c r="F66" s="1911">
        <f>'Expenditures 15-22'!I210</f>
        <v>64507</v>
      </c>
      <c r="G66" s="865"/>
    </row>
    <row r="67" spans="1:8" x14ac:dyDescent="0.2">
      <c r="A67" s="869" t="s">
        <v>462</v>
      </c>
      <c r="B67" s="869" t="s">
        <v>1889</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1891</v>
      </c>
      <c r="C70" s="886">
        <f>'Expenditures 15-22'!B221</f>
        <v>1300</v>
      </c>
      <c r="D70" s="887" t="str">
        <f>'Expenditures 15-22'!A221</f>
        <v>Adult/Continuing Education Programs</v>
      </c>
      <c r="E70" s="868"/>
      <c r="F70" s="1911">
        <f>'Expenditures 15-22'!K221</f>
        <v>42409</v>
      </c>
      <c r="G70" s="865"/>
    </row>
    <row r="71" spans="1:8" x14ac:dyDescent="0.2">
      <c r="A71" s="869" t="s">
        <v>462</v>
      </c>
      <c r="B71" s="869" t="s">
        <v>1892</v>
      </c>
      <c r="C71" s="886">
        <f>'Expenditures 15-22'!B224</f>
        <v>1600</v>
      </c>
      <c r="D71" s="887" t="str">
        <f>'Expenditures 15-22'!A224</f>
        <v>Summer School Programs</v>
      </c>
      <c r="E71" s="868"/>
      <c r="F71" s="1911">
        <f>'Expenditures 15-22'!K224</f>
        <v>118817</v>
      </c>
      <c r="G71" s="865"/>
    </row>
    <row r="72" spans="1:8" x14ac:dyDescent="0.2">
      <c r="A72" s="869" t="s">
        <v>462</v>
      </c>
      <c r="B72" s="869" t="s">
        <v>1893</v>
      </c>
      <c r="C72" s="886">
        <f>'Expenditures 15-22'!B280</f>
        <v>3000</v>
      </c>
      <c r="D72" s="876" t="s">
        <v>449</v>
      </c>
      <c r="E72" s="868"/>
      <c r="F72" s="1911">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1895</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1896</v>
      </c>
      <c r="E76" s="1772" t="s">
        <v>958</v>
      </c>
      <c r="F76" s="1776">
        <f>SUM(F18:F74)</f>
        <v>22630357</v>
      </c>
      <c r="G76" s="865"/>
    </row>
    <row r="77" spans="1:8" s="893" customFormat="1" ht="12" customHeight="1" thickTop="1" thickBot="1" x14ac:dyDescent="0.25">
      <c r="A77" s="1777"/>
      <c r="B77" s="1774"/>
      <c r="C77" s="1770"/>
      <c r="D77" s="1775" t="s">
        <v>1897</v>
      </c>
      <c r="E77" s="1772"/>
      <c r="F77" s="1778">
        <f>(F14-F76)</f>
        <v>224318103</v>
      </c>
      <c r="G77" s="869"/>
    </row>
    <row r="78" spans="1:8" s="893" customFormat="1" ht="12" customHeight="1" thickTop="1" x14ac:dyDescent="0.2">
      <c r="A78" s="1779"/>
      <c r="B78" s="1774"/>
      <c r="C78" s="1770"/>
      <c r="D78" s="1775" t="s">
        <v>2058</v>
      </c>
      <c r="E78" s="1772"/>
      <c r="F78" s="898">
        <v>11410</v>
      </c>
      <c r="G78" s="899"/>
      <c r="H78" s="869"/>
    </row>
    <row r="79" spans="1:8" s="893" customFormat="1" ht="12" customHeight="1" thickBot="1" x14ac:dyDescent="0.25">
      <c r="A79" s="1780"/>
      <c r="B79" s="1774"/>
      <c r="C79" s="1770"/>
      <c r="D79" s="1775" t="s">
        <v>1898</v>
      </c>
      <c r="E79" s="1772" t="s">
        <v>958</v>
      </c>
      <c r="F79" s="1781">
        <f>IF(F78&gt;0,F77/F78," Complete Line 78")</f>
        <v>19659.78115687993</v>
      </c>
      <c r="G79" s="869"/>
    </row>
    <row r="80" spans="1:8" s="893" customFormat="1" ht="8.25" customHeight="1" thickTop="1" x14ac:dyDescent="0.2">
      <c r="A80" s="900"/>
      <c r="B80" s="869"/>
      <c r="C80" s="871"/>
      <c r="D80" s="901"/>
      <c r="E80" s="868"/>
      <c r="F80" s="902"/>
      <c r="G80" s="869"/>
    </row>
    <row r="81" spans="1:7" s="893" customFormat="1" ht="12" thickBot="1" x14ac:dyDescent="0.25">
      <c r="A81" s="2297" t="s">
        <v>1105</v>
      </c>
      <c r="B81" s="2298"/>
      <c r="C81" s="2298"/>
      <c r="D81" s="2298"/>
      <c r="E81" s="2298"/>
      <c r="F81" s="229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105724</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54520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3062694</v>
      </c>
      <c r="G94" s="912"/>
    </row>
    <row r="95" spans="1:7" x14ac:dyDescent="0.2">
      <c r="A95" s="908" t="s">
        <v>140</v>
      </c>
      <c r="B95" s="908" t="s">
        <v>175</v>
      </c>
      <c r="C95" s="910">
        <v>1700</v>
      </c>
      <c r="D95" s="918" t="str">
        <f>'Revenues 9-14'!A82</f>
        <v>Total District/School Activity Income</v>
      </c>
      <c r="E95" s="906"/>
      <c r="F95" s="1787">
        <f>SUM('Revenues 9-14'!C82,'Revenues 9-14'!D82)</f>
        <v>983175</v>
      </c>
      <c r="G95" s="912"/>
    </row>
    <row r="96" spans="1:7" x14ac:dyDescent="0.2">
      <c r="A96" s="908" t="s">
        <v>459</v>
      </c>
      <c r="B96" s="908" t="s">
        <v>176</v>
      </c>
      <c r="C96" s="910">
        <f>'Revenues 9-14'!B84</f>
        <v>1811</v>
      </c>
      <c r="D96" s="911" t="str">
        <f>'Revenues 9-14'!A84</f>
        <v>Rentals - Regular Textbooks</v>
      </c>
      <c r="E96" s="906"/>
      <c r="F96" s="1787">
        <f>'Revenues 9-14'!C84</f>
        <v>1351173</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5200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429121</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1999</v>
      </c>
      <c r="C105" s="913">
        <v>3100</v>
      </c>
      <c r="D105" s="919" t="str">
        <f>'Revenues 9-14'!A132</f>
        <v>Total Special Education</v>
      </c>
      <c r="E105" s="906"/>
      <c r="F105" s="1787">
        <f>SUM('Revenues 9-14'!C132:D132,'Revenues 9-14'!F132)</f>
        <v>1723214</v>
      </c>
      <c r="G105" s="912"/>
    </row>
    <row r="106" spans="1:7" x14ac:dyDescent="0.2">
      <c r="A106" s="908" t="s">
        <v>673</v>
      </c>
      <c r="B106" s="908" t="s">
        <v>2000</v>
      </c>
      <c r="C106" s="920">
        <v>3200</v>
      </c>
      <c r="D106" s="911" t="str">
        <f>'Revenues 9-14'!A141</f>
        <v>Total Career and Technical Education</v>
      </c>
      <c r="E106" s="906"/>
      <c r="F106" s="1787">
        <f>SUM('Revenues 9-14'!C141,'Revenues 9-14'!D141,'Revenues 9-14'!G141)</f>
        <v>330947</v>
      </c>
      <c r="G106" s="912"/>
    </row>
    <row r="107" spans="1:7" x14ac:dyDescent="0.2">
      <c r="A107" s="921" t="s">
        <v>664</v>
      </c>
      <c r="B107" s="908" t="s">
        <v>2001</v>
      </c>
      <c r="C107" s="920">
        <v>3300</v>
      </c>
      <c r="D107" s="911" t="str">
        <f>'Revenues 9-14'!A145</f>
        <v>Total Bilingual Ed</v>
      </c>
      <c r="E107" s="906"/>
      <c r="F107" s="1787">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7">
        <f>'Revenues 9-14'!C146</f>
        <v>35006</v>
      </c>
      <c r="G108" s="912"/>
    </row>
    <row r="109" spans="1:7" x14ac:dyDescent="0.2">
      <c r="A109" s="908" t="s">
        <v>673</v>
      </c>
      <c r="B109" s="908" t="s">
        <v>2003</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7">
        <f>SUM('Revenues 9-14'!C148,'Revenues 9-14'!D148)</f>
        <v>153998</v>
      </c>
      <c r="G110" s="912"/>
    </row>
    <row r="111" spans="1:7" x14ac:dyDescent="0.2">
      <c r="A111" s="908" t="s">
        <v>668</v>
      </c>
      <c r="B111" s="908" t="s">
        <v>2005</v>
      </c>
      <c r="C111" s="922">
        <v>3500</v>
      </c>
      <c r="D111" s="911" t="str">
        <f>'Revenues 9-14'!A155</f>
        <v>Total Transportation</v>
      </c>
      <c r="E111" s="906"/>
      <c r="F111" s="1787">
        <f>SUM('Revenues 9-14'!C155,'Revenues 9-14'!D155,'Revenues 9-14'!F155,'Revenues 9-14'!G155)</f>
        <v>5486941</v>
      </c>
      <c r="G111" s="912"/>
    </row>
    <row r="112" spans="1:7" x14ac:dyDescent="0.2">
      <c r="A112" s="908" t="s">
        <v>459</v>
      </c>
      <c r="B112" s="908" t="s">
        <v>2006</v>
      </c>
      <c r="C112" s="920">
        <f>'Revenues 9-14'!B156</f>
        <v>3610</v>
      </c>
      <c r="D112" s="911" t="str">
        <f>'Revenues 9-14'!A156</f>
        <v>Learning Improvement - Change Grants</v>
      </c>
      <c r="E112" s="906"/>
      <c r="F112" s="1787">
        <f>'Revenues 9-14'!C156</f>
        <v>0</v>
      </c>
      <c r="G112" s="912"/>
    </row>
    <row r="113" spans="1:7" x14ac:dyDescent="0.2">
      <c r="A113" s="908" t="s">
        <v>668</v>
      </c>
      <c r="B113" s="908" t="s">
        <v>2007</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5">
        <f>SUM('Revenues 9-14'!C163:G163)</f>
        <v>0</v>
      </c>
      <c r="G118" s="912"/>
    </row>
    <row r="119" spans="1:7" x14ac:dyDescent="0.2">
      <c r="A119" s="923" t="s">
        <v>504</v>
      </c>
      <c r="B119" s="923" t="s">
        <v>2013</v>
      </c>
      <c r="C119" s="924">
        <f>'Revenues 9-14'!B164</f>
        <v>3815</v>
      </c>
      <c r="D119" s="925" t="str">
        <f>'Revenues 9-14'!A164</f>
        <v>State Charter Schools</v>
      </c>
      <c r="E119" s="906"/>
      <c r="F119" s="1905">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7">
        <f>'Revenues 9-14'!D167</f>
        <v>0</v>
      </c>
      <c r="G120" s="930"/>
    </row>
    <row r="121" spans="1:7" x14ac:dyDescent="0.2">
      <c r="A121" s="927" t="s">
        <v>500</v>
      </c>
      <c r="B121" s="927" t="s">
        <v>2015</v>
      </c>
      <c r="C121" s="928">
        <f>'Revenues 9-14'!B168</f>
        <v>3999</v>
      </c>
      <c r="D121" s="929" t="s">
        <v>543</v>
      </c>
      <c r="E121" s="931"/>
      <c r="F121" s="1787">
        <f>SUM('Revenues 9-14'!C168:G168,'Revenues 9-14'!J168)</f>
        <v>77065</v>
      </c>
      <c r="G121" s="930"/>
    </row>
    <row r="122" spans="1:7" x14ac:dyDescent="0.2">
      <c r="A122" s="927" t="s">
        <v>459</v>
      </c>
      <c r="B122" s="927" t="s">
        <v>2016</v>
      </c>
      <c r="C122" s="932">
        <f>'Revenues 9-14'!B177</f>
        <v>4045</v>
      </c>
      <c r="D122" s="929" t="str">
        <f>'Revenues 9-14'!A177 &amp; " (Subtract)"</f>
        <v>Head Start (Subtract)</v>
      </c>
      <c r="E122" s="906"/>
      <c r="F122" s="1787">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2018</v>
      </c>
      <c r="C124" s="932">
        <v>4100</v>
      </c>
      <c r="D124" s="933" t="str">
        <f>'Revenues 9-14'!A188</f>
        <v>Total Title V</v>
      </c>
      <c r="E124" s="906"/>
      <c r="F124" s="1787">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7">
        <f>SUM('Revenues 9-14'!C198,'Revenues 9-14'!G198)</f>
        <v>2139960</v>
      </c>
      <c r="G125" s="930"/>
    </row>
    <row r="126" spans="1:7" x14ac:dyDescent="0.2">
      <c r="A126" s="927" t="s">
        <v>668</v>
      </c>
      <c r="B126" s="927" t="s">
        <v>2020</v>
      </c>
      <c r="C126" s="932">
        <v>4300</v>
      </c>
      <c r="D126" s="933" t="str">
        <f>'Revenues 9-14'!A204</f>
        <v>Total Title I</v>
      </c>
      <c r="E126" s="906"/>
      <c r="F126" s="1787">
        <f>SUM('Revenues 9-14'!C204,'Revenues 9-14'!D204,'Revenues 9-14'!F204,'Revenues 9-14'!G204)</f>
        <v>1171869</v>
      </c>
      <c r="G126" s="930"/>
    </row>
    <row r="127" spans="1:7" x14ac:dyDescent="0.2">
      <c r="A127" s="927" t="s">
        <v>668</v>
      </c>
      <c r="B127" s="927" t="s">
        <v>2021</v>
      </c>
      <c r="C127" s="932">
        <v>4400</v>
      </c>
      <c r="D127" s="933" t="str">
        <f>'Revenues 9-14'!A209</f>
        <v>Total Title IV</v>
      </c>
      <c r="E127" s="906"/>
      <c r="F127" s="1787">
        <f>SUM('Revenues 9-14'!C209,'Revenues 9-14'!D209,'Revenues 9-14'!F209,'Revenues 9-14'!G209)</f>
        <v>29999</v>
      </c>
      <c r="G127" s="930"/>
    </row>
    <row r="128" spans="1:7" x14ac:dyDescent="0.2">
      <c r="A128" s="927" t="s">
        <v>668</v>
      </c>
      <c r="B128" s="927" t="s">
        <v>2022</v>
      </c>
      <c r="C128" s="932">
        <f>'Revenues 9-14'!B213</f>
        <v>4620</v>
      </c>
      <c r="D128" s="933" t="str">
        <f>'Revenues 9-14'!A213</f>
        <v>Fed - Spec Education - IDEA - Flow Through</v>
      </c>
      <c r="E128" s="906"/>
      <c r="F128" s="1787">
        <f>SUM('Revenues 9-14'!C213:D213,'Revenues 9-14'!F213:G213)</f>
        <v>2002651</v>
      </c>
      <c r="G128" s="930"/>
    </row>
    <row r="129" spans="1:7" x14ac:dyDescent="0.2">
      <c r="A129" s="927" t="s">
        <v>668</v>
      </c>
      <c r="B129" s="927" t="s">
        <v>2023</v>
      </c>
      <c r="C129" s="932">
        <f>'Revenues 9-14'!B214</f>
        <v>4625</v>
      </c>
      <c r="D129" s="933" t="str">
        <f>'Revenues 9-14'!A214</f>
        <v>Fed - Spec Education - IDEA - Room &amp; Board</v>
      </c>
      <c r="E129" s="906"/>
      <c r="F129" s="1787">
        <f>SUM('Revenues 9-14'!C214,'Revenues 9-14'!D214,'Revenues 9-14'!F214,'Revenues 9-14'!G214)</f>
        <v>1078855</v>
      </c>
      <c r="G129" s="930"/>
    </row>
    <row r="130" spans="1:7" x14ac:dyDescent="0.2">
      <c r="A130" s="927" t="s">
        <v>668</v>
      </c>
      <c r="B130" s="927" t="s">
        <v>2024</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2025</v>
      </c>
      <c r="C132" s="932">
        <v>4700</v>
      </c>
      <c r="D132" s="929" t="str">
        <f>'Revenues 9-14'!A221</f>
        <v>Total CTE - Perkins</v>
      </c>
      <c r="E132" s="906"/>
      <c r="F132" s="1787">
        <f>SUM('Revenues 9-14'!C221,'Revenues 9-14'!D221,'Revenues 9-14'!G221)</f>
        <v>255979</v>
      </c>
      <c r="G132" s="930">
        <v>6303</v>
      </c>
    </row>
    <row r="133" spans="1:7" s="867" customFormat="1" hidden="1" x14ac:dyDescent="0.2">
      <c r="A133" s="934" t="s">
        <v>206</v>
      </c>
      <c r="B133" s="934" t="s">
        <v>2026</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7">
        <v>0</v>
      </c>
      <c r="G138" s="905"/>
    </row>
    <row r="139" spans="1:7" s="867" customFormat="1" hidden="1" x14ac:dyDescent="0.2">
      <c r="A139" s="934" t="s">
        <v>206</v>
      </c>
      <c r="B139" s="934" t="s">
        <v>2032</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2040</v>
      </c>
      <c r="C157" s="940" t="s">
        <v>841</v>
      </c>
      <c r="D157" s="941" t="s">
        <v>777</v>
      </c>
      <c r="E157" s="942"/>
      <c r="F157" s="1787">
        <f>SUM(F133:F156)</f>
        <v>0</v>
      </c>
      <c r="G157" s="905"/>
    </row>
    <row r="158" spans="1:7" s="867" customFormat="1" x14ac:dyDescent="0.2">
      <c r="A158" s="938" t="s">
        <v>459</v>
      </c>
      <c r="B158" s="939" t="s">
        <v>2041</v>
      </c>
      <c r="C158" s="940" t="s">
        <v>1427</v>
      </c>
      <c r="D158" s="941" t="s">
        <v>1428</v>
      </c>
      <c r="E158" s="942"/>
      <c r="F158" s="1787">
        <f>SUM('Revenues 9-14'!C253)</f>
        <v>0</v>
      </c>
      <c r="G158" s="905"/>
    </row>
    <row r="159" spans="1:7" s="867" customFormat="1" x14ac:dyDescent="0.2">
      <c r="A159" s="938" t="s">
        <v>500</v>
      </c>
      <c r="B159" s="939" t="s">
        <v>2042</v>
      </c>
      <c r="C159" s="940" t="s">
        <v>1466</v>
      </c>
      <c r="D159" s="941" t="s">
        <v>1467</v>
      </c>
      <c r="E159" s="942"/>
      <c r="F159" s="1787">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7">
        <f>SUM('Revenues 9-14'!C255,'Revenues 9-14'!F255,'Revenues 9-14'!G255)</f>
        <v>51900</v>
      </c>
      <c r="G160" s="943">
        <v>6306</v>
      </c>
    </row>
    <row r="161" spans="1:7" x14ac:dyDescent="0.2">
      <c r="A161" s="927" t="s">
        <v>5</v>
      </c>
      <c r="B161" s="927" t="s">
        <v>2044</v>
      </c>
      <c r="C161" s="932">
        <f>'Revenues 9-14'!B256</f>
        <v>4909</v>
      </c>
      <c r="D161" s="929" t="str">
        <f>'Revenues 9-14'!A256</f>
        <v>Title III - Language Inst Program - Limited Eng (LIPLEP)</v>
      </c>
      <c r="E161" s="906"/>
      <c r="F161" s="1787">
        <f>SUM('Revenues 9-14'!C256,'Revenues 9-14'!F256,'Revenues 9-14'!G256)</f>
        <v>47123</v>
      </c>
      <c r="G161" s="943"/>
    </row>
    <row r="162" spans="1:7" x14ac:dyDescent="0.2">
      <c r="A162" s="927" t="s">
        <v>668</v>
      </c>
      <c r="B162" s="927" t="s">
        <v>2045</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5">
        <f>SUM('Revenues 9-14'!C259,'Revenues 9-14'!D259,'Revenues 9-14'!F259,'Revenues 9-14'!G259)</f>
        <v>353499</v>
      </c>
      <c r="G164" s="930"/>
    </row>
    <row r="165" spans="1:7" x14ac:dyDescent="0.2">
      <c r="A165" s="927" t="s">
        <v>668</v>
      </c>
      <c r="B165" s="927" t="s">
        <v>2048</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7">
        <f>SUM('Revenues 9-14'!C263:D263,'Revenues 9-14'!F263:G263)</f>
        <v>232986</v>
      </c>
      <c r="G168" s="947">
        <v>6320</v>
      </c>
    </row>
    <row r="169" spans="1:7" x14ac:dyDescent="0.2">
      <c r="A169" s="927" t="s">
        <v>668</v>
      </c>
      <c r="B169" s="927" t="s">
        <v>2050</v>
      </c>
      <c r="C169" s="932">
        <f>'Revenues 9-14'!B264</f>
        <v>4992</v>
      </c>
      <c r="D169" s="933" t="str">
        <f>'Revenues 9-14'!A264</f>
        <v>Medicaid Matching Funds - Fee-for-Service Program</v>
      </c>
      <c r="E169" s="906"/>
      <c r="F169" s="1787">
        <f>SUM('Revenues 9-14'!C264:D264,'Revenues 9-14'!F264:G264)</f>
        <v>275060</v>
      </c>
      <c r="G169" s="947"/>
    </row>
    <row r="170" spans="1:7" x14ac:dyDescent="0.2">
      <c r="A170" s="948" t="s">
        <v>668</v>
      </c>
      <c r="B170" s="944" t="s">
        <v>2051</v>
      </c>
      <c r="C170" s="945">
        <f>'Revenues 9-14'!B265</f>
        <v>4999</v>
      </c>
      <c r="D170" s="946" t="str">
        <f>'Revenues 9-14'!A265</f>
        <v>Other Restricted Revenue from Federal Sources (Describe &amp; Itemize)</v>
      </c>
      <c r="E170" s="906"/>
      <c r="F170" s="1787">
        <f>SUM('Revenues 9-14'!C265:D265,'Revenues 9-14'!F265:G265)</f>
        <v>457963</v>
      </c>
      <c r="G170" s="927"/>
    </row>
    <row r="171" spans="1:7" x14ac:dyDescent="0.2">
      <c r="A171" s="1916" t="s">
        <v>5</v>
      </c>
      <c r="B171" s="1917" t="s">
        <v>1917</v>
      </c>
      <c r="C171" s="1918">
        <v>3100</v>
      </c>
      <c r="D171" s="1919" t="s">
        <v>1919</v>
      </c>
      <c r="E171" s="906"/>
      <c r="F171" s="1904">
        <v>3975419.4</v>
      </c>
      <c r="G171" s="927"/>
    </row>
    <row r="172" spans="1:7" x14ac:dyDescent="0.2">
      <c r="A172" s="1916" t="s">
        <v>664</v>
      </c>
      <c r="B172" s="1917" t="s">
        <v>1917</v>
      </c>
      <c r="C172" s="1918">
        <v>3300</v>
      </c>
      <c r="D172" s="1919" t="s">
        <v>1920</v>
      </c>
      <c r="E172" s="906"/>
      <c r="F172" s="1904">
        <v>188238.29</v>
      </c>
      <c r="G172" s="927"/>
    </row>
    <row r="173" spans="1:7" ht="6" customHeight="1" x14ac:dyDescent="0.2">
      <c r="A173" s="927"/>
      <c r="B173" s="927"/>
      <c r="C173" s="949"/>
      <c r="D173" s="927"/>
      <c r="E173" s="906"/>
      <c r="F173" s="950"/>
      <c r="G173" s="947"/>
    </row>
    <row r="174" spans="1:7" x14ac:dyDescent="0.2">
      <c r="A174" s="1768"/>
      <c r="B174" s="1782"/>
      <c r="C174" s="1783"/>
      <c r="D174" s="1784" t="s">
        <v>2052</v>
      </c>
      <c r="E174" s="1785" t="s">
        <v>958</v>
      </c>
      <c r="F174" s="1786">
        <f>SUM(F84:F132,F157:F172)</f>
        <v>26060279.689999998</v>
      </c>
    </row>
    <row r="175" spans="1:7" ht="12" customHeight="1" x14ac:dyDescent="0.2">
      <c r="A175" s="1768"/>
      <c r="B175" s="1782"/>
      <c r="C175" s="1783"/>
      <c r="D175" s="1784" t="s">
        <v>2053</v>
      </c>
      <c r="E175" s="1785"/>
      <c r="F175" s="1787">
        <f>'PCTC-OEPP 27-28'!F77-F174</f>
        <v>198257823.31</v>
      </c>
    </row>
    <row r="176" spans="1:7" ht="12" customHeight="1" x14ac:dyDescent="0.2">
      <c r="A176" s="1768"/>
      <c r="B176" s="1782"/>
      <c r="C176" s="1783"/>
      <c r="D176" s="1784" t="s">
        <v>1815</v>
      </c>
      <c r="E176" s="1785"/>
      <c r="F176" s="1787">
        <f>'Cap Outlay Deprec 26'!I18</f>
        <v>16028059.300000001</v>
      </c>
    </row>
    <row r="177" spans="1:7" ht="12" customHeight="1" x14ac:dyDescent="0.2">
      <c r="A177" s="1768"/>
      <c r="B177" s="1782"/>
      <c r="C177" s="1783"/>
      <c r="D177" s="1784" t="s">
        <v>2054</v>
      </c>
      <c r="E177" s="1785"/>
      <c r="F177" s="1787">
        <f>F175+F176</f>
        <v>214285882.61000001</v>
      </c>
    </row>
    <row r="178" spans="1:7" ht="12" customHeight="1" x14ac:dyDescent="0.2">
      <c r="A178" s="1768"/>
      <c r="B178" s="1788"/>
      <c r="C178" s="1783"/>
      <c r="D178" s="1784" t="str">
        <f>D78</f>
        <v>9 Month ADA from District Average Daily Attendance/Prior General State Aid Inquiry 2018-2019</v>
      </c>
      <c r="E178" s="1785"/>
      <c r="F178" s="1789">
        <f>'PCTC-OEPP 27-28'!F78</f>
        <v>11410</v>
      </c>
      <c r="G178" s="930"/>
    </row>
    <row r="179" spans="1:7" ht="12" customHeight="1" thickBot="1" x14ac:dyDescent="0.25">
      <c r="A179" s="1768"/>
      <c r="B179" s="1788"/>
      <c r="C179" s="1783"/>
      <c r="D179" s="1784" t="s">
        <v>2055</v>
      </c>
      <c r="E179" s="1785" t="s">
        <v>1545</v>
      </c>
      <c r="F179" s="1790">
        <f>F177/F178</f>
        <v>18780.533094653812</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0" customFormat="1" ht="12.2" customHeight="1" x14ac:dyDescent="0.2">
      <c r="A182" s="1920" t="s">
        <v>1990</v>
      </c>
      <c r="B182" s="1921"/>
      <c r="C182" s="1922"/>
      <c r="D182" s="1921"/>
      <c r="E182" s="1922"/>
      <c r="F182" s="1921"/>
      <c r="G182" s="1921"/>
    </row>
    <row r="183" spans="1:7" s="1920" customFormat="1" ht="12.2" customHeight="1" x14ac:dyDescent="0.2">
      <c r="A183" s="1923" t="s">
        <v>1992</v>
      </c>
      <c r="C183" s="1922"/>
      <c r="D183" s="1921"/>
      <c r="E183" s="1922"/>
      <c r="F183" s="1921"/>
      <c r="G183" s="1921"/>
    </row>
    <row r="184" spans="1:7" ht="12" customHeight="1" x14ac:dyDescent="0.2">
      <c r="C184" s="949"/>
      <c r="D184" s="930"/>
      <c r="E184" s="949"/>
      <c r="F184" s="930"/>
      <c r="G184" s="930"/>
    </row>
    <row r="185" spans="1:7" x14ac:dyDescent="0.2">
      <c r="A185" s="1924" t="s">
        <v>1922</v>
      </c>
      <c r="B185" s="1925"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11" zoomScaleNormal="100" workbookViewId="0">
      <selection activeCell="C33" sqref="C33"/>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7" t="s">
        <v>1830</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311" t="s">
        <v>1816</v>
      </c>
      <c r="B4" s="2312"/>
      <c r="C4" s="2312"/>
      <c r="D4" s="2312"/>
      <c r="E4" s="2312"/>
      <c r="F4" s="2312"/>
      <c r="G4" s="2313"/>
    </row>
    <row r="5" spans="1:7" x14ac:dyDescent="0.25">
      <c r="A5" s="2314"/>
      <c r="B5" s="2315"/>
      <c r="C5" s="2315"/>
      <c r="D5" s="2315"/>
      <c r="E5" s="2315"/>
      <c r="F5" s="2315"/>
      <c r="G5" s="2316"/>
    </row>
    <row r="6" spans="1:7" ht="18.75" x14ac:dyDescent="0.25">
      <c r="A6" s="1936" t="s">
        <v>2062</v>
      </c>
      <c r="B6" s="1937"/>
      <c r="C6" s="1937"/>
      <c r="D6" s="1937"/>
      <c r="E6" s="1937"/>
      <c r="F6" s="1937"/>
      <c r="G6" s="1938"/>
    </row>
    <row r="7" spans="1:7" ht="18.75" x14ac:dyDescent="0.25">
      <c r="A7" s="1532" t="s">
        <v>1817</v>
      </c>
      <c r="B7" s="1533"/>
      <c r="C7" s="1533"/>
      <c r="D7" s="1533"/>
      <c r="E7" s="1533"/>
      <c r="F7" s="1533"/>
      <c r="G7" s="1534"/>
    </row>
    <row r="8" spans="1:7" ht="30.75" customHeight="1" x14ac:dyDescent="0.25">
      <c r="A8" s="2317" t="s">
        <v>1929</v>
      </c>
      <c r="B8" s="2318"/>
      <c r="C8" s="2318"/>
      <c r="D8" s="2318"/>
      <c r="E8" s="2318"/>
      <c r="F8" s="2318"/>
      <c r="G8" s="2319"/>
    </row>
    <row r="9" spans="1:7" ht="15.75" customHeight="1" x14ac:dyDescent="0.25">
      <c r="A9" s="2320" t="s">
        <v>1904</v>
      </c>
      <c r="B9" s="2321"/>
      <c r="C9" s="2321"/>
      <c r="D9" s="2321"/>
      <c r="E9" s="2321"/>
      <c r="F9" s="2321"/>
      <c r="G9" s="2322"/>
    </row>
    <row r="10" spans="1:7" ht="35.25" customHeight="1" x14ac:dyDescent="0.25">
      <c r="A10" s="2317" t="s">
        <v>2061</v>
      </c>
      <c r="B10" s="2318"/>
      <c r="C10" s="2318"/>
      <c r="D10" s="2318"/>
      <c r="E10" s="2318"/>
      <c r="F10" s="2318"/>
      <c r="G10" s="2319"/>
    </row>
    <row r="11" spans="1:7" ht="15" customHeight="1" x14ac:dyDescent="0.25">
      <c r="A11" s="1535" t="s">
        <v>1818</v>
      </c>
      <c r="B11" s="1536"/>
      <c r="C11" s="1536"/>
      <c r="D11" s="1536"/>
      <c r="E11" s="1536"/>
      <c r="F11" s="1536"/>
      <c r="G11" s="1537"/>
    </row>
    <row r="12" spans="1:7" ht="17.25" customHeight="1" x14ac:dyDescent="0.25">
      <c r="A12" s="2317" t="s">
        <v>1931</v>
      </c>
      <c r="B12" s="2318"/>
      <c r="C12" s="2318"/>
      <c r="D12" s="2318"/>
      <c r="E12" s="2318"/>
      <c r="F12" s="2318"/>
      <c r="G12" s="2319"/>
    </row>
    <row r="13" spans="1:7" ht="15" customHeight="1" x14ac:dyDescent="0.25">
      <c r="A13" s="1535" t="s">
        <v>1823</v>
      </c>
      <c r="B13" s="1536"/>
      <c r="C13" s="1536"/>
      <c r="D13" s="1536"/>
      <c r="E13" s="1536"/>
      <c r="F13" s="1536"/>
      <c r="G13" s="1537"/>
    </row>
    <row r="14" spans="1:7" ht="32.25" customHeight="1" x14ac:dyDescent="0.25">
      <c r="A14" s="2308" t="s">
        <v>1972</v>
      </c>
      <c r="B14" s="2309"/>
      <c r="C14" s="2309"/>
      <c r="D14" s="2309"/>
      <c r="E14" s="2309"/>
      <c r="F14" s="2309"/>
      <c r="G14" s="2310"/>
    </row>
    <row r="15" spans="1:7" x14ac:dyDescent="0.25">
      <c r="A15" s="1659" t="s">
        <v>1831</v>
      </c>
      <c r="B15" s="1660"/>
      <c r="C15" s="1660"/>
      <c r="D15" s="1660"/>
      <c r="E15" s="1660"/>
      <c r="F15" s="1660"/>
      <c r="G15" s="1661"/>
    </row>
    <row r="16" spans="1:7" ht="61.5" customHeight="1" x14ac:dyDescent="0.25">
      <c r="A16" s="1544" t="s">
        <v>1824</v>
      </c>
      <c r="B16" s="1544" t="s">
        <v>1825</v>
      </c>
      <c r="C16" s="1544" t="s">
        <v>1826</v>
      </c>
      <c r="D16" s="1545" t="s">
        <v>1827</v>
      </c>
      <c r="E16" s="1545" t="s">
        <v>1819</v>
      </c>
      <c r="F16" s="1545" t="s">
        <v>1828</v>
      </c>
      <c r="G16" s="1545" t="s">
        <v>1829</v>
      </c>
    </row>
    <row r="17" spans="1:8" x14ac:dyDescent="0.25">
      <c r="A17" s="1646" t="s">
        <v>1832</v>
      </c>
      <c r="B17" s="1647" t="s">
        <v>1822</v>
      </c>
      <c r="C17" s="1648" t="s">
        <v>1820</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9" t="s">
        <v>2085</v>
      </c>
      <c r="B18" s="1934" t="s">
        <v>2091</v>
      </c>
      <c r="C18" s="1940" t="s">
        <v>2107</v>
      </c>
      <c r="D18" s="1842">
        <v>634427</v>
      </c>
      <c r="E18" s="1538">
        <f t="shared" ref="E18:E142" si="0">IF(D18&lt;=25000,D18,IF(D18&gt;25000,25000,0))</f>
        <v>25000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1">
        <f>IF(F18=0,0,D18-F18)</f>
        <v>609427</v>
      </c>
      <c r="H18" s="1645"/>
    </row>
    <row r="19" spans="1:8" x14ac:dyDescent="0.25">
      <c r="A19" s="1939" t="s">
        <v>2086</v>
      </c>
      <c r="B19" s="1934" t="s">
        <v>2092</v>
      </c>
      <c r="C19" s="1940" t="s">
        <v>2097</v>
      </c>
      <c r="D19" s="1842">
        <v>309500</v>
      </c>
      <c r="E19" s="1538">
        <f t="shared" ref="E19:E141" si="2">IF(D19&lt;=25000,D19,IF(D19&gt;25000,25000,0))</f>
        <v>25000</v>
      </c>
      <c r="F19" s="1935">
        <f t="shared" si="1"/>
        <v>25000</v>
      </c>
      <c r="G19" s="1791">
        <f t="shared" ref="G19:G141" si="3">IF(F19=0,0,D19-F19)</f>
        <v>284500</v>
      </c>
    </row>
    <row r="20" spans="1:8" x14ac:dyDescent="0.25">
      <c r="A20" s="1939" t="s">
        <v>2086</v>
      </c>
      <c r="B20" s="1934" t="s">
        <v>2092</v>
      </c>
      <c r="C20" s="1940" t="s">
        <v>2098</v>
      </c>
      <c r="D20" s="1842">
        <v>268344</v>
      </c>
      <c r="E20" s="1538">
        <f t="shared" si="2"/>
        <v>25000</v>
      </c>
      <c r="F20" s="1935">
        <f t="shared" si="1"/>
        <v>25000</v>
      </c>
      <c r="G20" s="1791">
        <f t="shared" si="3"/>
        <v>243344</v>
      </c>
    </row>
    <row r="21" spans="1:8" x14ac:dyDescent="0.25">
      <c r="A21" s="1939" t="s">
        <v>2087</v>
      </c>
      <c r="B21" s="1934" t="s">
        <v>2093</v>
      </c>
      <c r="C21" s="1940" t="s">
        <v>2099</v>
      </c>
      <c r="D21" s="1842">
        <v>66640</v>
      </c>
      <c r="E21" s="1538">
        <f t="shared" si="2"/>
        <v>25000</v>
      </c>
      <c r="F21" s="1935">
        <f t="shared" si="1"/>
        <v>25000</v>
      </c>
      <c r="G21" s="1791">
        <f t="shared" si="3"/>
        <v>41640</v>
      </c>
    </row>
    <row r="22" spans="1:8" x14ac:dyDescent="0.25">
      <c r="A22" s="1939" t="s">
        <v>2085</v>
      </c>
      <c r="B22" s="1934" t="s">
        <v>2091</v>
      </c>
      <c r="C22" s="1940" t="s">
        <v>2100</v>
      </c>
      <c r="D22" s="1842">
        <v>120509</v>
      </c>
      <c r="E22" s="1538">
        <f t="shared" si="2"/>
        <v>25000</v>
      </c>
      <c r="F22" s="1935">
        <f t="shared" si="1"/>
        <v>25000</v>
      </c>
      <c r="G22" s="1791">
        <f t="shared" si="3"/>
        <v>95509</v>
      </c>
    </row>
    <row r="23" spans="1:8" x14ac:dyDescent="0.25">
      <c r="A23" s="1939" t="s">
        <v>2088</v>
      </c>
      <c r="B23" s="1934" t="s">
        <v>2094</v>
      </c>
      <c r="C23" s="1940" t="s">
        <v>2101</v>
      </c>
      <c r="D23" s="1842">
        <v>180000</v>
      </c>
      <c r="E23" s="1538">
        <f t="shared" si="2"/>
        <v>25000</v>
      </c>
      <c r="F23" s="1935">
        <f>(IF(D23="",0,(IF(OR(B24="10-1000-100",B24="10-1000-200",B24="10-1000-300",B24="10-1000-400",B24="10-1000-600",B24="10-1000-800",B24="50-1000-200",B24="10-2100-100",B24="10-2100-200",B24="10-2100-300",B24="10-2100-400",B24="10-2100-600",B24="10-2100-800",B24="20-2100-100",B24="20-2100-200",B24="20-2100-300",B24="20-2100-400",B24="20-2100-600",B24="20-2100-800",B24="40-2100-100",B24="40-2100-200",B24="40-2100-300",B24="40-2100-400",B24="40-2100-600",B24="40-2100-800",B24="50-2100-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10-2540-800",B24="20-2540-100",B24="20-2540-200",B24="20-2540-300",B24="20-2540-400",B24="20-2540-600",B24="20-2540-800",B24="50-2540-200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10-3000-100",B24="10-3000-200",B24="10-3000-300",B24="10-3000-400",B24="10-3000-600",B24="10-3000-800",B24="20-3000-100",B24="20-3000-200",B24="20-3000-300",B24="20-3000-400",B24="20-3000-600",B24="20-3000-800",B24="40-3000-100",B24="40-3000-200",B24="40-3000-300",B24="40-3000-400",B24="40-3000-600",B24="40-3000-800",B24="50-3000-200"),E23,"Check func/obj # in Colm B"))))</f>
        <v>25000</v>
      </c>
      <c r="G23" s="1791">
        <f t="shared" si="3"/>
        <v>155000</v>
      </c>
    </row>
    <row r="24" spans="1:8" x14ac:dyDescent="0.25">
      <c r="A24" s="1939" t="s">
        <v>2089</v>
      </c>
      <c r="B24" s="1934" t="s">
        <v>2095</v>
      </c>
      <c r="C24" s="1940" t="s">
        <v>2102</v>
      </c>
      <c r="D24" s="1842">
        <v>80340</v>
      </c>
      <c r="E24" s="1538">
        <f t="shared" si="2"/>
        <v>25000</v>
      </c>
      <c r="F24" s="1935">
        <f>(IF(D24="",0,(IF(OR(B25="10-1000-100",B25="10-1000-200",B25="10-1000-300",B25="10-1000-400",B25="10-1000-600",B25="10-1000-800",B25="50-1000-200",B25="10-2100-100",B25="10-2100-200",B25="10-2100-300",B25="10-2100-400",B25="10-2100-600",B25="10-2100-800",B25="20-2100-100",B25="20-2100-200",B25="20-2100-300",B25="20-2100-400",B25="20-2100-600",B25="20-2100-800",B25="40-2100-100",B25="40-2100-200",B25="40-2100-300",B25="40-2100-400",B25="40-2100-600",B25="40-2100-800",B25="50-2100-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10-2540-800",B25="20-2540-100",B25="20-2540-200",B25="20-2540-300",B25="20-2540-400",B25="20-2540-600",B25="20-2540-800",B25="50-2540-200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10-3000-100",B25="10-3000-200",B25="10-3000-300",B25="10-3000-400",B25="10-3000-600",B25="10-3000-800",B25="20-3000-100",B25="20-3000-200",B25="20-3000-300",B25="20-3000-400",B25="20-3000-600",B25="20-3000-800",B25="40-3000-100",B25="40-3000-200",B25="40-3000-300",B25="40-3000-400",B25="40-3000-600",B25="40-3000-800",B25="50-3000-200"),E24,"Check func/obj # in Colm B"))))</f>
        <v>25000</v>
      </c>
      <c r="G24" s="1791">
        <f t="shared" si="3"/>
        <v>55340</v>
      </c>
    </row>
    <row r="25" spans="1:8" x14ac:dyDescent="0.25">
      <c r="A25" s="1939" t="s">
        <v>2090</v>
      </c>
      <c r="B25" s="1934" t="s">
        <v>2096</v>
      </c>
      <c r="C25" s="1940" t="s">
        <v>2103</v>
      </c>
      <c r="D25" s="1842">
        <v>5255</v>
      </c>
      <c r="E25" s="1538">
        <f t="shared" si="2"/>
        <v>5255</v>
      </c>
      <c r="F25" s="1935">
        <f>(IF(D25="",0,(IF(OR(B26="10-1000-100",B26="10-1000-200",B26="10-1000-300",B26="10-1000-400",B26="10-1000-600",B26="10-1000-800",B26="50-1000-200",B26="10-2100-100",B26="10-2100-200",B26="10-2100-300",B26="10-2100-400",B26="10-2100-600",B26="10-2100-800",B26="20-2100-100",B26="20-2100-200",B26="20-2100-300",B26="20-2100-400",B26="20-2100-600",B26="20-2100-800",B26="40-2100-100",B26="40-2100-200",B26="40-2100-300",B26="40-2100-400",B26="40-2100-600",B26="40-2100-800",B26="50-2100-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10-2540-800",B26="20-2540-100",B26="20-2540-200",B26="20-2540-300",B26="20-2540-400",B26="20-2540-600",B26="20-2540-800",B26="50-2540-200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10-3000-100",B26="10-3000-200",B26="10-3000-300",B26="10-3000-400",B26="10-3000-600",B26="10-3000-800",B26="20-3000-100",B26="20-3000-200",B26="20-3000-300",B26="20-3000-400",B26="20-3000-600",B26="20-3000-800",B26="40-3000-100",B26="40-3000-200",B26="40-3000-300",B26="40-3000-400",B26="40-3000-600",B26="40-3000-800",B26="50-3000-200"),E25,"Check func/obj # in Colm B"))))</f>
        <v>5255</v>
      </c>
      <c r="G25" s="1791">
        <f t="shared" si="3"/>
        <v>0</v>
      </c>
    </row>
    <row r="26" spans="1:8" x14ac:dyDescent="0.25">
      <c r="A26" s="1939" t="s">
        <v>2090</v>
      </c>
      <c r="B26" s="1934" t="s">
        <v>2096</v>
      </c>
      <c r="C26" s="1940" t="s">
        <v>2104</v>
      </c>
      <c r="D26" s="1842">
        <v>67111</v>
      </c>
      <c r="E26" s="1538">
        <f t="shared" si="2"/>
        <v>25000</v>
      </c>
      <c r="F26" s="1935">
        <f>(IF(D26="",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26,"Check func/obj # in Colm B"))))</f>
        <v>25000</v>
      </c>
      <c r="G26" s="1791">
        <f t="shared" si="3"/>
        <v>42111</v>
      </c>
    </row>
    <row r="27" spans="1:8" x14ac:dyDescent="0.25">
      <c r="A27" s="1939" t="s">
        <v>2086</v>
      </c>
      <c r="B27" s="1934" t="s">
        <v>2092</v>
      </c>
      <c r="C27" s="1940" t="s">
        <v>2105</v>
      </c>
      <c r="D27" s="1842">
        <v>57898</v>
      </c>
      <c r="E27" s="1538">
        <f t="shared" si="2"/>
        <v>25000</v>
      </c>
      <c r="F27" s="1935">
        <f>(IF(D27="",0,(IF(OR(B28="10-1000-100",B28="10-1000-200",B28="10-1000-300",B28="10-1000-400",B28="10-1000-600",B28="10-1000-800",B28="50-1000-200",B28="10-2100-100",B28="10-2100-200",B28="10-2100-300",B28="10-2100-400",B28="10-2100-600",B28="10-2100-800",B28="20-2100-100",B28="20-2100-200",B28="20-2100-300",B28="20-2100-400",B28="20-2100-600",B28="20-2100-800",B28="40-2100-100",B28="40-2100-200",B28="40-2100-300",B28="40-2100-400",B28="40-2100-600",B28="40-2100-800",B28="50-2100-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10-2540-800",B28="20-2540-100",B28="20-2540-200",B28="20-2540-300",B28="20-2540-400",B28="20-2540-600",B28="20-2540-800",B28="50-2540-200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10-3000-100",B28="10-3000-200",B28="10-3000-300",B28="10-3000-400",B28="10-3000-600",B28="10-3000-800",B28="20-3000-100",B28="20-3000-200",B28="20-3000-300",B28="20-3000-400",B28="20-3000-600",B28="20-3000-800",B28="40-3000-100",B28="40-3000-200",B28="40-3000-300",B28="40-3000-400",B28="40-3000-600",B28="40-3000-800",B28="50-3000-200"),E27,"Check func/obj # in Colm B"))))</f>
        <v>25000</v>
      </c>
      <c r="G27" s="1791">
        <f t="shared" si="3"/>
        <v>32898</v>
      </c>
    </row>
    <row r="28" spans="1:8" x14ac:dyDescent="0.25">
      <c r="A28" s="1939" t="s">
        <v>2090</v>
      </c>
      <c r="B28" s="1934" t="s">
        <v>2096</v>
      </c>
      <c r="C28" s="1940" t="s">
        <v>2106</v>
      </c>
      <c r="D28" s="1842">
        <v>253657</v>
      </c>
      <c r="E28" s="1538">
        <f t="shared" si="2"/>
        <v>25000</v>
      </c>
      <c r="F28" s="1935">
        <f t="shared" si="1"/>
        <v>25000</v>
      </c>
      <c r="G28" s="1791">
        <f t="shared" si="3"/>
        <v>228657</v>
      </c>
    </row>
    <row r="29" spans="1:8" x14ac:dyDescent="0.25">
      <c r="A29" s="1939" t="s">
        <v>2085</v>
      </c>
      <c r="B29" s="1934" t="s">
        <v>2091</v>
      </c>
      <c r="C29" s="1940" t="s">
        <v>2108</v>
      </c>
      <c r="D29" s="1842">
        <v>239015</v>
      </c>
      <c r="E29" s="1538">
        <f t="shared" si="2"/>
        <v>25000</v>
      </c>
      <c r="F29" s="1935">
        <f t="shared" si="1"/>
        <v>25000</v>
      </c>
      <c r="G29" s="1791">
        <f t="shared" si="3"/>
        <v>214015</v>
      </c>
    </row>
    <row r="30" spans="1:8" x14ac:dyDescent="0.25">
      <c r="A30" s="1939" t="s">
        <v>2086</v>
      </c>
      <c r="B30" s="1934" t="s">
        <v>2092</v>
      </c>
      <c r="C30" s="1940" t="s">
        <v>2109</v>
      </c>
      <c r="D30" s="1842">
        <v>503667</v>
      </c>
      <c r="E30" s="1538">
        <f t="shared" si="2"/>
        <v>25000</v>
      </c>
      <c r="F30" s="1935">
        <f t="shared" si="1"/>
        <v>25000</v>
      </c>
      <c r="G30" s="1791">
        <f t="shared" si="3"/>
        <v>478667</v>
      </c>
    </row>
    <row r="31" spans="1:8" x14ac:dyDescent="0.25">
      <c r="A31" s="1939" t="s">
        <v>2086</v>
      </c>
      <c r="B31" s="1934" t="s">
        <v>2092</v>
      </c>
      <c r="C31" s="1940" t="s">
        <v>2110</v>
      </c>
      <c r="D31" s="1842">
        <v>181094</v>
      </c>
      <c r="E31" s="1538">
        <f t="shared" si="2"/>
        <v>25000</v>
      </c>
      <c r="F31" s="1935">
        <f t="shared" si="1"/>
        <v>25000</v>
      </c>
      <c r="G31" s="1791">
        <f t="shared" si="3"/>
        <v>156094</v>
      </c>
    </row>
    <row r="32" spans="1:8" x14ac:dyDescent="0.25">
      <c r="A32" s="1939" t="s">
        <v>2086</v>
      </c>
      <c r="B32" s="1934" t="s">
        <v>2092</v>
      </c>
      <c r="C32" s="1940" t="s">
        <v>2111</v>
      </c>
      <c r="D32" s="1842">
        <v>83999</v>
      </c>
      <c r="E32" s="1538">
        <f t="shared" si="2"/>
        <v>25000</v>
      </c>
      <c r="F32" s="1935">
        <f t="shared" si="1"/>
        <v>25000</v>
      </c>
      <c r="G32" s="1791">
        <f t="shared" si="3"/>
        <v>58999</v>
      </c>
    </row>
    <row r="33" spans="1:7" x14ac:dyDescent="0.25">
      <c r="A33" s="1651"/>
      <c r="B33" s="1931"/>
      <c r="C33" s="1652"/>
      <c r="D33" s="1842"/>
      <c r="E33" s="1538">
        <f t="shared" si="2"/>
        <v>0</v>
      </c>
      <c r="F33" s="1935">
        <f t="shared" si="1"/>
        <v>0</v>
      </c>
      <c r="G33" s="1791">
        <f t="shared" si="3"/>
        <v>0</v>
      </c>
    </row>
    <row r="34" spans="1:7" x14ac:dyDescent="0.25">
      <c r="A34" s="1651"/>
      <c r="B34" s="1931"/>
      <c r="C34" s="1652"/>
      <c r="D34" s="1842"/>
      <c r="E34" s="1538">
        <f t="shared" si="2"/>
        <v>0</v>
      </c>
      <c r="F34" s="1935">
        <f t="shared" si="1"/>
        <v>0</v>
      </c>
      <c r="G34" s="1791">
        <f t="shared" si="3"/>
        <v>0</v>
      </c>
    </row>
    <row r="35" spans="1:7" x14ac:dyDescent="0.25">
      <c r="A35" s="1651"/>
      <c r="B35" s="1931"/>
      <c r="C35" s="1652"/>
      <c r="D35" s="1842"/>
      <c r="E35" s="1538">
        <f t="shared" si="2"/>
        <v>0</v>
      </c>
      <c r="F35" s="1935">
        <f t="shared" si="1"/>
        <v>0</v>
      </c>
      <c r="G35" s="1791">
        <f t="shared" si="3"/>
        <v>0</v>
      </c>
    </row>
    <row r="36" spans="1:7" x14ac:dyDescent="0.25">
      <c r="A36" s="1651"/>
      <c r="B36" s="1931"/>
      <c r="C36" s="1652"/>
      <c r="D36" s="1842"/>
      <c r="E36" s="1538">
        <f t="shared" si="2"/>
        <v>0</v>
      </c>
      <c r="F36" s="1935">
        <f t="shared" si="1"/>
        <v>0</v>
      </c>
      <c r="G36" s="1791">
        <f t="shared" si="3"/>
        <v>0</v>
      </c>
    </row>
    <row r="37" spans="1:7" x14ac:dyDescent="0.25">
      <c r="A37" s="1651"/>
      <c r="B37" s="1931"/>
      <c r="C37" s="1652"/>
      <c r="D37" s="1842"/>
      <c r="E37" s="1538">
        <f t="shared" si="2"/>
        <v>0</v>
      </c>
      <c r="F37" s="1935">
        <f t="shared" si="1"/>
        <v>0</v>
      </c>
      <c r="G37" s="1791">
        <f t="shared" si="3"/>
        <v>0</v>
      </c>
    </row>
    <row r="38" spans="1:7" x14ac:dyDescent="0.25">
      <c r="A38" s="1651"/>
      <c r="B38" s="1931"/>
      <c r="C38" s="1652"/>
      <c r="D38" s="1842"/>
      <c r="E38" s="1538">
        <f t="shared" si="2"/>
        <v>0</v>
      </c>
      <c r="F38" s="1935">
        <f t="shared" si="1"/>
        <v>0</v>
      </c>
      <c r="G38" s="1791">
        <f t="shared" si="3"/>
        <v>0</v>
      </c>
    </row>
    <row r="39" spans="1:7" x14ac:dyDescent="0.25">
      <c r="A39" s="1651"/>
      <c r="B39" s="1932"/>
      <c r="C39" s="1652"/>
      <c r="D39" s="1842"/>
      <c r="E39" s="1538">
        <f t="shared" si="2"/>
        <v>0</v>
      </c>
      <c r="F39" s="1935">
        <f t="shared" si="1"/>
        <v>0</v>
      </c>
      <c r="G39" s="1791">
        <f t="shared" si="3"/>
        <v>0</v>
      </c>
    </row>
    <row r="40" spans="1:7" x14ac:dyDescent="0.25">
      <c r="A40" s="1651"/>
      <c r="B40" s="1932"/>
      <c r="C40" s="1652"/>
      <c r="D40" s="1842"/>
      <c r="E40" s="1538">
        <f t="shared" si="2"/>
        <v>0</v>
      </c>
      <c r="F40" s="1935">
        <f t="shared" si="1"/>
        <v>0</v>
      </c>
      <c r="G40" s="1791">
        <f t="shared" si="3"/>
        <v>0</v>
      </c>
    </row>
    <row r="41" spans="1:7" x14ac:dyDescent="0.25">
      <c r="A41" s="1651"/>
      <c r="B41" s="1932"/>
      <c r="C41" s="1652"/>
      <c r="D41" s="1842"/>
      <c r="E41" s="1538">
        <f t="shared" si="2"/>
        <v>0</v>
      </c>
      <c r="F41" s="1935">
        <f t="shared" si="1"/>
        <v>0</v>
      </c>
      <c r="G41" s="1791">
        <f t="shared" si="3"/>
        <v>0</v>
      </c>
    </row>
    <row r="42" spans="1:7" x14ac:dyDescent="0.25">
      <c r="A42" s="1651"/>
      <c r="B42" s="1932"/>
      <c r="C42" s="1652"/>
      <c r="D42" s="1842"/>
      <c r="E42" s="1538">
        <f t="shared" si="2"/>
        <v>0</v>
      </c>
      <c r="F42" s="1935">
        <f t="shared" si="1"/>
        <v>0</v>
      </c>
      <c r="G42" s="1791">
        <f t="shared" si="3"/>
        <v>0</v>
      </c>
    </row>
    <row r="43" spans="1:7" x14ac:dyDescent="0.25">
      <c r="A43" s="1651"/>
      <c r="B43" s="1932"/>
      <c r="C43" s="1652"/>
      <c r="D43" s="1842"/>
      <c r="E43" s="1538">
        <f t="shared" si="2"/>
        <v>0</v>
      </c>
      <c r="F43" s="1935">
        <f t="shared" si="1"/>
        <v>0</v>
      </c>
      <c r="G43" s="1791">
        <f t="shared" si="3"/>
        <v>0</v>
      </c>
    </row>
    <row r="44" spans="1:7" x14ac:dyDescent="0.25">
      <c r="A44" s="1651"/>
      <c r="B44" s="1932"/>
      <c r="C44" s="1652"/>
      <c r="D44" s="1842"/>
      <c r="E44" s="1538">
        <f t="shared" si="2"/>
        <v>0</v>
      </c>
      <c r="F44" s="1935">
        <f t="shared" si="1"/>
        <v>0</v>
      </c>
      <c r="G44" s="1791">
        <f t="shared" si="3"/>
        <v>0</v>
      </c>
    </row>
    <row r="45" spans="1:7" x14ac:dyDescent="0.25">
      <c r="A45" s="1651"/>
      <c r="B45" s="1932"/>
      <c r="C45" s="1652"/>
      <c r="D45" s="1842"/>
      <c r="E45" s="1538">
        <f t="shared" si="2"/>
        <v>0</v>
      </c>
      <c r="F45" s="1935">
        <f t="shared" si="1"/>
        <v>0</v>
      </c>
      <c r="G45" s="1791">
        <f t="shared" si="3"/>
        <v>0</v>
      </c>
    </row>
    <row r="46" spans="1:7" x14ac:dyDescent="0.25">
      <c r="A46" s="1651"/>
      <c r="B46" s="1932"/>
      <c r="C46" s="1652"/>
      <c r="D46" s="1842"/>
      <c r="E46" s="1538">
        <f t="shared" si="2"/>
        <v>0</v>
      </c>
      <c r="F46" s="1935">
        <f t="shared" si="1"/>
        <v>0</v>
      </c>
      <c r="G46" s="1791">
        <f t="shared" si="3"/>
        <v>0</v>
      </c>
    </row>
    <row r="47" spans="1:7" x14ac:dyDescent="0.25">
      <c r="A47" s="1651"/>
      <c r="B47" s="1665"/>
      <c r="C47" s="1652"/>
      <c r="D47" s="1842"/>
      <c r="E47" s="1538">
        <f t="shared" si="2"/>
        <v>0</v>
      </c>
      <c r="F47" s="1935">
        <f t="shared" si="1"/>
        <v>0</v>
      </c>
      <c r="G47" s="1791">
        <f t="shared" si="3"/>
        <v>0</v>
      </c>
    </row>
    <row r="48" spans="1:7" x14ac:dyDescent="0.25">
      <c r="A48" s="1651"/>
      <c r="B48" s="1665"/>
      <c r="C48" s="1652"/>
      <c r="D48" s="1842"/>
      <c r="E48" s="1538">
        <f t="shared" si="2"/>
        <v>0</v>
      </c>
      <c r="F48" s="1935">
        <f t="shared" si="1"/>
        <v>0</v>
      </c>
      <c r="G48" s="1791">
        <f t="shared" si="3"/>
        <v>0</v>
      </c>
    </row>
    <row r="49" spans="1:7" x14ac:dyDescent="0.25">
      <c r="A49" s="1651"/>
      <c r="B49" s="1665"/>
      <c r="C49" s="1652"/>
      <c r="D49" s="1842"/>
      <c r="E49" s="1538">
        <f t="shared" si="2"/>
        <v>0</v>
      </c>
      <c r="F49" s="1935">
        <f t="shared" si="1"/>
        <v>0</v>
      </c>
      <c r="G49" s="1791">
        <f t="shared" si="3"/>
        <v>0</v>
      </c>
    </row>
    <row r="50" spans="1:7" x14ac:dyDescent="0.25">
      <c r="A50" s="1651"/>
      <c r="B50" s="1665"/>
      <c r="C50" s="1652"/>
      <c r="D50" s="1842"/>
      <c r="E50" s="1538">
        <f t="shared" si="2"/>
        <v>0</v>
      </c>
      <c r="F50" s="1935">
        <f t="shared" si="1"/>
        <v>0</v>
      </c>
      <c r="G50" s="1791">
        <f t="shared" si="3"/>
        <v>0</v>
      </c>
    </row>
    <row r="51" spans="1:7" x14ac:dyDescent="0.25">
      <c r="A51" s="1651"/>
      <c r="B51" s="1665"/>
      <c r="C51" s="1652"/>
      <c r="D51" s="1842"/>
      <c r="E51" s="1538">
        <f t="shared" si="2"/>
        <v>0</v>
      </c>
      <c r="F51" s="1935">
        <f t="shared" si="1"/>
        <v>0</v>
      </c>
      <c r="G51" s="1791">
        <f t="shared" si="3"/>
        <v>0</v>
      </c>
    </row>
    <row r="52" spans="1:7" x14ac:dyDescent="0.25">
      <c r="A52" s="1651"/>
      <c r="B52" s="1665"/>
      <c r="C52" s="1652"/>
      <c r="D52" s="1842"/>
      <c r="E52" s="1538">
        <f t="shared" si="2"/>
        <v>0</v>
      </c>
      <c r="F52" s="1935">
        <f t="shared" si="1"/>
        <v>0</v>
      </c>
      <c r="G52" s="1791">
        <f t="shared" si="3"/>
        <v>0</v>
      </c>
    </row>
    <row r="53" spans="1:7" x14ac:dyDescent="0.25">
      <c r="A53" s="1651"/>
      <c r="B53" s="1665"/>
      <c r="C53" s="1652"/>
      <c r="D53" s="1842"/>
      <c r="E53" s="1538">
        <f t="shared" si="2"/>
        <v>0</v>
      </c>
      <c r="F53" s="1935">
        <f t="shared" si="1"/>
        <v>0</v>
      </c>
      <c r="G53" s="1791">
        <f t="shared" si="3"/>
        <v>0</v>
      </c>
    </row>
    <row r="54" spans="1:7" x14ac:dyDescent="0.25">
      <c r="A54" s="1651"/>
      <c r="B54" s="1665"/>
      <c r="C54" s="1652"/>
      <c r="D54" s="1842"/>
      <c r="E54" s="1538">
        <f t="shared" si="2"/>
        <v>0</v>
      </c>
      <c r="F54" s="1935">
        <f t="shared" si="1"/>
        <v>0</v>
      </c>
      <c r="G54" s="1791">
        <f t="shared" si="3"/>
        <v>0</v>
      </c>
    </row>
    <row r="55" spans="1:7" x14ac:dyDescent="0.25">
      <c r="A55" s="1651"/>
      <c r="B55" s="1665"/>
      <c r="C55" s="1652"/>
      <c r="D55" s="1842"/>
      <c r="E55" s="1538">
        <f t="shared" si="2"/>
        <v>0</v>
      </c>
      <c r="F55" s="1935">
        <f t="shared" si="1"/>
        <v>0</v>
      </c>
      <c r="G55" s="1791">
        <f t="shared" si="3"/>
        <v>0</v>
      </c>
    </row>
    <row r="56" spans="1:7" x14ac:dyDescent="0.25">
      <c r="A56" s="1651"/>
      <c r="B56" s="1665"/>
      <c r="C56" s="1652"/>
      <c r="D56" s="1842"/>
      <c r="E56" s="1538">
        <f t="shared" si="2"/>
        <v>0</v>
      </c>
      <c r="F56" s="1935">
        <f t="shared" si="1"/>
        <v>0</v>
      </c>
      <c r="G56" s="1791">
        <f t="shared" si="3"/>
        <v>0</v>
      </c>
    </row>
    <row r="57" spans="1:7" x14ac:dyDescent="0.25">
      <c r="A57" s="1651"/>
      <c r="B57" s="1665"/>
      <c r="C57" s="1652"/>
      <c r="D57" s="1842"/>
      <c r="E57" s="1538">
        <f t="shared" si="2"/>
        <v>0</v>
      </c>
      <c r="F57" s="1935">
        <f t="shared" si="1"/>
        <v>0</v>
      </c>
      <c r="G57" s="1791">
        <f t="shared" si="3"/>
        <v>0</v>
      </c>
    </row>
    <row r="58" spans="1:7" x14ac:dyDescent="0.25">
      <c r="A58" s="1651"/>
      <c r="B58" s="1665"/>
      <c r="C58" s="1652"/>
      <c r="D58" s="1842"/>
      <c r="E58" s="1538">
        <f t="shared" si="2"/>
        <v>0</v>
      </c>
      <c r="F58" s="1935">
        <f t="shared" si="1"/>
        <v>0</v>
      </c>
      <c r="G58" s="1791">
        <f t="shared" si="3"/>
        <v>0</v>
      </c>
    </row>
    <row r="59" spans="1:7" x14ac:dyDescent="0.25">
      <c r="A59" s="1651"/>
      <c r="B59" s="1665"/>
      <c r="C59" s="1652"/>
      <c r="D59" s="1842"/>
      <c r="E59" s="1538">
        <f t="shared" si="2"/>
        <v>0</v>
      </c>
      <c r="F59" s="1935">
        <f t="shared" si="1"/>
        <v>0</v>
      </c>
      <c r="G59" s="1791">
        <f t="shared" si="3"/>
        <v>0</v>
      </c>
    </row>
    <row r="60" spans="1:7" x14ac:dyDescent="0.25">
      <c r="A60" s="1651"/>
      <c r="B60" s="1665"/>
      <c r="C60" s="1652"/>
      <c r="D60" s="1842"/>
      <c r="E60" s="1538">
        <f t="shared" si="2"/>
        <v>0</v>
      </c>
      <c r="F60" s="1935">
        <f t="shared" si="1"/>
        <v>0</v>
      </c>
      <c r="G60" s="1791">
        <f t="shared" si="3"/>
        <v>0</v>
      </c>
    </row>
    <row r="61" spans="1:7" x14ac:dyDescent="0.25">
      <c r="A61" s="1651"/>
      <c r="B61" s="1665"/>
      <c r="C61" s="1652"/>
      <c r="D61" s="1842"/>
      <c r="E61" s="1538">
        <f t="shared" si="2"/>
        <v>0</v>
      </c>
      <c r="F61" s="1935">
        <f t="shared" si="1"/>
        <v>0</v>
      </c>
      <c r="G61" s="1791">
        <f t="shared" si="3"/>
        <v>0</v>
      </c>
    </row>
    <row r="62" spans="1:7" x14ac:dyDescent="0.25">
      <c r="A62" s="1651"/>
      <c r="B62" s="1665"/>
      <c r="C62" s="1652"/>
      <c r="D62" s="1842"/>
      <c r="E62" s="1538">
        <f t="shared" si="2"/>
        <v>0</v>
      </c>
      <c r="F62" s="1935">
        <f t="shared" si="1"/>
        <v>0</v>
      </c>
      <c r="G62" s="1791">
        <f t="shared" si="3"/>
        <v>0</v>
      </c>
    </row>
    <row r="63" spans="1:7" x14ac:dyDescent="0.25">
      <c r="A63" s="1651"/>
      <c r="B63" s="1665"/>
      <c r="C63" s="1652"/>
      <c r="D63" s="1842"/>
      <c r="E63" s="1538">
        <f t="shared" si="2"/>
        <v>0</v>
      </c>
      <c r="F63" s="1935">
        <f t="shared" si="1"/>
        <v>0</v>
      </c>
      <c r="G63" s="1791">
        <f t="shared" si="3"/>
        <v>0</v>
      </c>
    </row>
    <row r="64" spans="1:7" x14ac:dyDescent="0.25">
      <c r="A64" s="1651"/>
      <c r="B64" s="1665"/>
      <c r="C64" s="1652"/>
      <c r="D64" s="1842"/>
      <c r="E64" s="1538">
        <f t="shared" si="2"/>
        <v>0</v>
      </c>
      <c r="F64" s="1935">
        <f t="shared" si="1"/>
        <v>0</v>
      </c>
      <c r="G64" s="1791">
        <f t="shared" si="3"/>
        <v>0</v>
      </c>
    </row>
    <row r="65" spans="1:7" x14ac:dyDescent="0.25">
      <c r="A65" s="1653"/>
      <c r="B65" s="1665"/>
      <c r="C65" s="1654"/>
      <c r="D65" s="1842"/>
      <c r="E65" s="1538">
        <f t="shared" si="2"/>
        <v>0</v>
      </c>
      <c r="F65" s="1935">
        <f t="shared" si="1"/>
        <v>0</v>
      </c>
      <c r="G65" s="1791">
        <f t="shared" si="3"/>
        <v>0</v>
      </c>
    </row>
    <row r="66" spans="1:7" x14ac:dyDescent="0.25">
      <c r="A66" s="1651"/>
      <c r="B66" s="1665"/>
      <c r="C66" s="1652"/>
      <c r="D66" s="1842"/>
      <c r="E66" s="1538">
        <f t="shared" si="2"/>
        <v>0</v>
      </c>
      <c r="F66" s="1935">
        <f t="shared" si="1"/>
        <v>0</v>
      </c>
      <c r="G66" s="1791">
        <f t="shared" si="3"/>
        <v>0</v>
      </c>
    </row>
    <row r="67" spans="1:7" x14ac:dyDescent="0.25">
      <c r="A67" s="1651"/>
      <c r="B67" s="1665"/>
      <c r="C67" s="1652"/>
      <c r="D67" s="1842"/>
      <c r="E67" s="1538">
        <f t="shared" si="2"/>
        <v>0</v>
      </c>
      <c r="F67" s="1935">
        <f t="shared" si="1"/>
        <v>0</v>
      </c>
      <c r="G67" s="1791">
        <f t="shared" si="3"/>
        <v>0</v>
      </c>
    </row>
    <row r="68" spans="1:7" x14ac:dyDescent="0.25">
      <c r="A68" s="1651"/>
      <c r="B68" s="1665"/>
      <c r="C68" s="1652"/>
      <c r="D68" s="1842"/>
      <c r="E68" s="1538">
        <f t="shared" si="2"/>
        <v>0</v>
      </c>
      <c r="F68" s="1935">
        <f t="shared" si="1"/>
        <v>0</v>
      </c>
      <c r="G68" s="1791">
        <f t="shared" si="3"/>
        <v>0</v>
      </c>
    </row>
    <row r="69" spans="1:7" x14ac:dyDescent="0.25">
      <c r="A69" s="1651"/>
      <c r="B69" s="1665"/>
      <c r="C69" s="1652"/>
      <c r="D69" s="1842"/>
      <c r="E69" s="1538">
        <f t="shared" si="2"/>
        <v>0</v>
      </c>
      <c r="F69" s="1935">
        <f t="shared" si="1"/>
        <v>0</v>
      </c>
      <c r="G69" s="1791">
        <f t="shared" si="3"/>
        <v>0</v>
      </c>
    </row>
    <row r="70" spans="1:7" x14ac:dyDescent="0.25">
      <c r="A70" s="1651"/>
      <c r="B70" s="1665"/>
      <c r="C70" s="1652"/>
      <c r="D70" s="1842"/>
      <c r="E70" s="1538">
        <f t="shared" si="2"/>
        <v>0</v>
      </c>
      <c r="F70" s="1935">
        <f t="shared" si="1"/>
        <v>0</v>
      </c>
      <c r="G70" s="1791">
        <f t="shared" si="3"/>
        <v>0</v>
      </c>
    </row>
    <row r="71" spans="1:7" x14ac:dyDescent="0.25">
      <c r="A71" s="1651"/>
      <c r="B71" s="1665"/>
      <c r="C71" s="1652"/>
      <c r="D71" s="1842"/>
      <c r="E71" s="1538">
        <f t="shared" si="2"/>
        <v>0</v>
      </c>
      <c r="F71" s="1935">
        <f t="shared" si="1"/>
        <v>0</v>
      </c>
      <c r="G71" s="1791">
        <f t="shared" si="3"/>
        <v>0</v>
      </c>
    </row>
    <row r="72" spans="1:7" x14ac:dyDescent="0.25">
      <c r="A72" s="1651"/>
      <c r="B72" s="1665"/>
      <c r="C72" s="1652"/>
      <c r="D72" s="1842"/>
      <c r="E72" s="1538">
        <f t="shared" si="2"/>
        <v>0</v>
      </c>
      <c r="F72" s="1935">
        <f t="shared" si="1"/>
        <v>0</v>
      </c>
      <c r="G72" s="1791">
        <f t="shared" si="3"/>
        <v>0</v>
      </c>
    </row>
    <row r="73" spans="1:7" x14ac:dyDescent="0.25">
      <c r="A73" s="1651"/>
      <c r="B73" s="1665"/>
      <c r="C73" s="1652"/>
      <c r="D73" s="1842"/>
      <c r="E73" s="1538">
        <f t="shared" si="2"/>
        <v>0</v>
      </c>
      <c r="F73" s="1935">
        <f t="shared" si="1"/>
        <v>0</v>
      </c>
      <c r="G73" s="1791">
        <f t="shared" si="3"/>
        <v>0</v>
      </c>
    </row>
    <row r="74" spans="1:7" x14ac:dyDescent="0.25">
      <c r="A74" s="1651"/>
      <c r="B74" s="1665"/>
      <c r="C74" s="1652"/>
      <c r="D74" s="1842"/>
      <c r="E74" s="1538">
        <f t="shared" ref="E74:E85" si="4">IF(D74&lt;=25000,D74,IF(D74&gt;25000,25000,0))</f>
        <v>0</v>
      </c>
      <c r="F74" s="1935">
        <f t="shared" si="1"/>
        <v>0</v>
      </c>
      <c r="G74" s="1791">
        <f t="shared" ref="G74:G85" si="5">IF(F74=0,0,D74-F74)</f>
        <v>0</v>
      </c>
    </row>
    <row r="75" spans="1:7" x14ac:dyDescent="0.25">
      <c r="A75" s="1651"/>
      <c r="B75" s="1665"/>
      <c r="C75" s="1652"/>
      <c r="D75" s="1842"/>
      <c r="E75" s="1538">
        <f t="shared" si="4"/>
        <v>0</v>
      </c>
      <c r="F75" s="1935">
        <f t="shared" si="1"/>
        <v>0</v>
      </c>
      <c r="G75" s="1791">
        <f t="shared" si="5"/>
        <v>0</v>
      </c>
    </row>
    <row r="76" spans="1:7" x14ac:dyDescent="0.25">
      <c r="A76" s="1651"/>
      <c r="B76" s="1665"/>
      <c r="C76" s="1652"/>
      <c r="D76" s="1842"/>
      <c r="E76" s="1538">
        <f t="shared" si="4"/>
        <v>0</v>
      </c>
      <c r="F76" s="1935">
        <f t="shared" si="1"/>
        <v>0</v>
      </c>
      <c r="G76" s="1791">
        <f t="shared" si="5"/>
        <v>0</v>
      </c>
    </row>
    <row r="77" spans="1:7" x14ac:dyDescent="0.25">
      <c r="A77" s="1651"/>
      <c r="B77" s="1665"/>
      <c r="C77" s="1652"/>
      <c r="D77" s="1842"/>
      <c r="E77" s="1538">
        <f t="shared" si="4"/>
        <v>0</v>
      </c>
      <c r="F77" s="1935">
        <f t="shared" si="1"/>
        <v>0</v>
      </c>
      <c r="G77" s="1791">
        <f t="shared" si="5"/>
        <v>0</v>
      </c>
    </row>
    <row r="78" spans="1:7" x14ac:dyDescent="0.25">
      <c r="A78" s="1651"/>
      <c r="B78" s="1665"/>
      <c r="C78" s="1652"/>
      <c r="D78" s="1842"/>
      <c r="E78" s="1538">
        <f t="shared" si="4"/>
        <v>0</v>
      </c>
      <c r="F78" s="1935">
        <f t="shared" si="1"/>
        <v>0</v>
      </c>
      <c r="G78" s="1791">
        <f t="shared" si="5"/>
        <v>0</v>
      </c>
    </row>
    <row r="79" spans="1:7" x14ac:dyDescent="0.25">
      <c r="A79" s="1651"/>
      <c r="B79" s="1665"/>
      <c r="C79" s="1652"/>
      <c r="D79" s="1842"/>
      <c r="E79" s="1538">
        <f t="shared" si="4"/>
        <v>0</v>
      </c>
      <c r="F79" s="1935">
        <f t="shared" si="1"/>
        <v>0</v>
      </c>
      <c r="G79" s="1791">
        <f t="shared" si="5"/>
        <v>0</v>
      </c>
    </row>
    <row r="80" spans="1:7" x14ac:dyDescent="0.25">
      <c r="A80" s="1651"/>
      <c r="B80" s="1665"/>
      <c r="C80" s="1652"/>
      <c r="D80" s="1842"/>
      <c r="E80" s="1538">
        <f t="shared" si="4"/>
        <v>0</v>
      </c>
      <c r="F80" s="1935">
        <f t="shared" si="1"/>
        <v>0</v>
      </c>
      <c r="G80" s="1791">
        <f t="shared" si="5"/>
        <v>0</v>
      </c>
    </row>
    <row r="81" spans="1:7" x14ac:dyDescent="0.25">
      <c r="A81" s="1651"/>
      <c r="B81" s="1665"/>
      <c r="C81" s="1652"/>
      <c r="D81" s="1842"/>
      <c r="E81" s="1538">
        <f t="shared" si="4"/>
        <v>0</v>
      </c>
      <c r="F81" s="1935">
        <f t="shared" si="1"/>
        <v>0</v>
      </c>
      <c r="G81" s="1791">
        <f t="shared" si="5"/>
        <v>0</v>
      </c>
    </row>
    <row r="82" spans="1:7" x14ac:dyDescent="0.25">
      <c r="A82" s="1651"/>
      <c r="B82" s="1665"/>
      <c r="C82" s="1652"/>
      <c r="D82" s="1842"/>
      <c r="E82" s="1538">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5"/>
        <v>0</v>
      </c>
    </row>
    <row r="83" spans="1:7" x14ac:dyDescent="0.25">
      <c r="A83" s="1651"/>
      <c r="B83" s="1665"/>
      <c r="C83" s="1652"/>
      <c r="D83" s="1842"/>
      <c r="E83" s="1538">
        <f t="shared" si="4"/>
        <v>0</v>
      </c>
      <c r="F83" s="1935">
        <f t="shared" si="6"/>
        <v>0</v>
      </c>
      <c r="G83" s="1791">
        <f t="shared" si="5"/>
        <v>0</v>
      </c>
    </row>
    <row r="84" spans="1:7" x14ac:dyDescent="0.25">
      <c r="A84" s="1651"/>
      <c r="B84" s="1665"/>
      <c r="C84" s="1652"/>
      <c r="D84" s="1842"/>
      <c r="E84" s="1538">
        <f t="shared" si="4"/>
        <v>0</v>
      </c>
      <c r="F84" s="1935">
        <f t="shared" si="6"/>
        <v>0</v>
      </c>
      <c r="G84" s="1791">
        <f t="shared" si="5"/>
        <v>0</v>
      </c>
    </row>
    <row r="85" spans="1:7" x14ac:dyDescent="0.25">
      <c r="A85" s="1651"/>
      <c r="B85" s="1665"/>
      <c r="C85" s="1652"/>
      <c r="D85" s="1842"/>
      <c r="E85" s="1538">
        <f t="shared" si="4"/>
        <v>0</v>
      </c>
      <c r="F85" s="1935">
        <f t="shared" si="6"/>
        <v>0</v>
      </c>
      <c r="G85" s="1791">
        <f t="shared" si="5"/>
        <v>0</v>
      </c>
    </row>
    <row r="86" spans="1:7" x14ac:dyDescent="0.25">
      <c r="A86" s="1651"/>
      <c r="B86" s="1665"/>
      <c r="C86" s="1652"/>
      <c r="D86" s="1842"/>
      <c r="E86" s="1538">
        <f t="shared" si="2"/>
        <v>0</v>
      </c>
      <c r="F86" s="1935">
        <f t="shared" si="6"/>
        <v>0</v>
      </c>
      <c r="G86" s="1791">
        <f t="shared" si="3"/>
        <v>0</v>
      </c>
    </row>
    <row r="87" spans="1:7" x14ac:dyDescent="0.25">
      <c r="A87" s="1651"/>
      <c r="B87" s="1665"/>
      <c r="C87" s="1652"/>
      <c r="D87" s="1842"/>
      <c r="E87" s="1538">
        <f t="shared" si="2"/>
        <v>0</v>
      </c>
      <c r="F87" s="1935">
        <f t="shared" si="6"/>
        <v>0</v>
      </c>
      <c r="G87" s="1791">
        <f t="shared" si="3"/>
        <v>0</v>
      </c>
    </row>
    <row r="88" spans="1:7" x14ac:dyDescent="0.25">
      <c r="A88" s="1651"/>
      <c r="B88" s="1665"/>
      <c r="C88" s="1652"/>
      <c r="D88" s="1842"/>
      <c r="E88" s="1538">
        <f t="shared" si="2"/>
        <v>0</v>
      </c>
      <c r="F88" s="1935">
        <f t="shared" si="6"/>
        <v>0</v>
      </c>
      <c r="G88" s="1791">
        <f t="shared" si="3"/>
        <v>0</v>
      </c>
    </row>
    <row r="89" spans="1:7" x14ac:dyDescent="0.25">
      <c r="A89" s="1651"/>
      <c r="B89" s="1665"/>
      <c r="C89" s="1652"/>
      <c r="D89" s="1842"/>
      <c r="E89" s="1538">
        <f t="shared" si="2"/>
        <v>0</v>
      </c>
      <c r="F89" s="1935">
        <f t="shared" si="6"/>
        <v>0</v>
      </c>
      <c r="G89" s="1791">
        <f t="shared" si="3"/>
        <v>0</v>
      </c>
    </row>
    <row r="90" spans="1:7" x14ac:dyDescent="0.25">
      <c r="A90" s="1651"/>
      <c r="B90" s="1665"/>
      <c r="C90" s="1652"/>
      <c r="D90" s="1842"/>
      <c r="E90" s="1538">
        <f t="shared" si="2"/>
        <v>0</v>
      </c>
      <c r="F90" s="1935">
        <f t="shared" si="6"/>
        <v>0</v>
      </c>
      <c r="G90" s="1791">
        <f t="shared" si="3"/>
        <v>0</v>
      </c>
    </row>
    <row r="91" spans="1:7" x14ac:dyDescent="0.25">
      <c r="A91" s="1651"/>
      <c r="B91" s="1665"/>
      <c r="C91" s="1652"/>
      <c r="D91" s="1842"/>
      <c r="E91" s="1538">
        <f t="shared" si="2"/>
        <v>0</v>
      </c>
      <c r="F91" s="1935">
        <f t="shared" si="6"/>
        <v>0</v>
      </c>
      <c r="G91" s="1791">
        <f t="shared" si="3"/>
        <v>0</v>
      </c>
    </row>
    <row r="92" spans="1:7" x14ac:dyDescent="0.25">
      <c r="A92" s="1651"/>
      <c r="B92" s="1665"/>
      <c r="C92" s="1652"/>
      <c r="D92" s="1842"/>
      <c r="E92" s="1538">
        <f t="shared" si="2"/>
        <v>0</v>
      </c>
      <c r="F92" s="1935">
        <f t="shared" si="6"/>
        <v>0</v>
      </c>
      <c r="G92" s="1791">
        <f t="shared" si="3"/>
        <v>0</v>
      </c>
    </row>
    <row r="93" spans="1:7" x14ac:dyDescent="0.25">
      <c r="A93" s="1651"/>
      <c r="B93" s="1665"/>
      <c r="C93" s="1652"/>
      <c r="D93" s="1842"/>
      <c r="E93" s="1538">
        <f t="shared" si="2"/>
        <v>0</v>
      </c>
      <c r="F93" s="1935">
        <f t="shared" si="6"/>
        <v>0</v>
      </c>
      <c r="G93" s="1791">
        <f t="shared" si="3"/>
        <v>0</v>
      </c>
    </row>
    <row r="94" spans="1:7" x14ac:dyDescent="0.25">
      <c r="A94" s="1651"/>
      <c r="B94" s="1665"/>
      <c r="C94" s="1652"/>
      <c r="D94" s="1842"/>
      <c r="E94" s="1538">
        <f t="shared" ref="E94" si="7">IF(D94&lt;=25000,D94,IF(D94&gt;25000,25000,0))</f>
        <v>0</v>
      </c>
      <c r="F94" s="1935">
        <f t="shared" si="6"/>
        <v>0</v>
      </c>
      <c r="G94" s="1791">
        <f t="shared" ref="G94" si="8">IF(F94=0,0,D94-F94)</f>
        <v>0</v>
      </c>
    </row>
    <row r="95" spans="1:7" x14ac:dyDescent="0.25">
      <c r="A95" s="1651"/>
      <c r="B95" s="1665"/>
      <c r="C95" s="1652"/>
      <c r="D95" s="1842"/>
      <c r="E95" s="1538">
        <f t="shared" si="2"/>
        <v>0</v>
      </c>
      <c r="F95" s="1935">
        <f t="shared" si="6"/>
        <v>0</v>
      </c>
      <c r="G95" s="1791">
        <f t="shared" si="3"/>
        <v>0</v>
      </c>
    </row>
    <row r="96" spans="1:7" x14ac:dyDescent="0.25">
      <c r="A96" s="1651"/>
      <c r="B96" s="1665"/>
      <c r="C96" s="1652"/>
      <c r="D96" s="1842"/>
      <c r="E96" s="1538">
        <f t="shared" ref="E96:E99" si="9">IF(D96&lt;=25000,D96,IF(D96&gt;25000,25000,0))</f>
        <v>0</v>
      </c>
      <c r="F96" s="1935">
        <f t="shared" si="6"/>
        <v>0</v>
      </c>
      <c r="G96" s="1791">
        <f t="shared" ref="G96:G99" si="10">IF(F96=0,0,D96-F96)</f>
        <v>0</v>
      </c>
    </row>
    <row r="97" spans="1:7" x14ac:dyDescent="0.25">
      <c r="A97" s="1651"/>
      <c r="B97" s="1665"/>
      <c r="C97" s="1652"/>
      <c r="D97" s="1842"/>
      <c r="E97" s="1538">
        <f t="shared" si="9"/>
        <v>0</v>
      </c>
      <c r="F97" s="1935">
        <f t="shared" si="6"/>
        <v>0</v>
      </c>
      <c r="G97" s="1791">
        <f t="shared" si="10"/>
        <v>0</v>
      </c>
    </row>
    <row r="98" spans="1:7" x14ac:dyDescent="0.25">
      <c r="A98" s="1651"/>
      <c r="B98" s="1665"/>
      <c r="C98" s="1652"/>
      <c r="D98" s="1842"/>
      <c r="E98" s="1538">
        <f t="shared" si="9"/>
        <v>0</v>
      </c>
      <c r="F98" s="1935">
        <f t="shared" si="6"/>
        <v>0</v>
      </c>
      <c r="G98" s="1791">
        <f t="shared" si="10"/>
        <v>0</v>
      </c>
    </row>
    <row r="99" spans="1:7" x14ac:dyDescent="0.25">
      <c r="A99" s="1651"/>
      <c r="B99" s="1665"/>
      <c r="C99" s="1652"/>
      <c r="D99" s="1842"/>
      <c r="E99" s="1538">
        <f t="shared" si="9"/>
        <v>0</v>
      </c>
      <c r="F99" s="1935">
        <f t="shared" si="6"/>
        <v>0</v>
      </c>
      <c r="G99" s="1791">
        <f t="shared" si="10"/>
        <v>0</v>
      </c>
    </row>
    <row r="100" spans="1:7" x14ac:dyDescent="0.25">
      <c r="A100" s="1651"/>
      <c r="B100" s="1665"/>
      <c r="C100" s="1652"/>
      <c r="D100" s="1842"/>
      <c r="E100" s="1538">
        <f t="shared" ref="E100" si="11">IF(D100&lt;=25000,D100,IF(D100&gt;25000,25000,0))</f>
        <v>0</v>
      </c>
      <c r="F100" s="1935">
        <f t="shared" si="6"/>
        <v>0</v>
      </c>
      <c r="G100" s="1791">
        <f t="shared" ref="G100" si="12">IF(F100=0,0,D100-F100)</f>
        <v>0</v>
      </c>
    </row>
    <row r="101" spans="1:7" x14ac:dyDescent="0.25">
      <c r="A101" s="1651"/>
      <c r="B101" s="1665"/>
      <c r="C101" s="1652"/>
      <c r="D101" s="1842"/>
      <c r="E101" s="1538">
        <f t="shared" ref="E101:E113" si="13">IF(D101&lt;=25000,D101,IF(D101&gt;25000,25000,0))</f>
        <v>0</v>
      </c>
      <c r="F101" s="1935">
        <f t="shared" si="6"/>
        <v>0</v>
      </c>
      <c r="G101" s="1791">
        <f t="shared" ref="G101:G113" si="14">IF(F101=0,0,D101-F101)</f>
        <v>0</v>
      </c>
    </row>
    <row r="102" spans="1:7" x14ac:dyDescent="0.25">
      <c r="A102" s="1651"/>
      <c r="B102" s="1665"/>
      <c r="C102" s="1652"/>
      <c r="D102" s="1842"/>
      <c r="E102" s="1538">
        <f t="shared" si="13"/>
        <v>0</v>
      </c>
      <c r="F102" s="1935">
        <f t="shared" si="6"/>
        <v>0</v>
      </c>
      <c r="G102" s="1791">
        <f t="shared" si="14"/>
        <v>0</v>
      </c>
    </row>
    <row r="103" spans="1:7" x14ac:dyDescent="0.25">
      <c r="A103" s="1651"/>
      <c r="B103" s="1665"/>
      <c r="C103" s="1652"/>
      <c r="D103" s="1842"/>
      <c r="E103" s="1538">
        <f t="shared" si="13"/>
        <v>0</v>
      </c>
      <c r="F103" s="1935">
        <f t="shared" si="6"/>
        <v>0</v>
      </c>
      <c r="G103" s="1791">
        <f t="shared" si="14"/>
        <v>0</v>
      </c>
    </row>
    <row r="104" spans="1:7" x14ac:dyDescent="0.25">
      <c r="A104" s="1651"/>
      <c r="B104" s="1665"/>
      <c r="C104" s="1652"/>
      <c r="D104" s="1842"/>
      <c r="E104" s="1538">
        <f t="shared" si="13"/>
        <v>0</v>
      </c>
      <c r="F104" s="1935">
        <f t="shared" si="6"/>
        <v>0</v>
      </c>
      <c r="G104" s="1791">
        <f t="shared" si="14"/>
        <v>0</v>
      </c>
    </row>
    <row r="105" spans="1:7" x14ac:dyDescent="0.25">
      <c r="A105" s="1651"/>
      <c r="B105" s="1665"/>
      <c r="C105" s="1652"/>
      <c r="D105" s="1842"/>
      <c r="E105" s="1538">
        <f t="shared" si="13"/>
        <v>0</v>
      </c>
      <c r="F105" s="1935">
        <f t="shared" si="6"/>
        <v>0</v>
      </c>
      <c r="G105" s="1791">
        <f t="shared" si="14"/>
        <v>0</v>
      </c>
    </row>
    <row r="106" spans="1:7" x14ac:dyDescent="0.25">
      <c r="A106" s="1651"/>
      <c r="B106" s="1665"/>
      <c r="C106" s="1652"/>
      <c r="D106" s="1842"/>
      <c r="E106" s="1538">
        <f t="shared" si="13"/>
        <v>0</v>
      </c>
      <c r="F106" s="1935">
        <f t="shared" si="6"/>
        <v>0</v>
      </c>
      <c r="G106" s="1791">
        <f t="shared" si="14"/>
        <v>0</v>
      </c>
    </row>
    <row r="107" spans="1:7" x14ac:dyDescent="0.25">
      <c r="A107" s="1651"/>
      <c r="B107" s="1665"/>
      <c r="C107" s="1652"/>
      <c r="D107" s="1842"/>
      <c r="E107" s="1538">
        <f t="shared" si="13"/>
        <v>0</v>
      </c>
      <c r="F107" s="1935">
        <f t="shared" si="6"/>
        <v>0</v>
      </c>
      <c r="G107" s="1791">
        <f t="shared" si="14"/>
        <v>0</v>
      </c>
    </row>
    <row r="108" spans="1:7" x14ac:dyDescent="0.25">
      <c r="A108" s="1651"/>
      <c r="B108" s="1665"/>
      <c r="C108" s="1652"/>
      <c r="D108" s="1842"/>
      <c r="E108" s="1538">
        <f t="shared" si="13"/>
        <v>0</v>
      </c>
      <c r="F108" s="1935">
        <f t="shared" si="6"/>
        <v>0</v>
      </c>
      <c r="G108" s="1791">
        <f t="shared" si="14"/>
        <v>0</v>
      </c>
    </row>
    <row r="109" spans="1:7" x14ac:dyDescent="0.25">
      <c r="A109" s="1651"/>
      <c r="B109" s="1665"/>
      <c r="C109" s="1652"/>
      <c r="D109" s="1842"/>
      <c r="E109" s="1538">
        <f t="shared" si="13"/>
        <v>0</v>
      </c>
      <c r="F109" s="1935">
        <f t="shared" si="6"/>
        <v>0</v>
      </c>
      <c r="G109" s="1791">
        <f t="shared" si="14"/>
        <v>0</v>
      </c>
    </row>
    <row r="110" spans="1:7" x14ac:dyDescent="0.25">
      <c r="A110" s="1651"/>
      <c r="B110" s="1665"/>
      <c r="C110" s="1652"/>
      <c r="D110" s="1842"/>
      <c r="E110" s="1538">
        <f t="shared" si="13"/>
        <v>0</v>
      </c>
      <c r="F110" s="1935">
        <f t="shared" si="6"/>
        <v>0</v>
      </c>
      <c r="G110" s="1791">
        <f t="shared" si="14"/>
        <v>0</v>
      </c>
    </row>
    <row r="111" spans="1:7" x14ac:dyDescent="0.25">
      <c r="A111" s="1651"/>
      <c r="B111" s="1665"/>
      <c r="C111" s="1652"/>
      <c r="D111" s="1842"/>
      <c r="E111" s="1538">
        <f t="shared" si="13"/>
        <v>0</v>
      </c>
      <c r="F111" s="1935">
        <f t="shared" si="6"/>
        <v>0</v>
      </c>
      <c r="G111" s="1791">
        <f t="shared" si="14"/>
        <v>0</v>
      </c>
    </row>
    <row r="112" spans="1:7" x14ac:dyDescent="0.25">
      <c r="A112" s="1651"/>
      <c r="B112" s="1665"/>
      <c r="C112" s="1652"/>
      <c r="D112" s="1842"/>
      <c r="E112" s="1538">
        <f t="shared" si="13"/>
        <v>0</v>
      </c>
      <c r="F112" s="1935">
        <f t="shared" si="6"/>
        <v>0</v>
      </c>
      <c r="G112" s="1791">
        <f t="shared" si="14"/>
        <v>0</v>
      </c>
    </row>
    <row r="113" spans="1:7" x14ac:dyDescent="0.25">
      <c r="A113" s="1651"/>
      <c r="B113" s="1665"/>
      <c r="C113" s="1652"/>
      <c r="D113" s="1842"/>
      <c r="E113" s="1538">
        <f t="shared" si="13"/>
        <v>0</v>
      </c>
      <c r="F113" s="1935">
        <f t="shared" si="6"/>
        <v>0</v>
      </c>
      <c r="G113" s="1791">
        <f t="shared" si="14"/>
        <v>0</v>
      </c>
    </row>
    <row r="114" spans="1:7" x14ac:dyDescent="0.25">
      <c r="A114" s="1651"/>
      <c r="B114" s="1665"/>
      <c r="C114" s="1652"/>
      <c r="D114" s="1842"/>
      <c r="E114" s="1538">
        <f t="shared" ref="E114:E126" si="15">IF(D114&lt;=25000,D114,IF(D114&gt;25000,25000,0))</f>
        <v>0</v>
      </c>
      <c r="F114" s="1935">
        <f t="shared" si="6"/>
        <v>0</v>
      </c>
      <c r="G114" s="1791">
        <f t="shared" ref="G114:G126" si="16">IF(F114=0,0,D114-F114)</f>
        <v>0</v>
      </c>
    </row>
    <row r="115" spans="1:7" x14ac:dyDescent="0.25">
      <c r="A115" s="1651"/>
      <c r="B115" s="1665"/>
      <c r="C115" s="1652"/>
      <c r="D115" s="1842"/>
      <c r="E115" s="1538">
        <f t="shared" si="15"/>
        <v>0</v>
      </c>
      <c r="F115" s="1935">
        <f t="shared" si="6"/>
        <v>0</v>
      </c>
      <c r="G115" s="1791">
        <f t="shared" si="16"/>
        <v>0</v>
      </c>
    </row>
    <row r="116" spans="1:7" x14ac:dyDescent="0.25">
      <c r="A116" s="1651"/>
      <c r="B116" s="1665"/>
      <c r="C116" s="1652"/>
      <c r="D116" s="1842"/>
      <c r="E116" s="1538">
        <f t="shared" si="15"/>
        <v>0</v>
      </c>
      <c r="F116" s="1935">
        <f t="shared" si="6"/>
        <v>0</v>
      </c>
      <c r="G116" s="1791">
        <f t="shared" si="16"/>
        <v>0</v>
      </c>
    </row>
    <row r="117" spans="1:7" x14ac:dyDescent="0.25">
      <c r="A117" s="1651"/>
      <c r="B117" s="1665"/>
      <c r="C117" s="1652"/>
      <c r="D117" s="1842"/>
      <c r="E117" s="1538">
        <f t="shared" si="15"/>
        <v>0</v>
      </c>
      <c r="F117" s="1935">
        <f t="shared" si="6"/>
        <v>0</v>
      </c>
      <c r="G117" s="1791">
        <f t="shared" si="16"/>
        <v>0</v>
      </c>
    </row>
    <row r="118" spans="1:7" x14ac:dyDescent="0.25">
      <c r="A118" s="1651"/>
      <c r="B118" s="1665"/>
      <c r="C118" s="1652"/>
      <c r="D118" s="1842"/>
      <c r="E118" s="1538">
        <f t="shared" si="15"/>
        <v>0</v>
      </c>
      <c r="F118" s="1935">
        <f t="shared" si="6"/>
        <v>0</v>
      </c>
      <c r="G118" s="1791">
        <f t="shared" si="16"/>
        <v>0</v>
      </c>
    </row>
    <row r="119" spans="1:7" x14ac:dyDescent="0.25">
      <c r="A119" s="1651"/>
      <c r="B119" s="1665"/>
      <c r="C119" s="1652"/>
      <c r="D119" s="1842"/>
      <c r="E119" s="1538">
        <f t="shared" si="15"/>
        <v>0</v>
      </c>
      <c r="F119" s="1935">
        <f t="shared" si="6"/>
        <v>0</v>
      </c>
      <c r="G119" s="1791">
        <f t="shared" si="16"/>
        <v>0</v>
      </c>
    </row>
    <row r="120" spans="1:7" x14ac:dyDescent="0.25">
      <c r="A120" s="1651"/>
      <c r="B120" s="1665"/>
      <c r="C120" s="1652"/>
      <c r="D120" s="1842"/>
      <c r="E120" s="1538">
        <f t="shared" si="15"/>
        <v>0</v>
      </c>
      <c r="F120" s="1935">
        <f t="shared" si="6"/>
        <v>0</v>
      </c>
      <c r="G120" s="1791">
        <f t="shared" si="16"/>
        <v>0</v>
      </c>
    </row>
    <row r="121" spans="1:7" x14ac:dyDescent="0.25">
      <c r="A121" s="1651"/>
      <c r="B121" s="1665"/>
      <c r="C121" s="1652"/>
      <c r="D121" s="1842"/>
      <c r="E121" s="1538">
        <f t="shared" si="15"/>
        <v>0</v>
      </c>
      <c r="F121" s="1935">
        <f t="shared" si="6"/>
        <v>0</v>
      </c>
      <c r="G121" s="1791">
        <f t="shared" si="16"/>
        <v>0</v>
      </c>
    </row>
    <row r="122" spans="1:7" x14ac:dyDescent="0.25">
      <c r="A122" s="1651"/>
      <c r="B122" s="1665"/>
      <c r="C122" s="1652"/>
      <c r="D122" s="1842"/>
      <c r="E122" s="1538">
        <f t="shared" si="15"/>
        <v>0</v>
      </c>
      <c r="F122" s="1935">
        <f t="shared" si="6"/>
        <v>0</v>
      </c>
      <c r="G122" s="1791">
        <f t="shared" si="16"/>
        <v>0</v>
      </c>
    </row>
    <row r="123" spans="1:7" x14ac:dyDescent="0.25">
      <c r="A123" s="1651"/>
      <c r="B123" s="1665"/>
      <c r="C123" s="1652"/>
      <c r="D123" s="1842"/>
      <c r="E123" s="1538">
        <f t="shared" si="15"/>
        <v>0</v>
      </c>
      <c r="F123" s="1935">
        <f t="shared" si="6"/>
        <v>0</v>
      </c>
      <c r="G123" s="1791">
        <f t="shared" si="16"/>
        <v>0</v>
      </c>
    </row>
    <row r="124" spans="1:7" x14ac:dyDescent="0.25">
      <c r="A124" s="1651"/>
      <c r="B124" s="1665"/>
      <c r="C124" s="1652"/>
      <c r="D124" s="1842"/>
      <c r="E124" s="1538">
        <f t="shared" si="15"/>
        <v>0</v>
      </c>
      <c r="F124" s="1935">
        <f t="shared" si="6"/>
        <v>0</v>
      </c>
      <c r="G124" s="1791">
        <f t="shared" si="16"/>
        <v>0</v>
      </c>
    </row>
    <row r="125" spans="1:7" x14ac:dyDescent="0.25">
      <c r="A125" s="1651"/>
      <c r="B125" s="1665"/>
      <c r="C125" s="1652"/>
      <c r="D125" s="1842"/>
      <c r="E125" s="1538">
        <f t="shared" si="15"/>
        <v>0</v>
      </c>
      <c r="F125" s="1935">
        <f t="shared" si="6"/>
        <v>0</v>
      </c>
      <c r="G125" s="1791">
        <f t="shared" si="16"/>
        <v>0</v>
      </c>
    </row>
    <row r="126" spans="1:7" x14ac:dyDescent="0.25">
      <c r="A126" s="1651"/>
      <c r="B126" s="1665"/>
      <c r="C126" s="1652"/>
      <c r="D126" s="1842"/>
      <c r="E126" s="1538">
        <f t="shared" si="15"/>
        <v>0</v>
      </c>
      <c r="F126" s="1935">
        <f t="shared" si="6"/>
        <v>0</v>
      </c>
      <c r="G126" s="1791">
        <f t="shared" si="16"/>
        <v>0</v>
      </c>
    </row>
    <row r="127" spans="1:7" x14ac:dyDescent="0.25">
      <c r="A127" s="1651"/>
      <c r="B127" s="1665"/>
      <c r="C127" s="1652"/>
      <c r="D127" s="1842"/>
      <c r="E127" s="1538">
        <f t="shared" ref="E127:E135" si="17">IF(D127&lt;=25000,D127,IF(D127&gt;25000,25000,0))</f>
        <v>0</v>
      </c>
      <c r="F127" s="1935">
        <f t="shared" si="6"/>
        <v>0</v>
      </c>
      <c r="G127" s="1791">
        <f t="shared" ref="G127:G135" si="18">IF(F127=0,0,D127-F127)</f>
        <v>0</v>
      </c>
    </row>
    <row r="128" spans="1:7" x14ac:dyDescent="0.25">
      <c r="A128" s="1651"/>
      <c r="B128" s="1665"/>
      <c r="C128" s="1652"/>
      <c r="D128" s="1842"/>
      <c r="E128" s="1538">
        <f t="shared" si="17"/>
        <v>0</v>
      </c>
      <c r="F128" s="1935">
        <f t="shared" si="6"/>
        <v>0</v>
      </c>
      <c r="G128" s="1791">
        <f t="shared" si="18"/>
        <v>0</v>
      </c>
    </row>
    <row r="129" spans="1:7" x14ac:dyDescent="0.25">
      <c r="A129" s="1651"/>
      <c r="B129" s="1665"/>
      <c r="C129" s="1652"/>
      <c r="D129" s="1842"/>
      <c r="E129" s="1538">
        <f t="shared" si="17"/>
        <v>0</v>
      </c>
      <c r="F129" s="1935">
        <f t="shared" si="6"/>
        <v>0</v>
      </c>
      <c r="G129" s="1791">
        <f t="shared" si="18"/>
        <v>0</v>
      </c>
    </row>
    <row r="130" spans="1:7" x14ac:dyDescent="0.25">
      <c r="A130" s="1651"/>
      <c r="B130" s="1665"/>
      <c r="C130" s="1652"/>
      <c r="D130" s="1842"/>
      <c r="E130" s="1538">
        <f t="shared" si="17"/>
        <v>0</v>
      </c>
      <c r="F130" s="1935">
        <f t="shared" si="6"/>
        <v>0</v>
      </c>
      <c r="G130" s="1791">
        <f t="shared" si="18"/>
        <v>0</v>
      </c>
    </row>
    <row r="131" spans="1:7" x14ac:dyDescent="0.25">
      <c r="A131" s="1651"/>
      <c r="B131" s="1665"/>
      <c r="C131" s="1652"/>
      <c r="D131" s="1842"/>
      <c r="E131" s="1538">
        <f t="shared" si="17"/>
        <v>0</v>
      </c>
      <c r="F131" s="1935">
        <f t="shared" si="6"/>
        <v>0</v>
      </c>
      <c r="G131" s="1791">
        <f t="shared" si="18"/>
        <v>0</v>
      </c>
    </row>
    <row r="132" spans="1:7" x14ac:dyDescent="0.25">
      <c r="A132" s="1651"/>
      <c r="B132" s="1835"/>
      <c r="C132" s="1652"/>
      <c r="D132" s="1842"/>
      <c r="E132" s="1538">
        <f t="shared" si="17"/>
        <v>0</v>
      </c>
      <c r="F132" s="1935">
        <f t="shared" si="6"/>
        <v>0</v>
      </c>
      <c r="G132" s="1791">
        <f t="shared" si="18"/>
        <v>0</v>
      </c>
    </row>
    <row r="133" spans="1:7" x14ac:dyDescent="0.25">
      <c r="A133" s="1651"/>
      <c r="B133" s="1835"/>
      <c r="C133" s="1652"/>
      <c r="D133" s="1842"/>
      <c r="E133" s="1538">
        <f t="shared" si="17"/>
        <v>0</v>
      </c>
      <c r="F133" s="1935">
        <f t="shared" si="6"/>
        <v>0</v>
      </c>
      <c r="G133" s="1791">
        <f t="shared" si="18"/>
        <v>0</v>
      </c>
    </row>
    <row r="134" spans="1:7" x14ac:dyDescent="0.25">
      <c r="A134" s="1651"/>
      <c r="B134" s="1665"/>
      <c r="C134" s="1652"/>
      <c r="D134" s="1842"/>
      <c r="E134" s="1538">
        <f t="shared" si="17"/>
        <v>0</v>
      </c>
      <c r="F134" s="1935">
        <f t="shared" si="6"/>
        <v>0</v>
      </c>
      <c r="G134" s="1791">
        <f t="shared" si="18"/>
        <v>0</v>
      </c>
    </row>
    <row r="135" spans="1:7" x14ac:dyDescent="0.25">
      <c r="A135" s="1651"/>
      <c r="B135" s="1665"/>
      <c r="C135" s="1652"/>
      <c r="D135" s="1842"/>
      <c r="E135" s="1538">
        <f t="shared" si="17"/>
        <v>0</v>
      </c>
      <c r="F135" s="1935">
        <f t="shared" si="6"/>
        <v>0</v>
      </c>
      <c r="G135" s="1791">
        <f t="shared" si="18"/>
        <v>0</v>
      </c>
    </row>
    <row r="136" spans="1:7" x14ac:dyDescent="0.25">
      <c r="A136" s="1651"/>
      <c r="B136" s="1665"/>
      <c r="C136" s="1652"/>
      <c r="D136" s="1842"/>
      <c r="E136" s="1538">
        <f t="shared" ref="E136:E140" si="19">IF(D136&lt;=25000,D136,IF(D136&gt;25000,25000,0))</f>
        <v>0</v>
      </c>
      <c r="F136" s="1935">
        <f t="shared" si="6"/>
        <v>0</v>
      </c>
      <c r="G136" s="1791">
        <f t="shared" ref="G136:G140" si="20">IF(F136=0,0,D136-F136)</f>
        <v>0</v>
      </c>
    </row>
    <row r="137" spans="1:7" x14ac:dyDescent="0.25">
      <c r="A137" s="1651"/>
      <c r="B137" s="1665"/>
      <c r="C137" s="1652"/>
      <c r="D137" s="1842"/>
      <c r="E137" s="1538">
        <f t="shared" si="19"/>
        <v>0</v>
      </c>
      <c r="F137" s="1935">
        <f t="shared" si="6"/>
        <v>0</v>
      </c>
      <c r="G137" s="1791">
        <f t="shared" si="20"/>
        <v>0</v>
      </c>
    </row>
    <row r="138" spans="1:7" x14ac:dyDescent="0.25">
      <c r="A138" s="1651"/>
      <c r="B138" s="1665"/>
      <c r="C138" s="1652"/>
      <c r="D138" s="1842"/>
      <c r="E138" s="1538">
        <f t="shared" si="19"/>
        <v>0</v>
      </c>
      <c r="F138" s="1935">
        <f t="shared" si="6"/>
        <v>0</v>
      </c>
      <c r="G138" s="1791">
        <f t="shared" si="20"/>
        <v>0</v>
      </c>
    </row>
    <row r="139" spans="1:7" x14ac:dyDescent="0.25">
      <c r="A139" s="1651"/>
      <c r="B139" s="1665"/>
      <c r="C139" s="1652"/>
      <c r="D139" s="1842"/>
      <c r="E139" s="1538">
        <f t="shared" si="19"/>
        <v>0</v>
      </c>
      <c r="F139" s="1935">
        <f t="shared" si="6"/>
        <v>0</v>
      </c>
      <c r="G139" s="1791">
        <f t="shared" si="20"/>
        <v>0</v>
      </c>
    </row>
    <row r="140" spans="1:7" x14ac:dyDescent="0.25">
      <c r="A140" s="1651"/>
      <c r="B140" s="1665"/>
      <c r="C140" s="1652"/>
      <c r="D140" s="1842"/>
      <c r="E140" s="1538">
        <f t="shared" si="19"/>
        <v>0</v>
      </c>
      <c r="F140" s="1935">
        <f t="shared" si="6"/>
        <v>0</v>
      </c>
      <c r="G140" s="1791">
        <f t="shared" si="20"/>
        <v>0</v>
      </c>
    </row>
    <row r="141" spans="1:7" x14ac:dyDescent="0.25">
      <c r="A141" s="1651"/>
      <c r="B141" s="1664"/>
      <c r="C141" s="1652"/>
      <c r="D141" s="1842"/>
      <c r="E141" s="1538">
        <f t="shared" si="2"/>
        <v>0</v>
      </c>
      <c r="F141" s="1935">
        <f t="shared" si="6"/>
        <v>0</v>
      </c>
      <c r="G141" s="1791">
        <f t="shared" si="3"/>
        <v>0</v>
      </c>
    </row>
    <row r="142" spans="1:7" x14ac:dyDescent="0.25">
      <c r="A142" s="1794" t="s">
        <v>156</v>
      </c>
      <c r="B142" s="1795"/>
      <c r="C142" s="1796"/>
      <c r="D142" s="1792">
        <f>SUM(D18:D141)</f>
        <v>3051456</v>
      </c>
      <c r="E142" s="1539">
        <f t="shared" si="0"/>
        <v>25000</v>
      </c>
      <c r="F142" s="1930">
        <f>SUM(F18:F141)</f>
        <v>355255</v>
      </c>
      <c r="G142" s="1793">
        <f>SUM(G18:G141)</f>
        <v>2696201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23" t="s">
        <v>1679</v>
      </c>
      <c r="B5" s="2324"/>
      <c r="C5" s="2324"/>
      <c r="D5" s="2324"/>
      <c r="E5" s="2324"/>
      <c r="F5" s="2324"/>
      <c r="G5" s="2325"/>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328" t="s">
        <v>1973</v>
      </c>
      <c r="B11" s="2329"/>
      <c r="C11" s="2329"/>
      <c r="D11" s="2330"/>
      <c r="E11" s="977">
        <v>300388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137061321</v>
      </c>
      <c r="F19" s="1797"/>
      <c r="G19" s="1799">
        <f>'Expenditures 15-22'!K33-SUM('Expenditures 15-22'!G33,'Expenditures 15-22'!I33)+'Expenditures 15-22'!D229</f>
        <v>137061321</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21654704</v>
      </c>
      <c r="F21" s="1800"/>
      <c r="G21" s="1803">
        <f>'Expenditures 15-22'!K42-SUM('Expenditures 15-22'!G42,'Expenditures 15-22'!I42)+'Expenditures 15-22'!K120-SUM('Expenditures 15-22'!G120,'Expenditures 15-22'!I120)+'Expenditures 15-22'!K180-SUM('Expenditures 15-22'!G180,'Expenditures 15-22'!I180)+'Expenditures 15-22'!D238</f>
        <v>21654704</v>
      </c>
      <c r="H21" s="987"/>
      <c r="I21" s="162"/>
    </row>
    <row r="22" spans="1:9" s="668" customFormat="1" ht="12" customHeight="1" x14ac:dyDescent="0.2">
      <c r="A22" s="994" t="s">
        <v>564</v>
      </c>
      <c r="B22" s="995"/>
      <c r="C22" s="993">
        <v>2200</v>
      </c>
      <c r="D22" s="1800"/>
      <c r="E22" s="1802">
        <f>'Expenditures 15-22'!K47-SUM('Expenditures 15-22'!G47,'Expenditures 15-22'!I47)+'Expenditures 15-22'!D243</f>
        <v>4755837</v>
      </c>
      <c r="F22" s="1800"/>
      <c r="G22" s="1803">
        <f>'Expenditures 15-22'!K47-SUM('Expenditures 15-22'!G47,'Expenditures 15-22'!I47)+'Expenditures 15-22'!D243</f>
        <v>4755837</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4098932</v>
      </c>
      <c r="F23" s="1800"/>
      <c r="G23" s="1802">
        <f>'Expenditures 15-22'!K53-SUM('Expenditures 15-22'!G53,'Expenditures 15-22'!I53)+'Expenditures 15-22'!D257+'Expenditures 15-22'!K330-SUM('Expenditures 15-22'!G330,'Expenditures 15-22'!I330)</f>
        <v>4098932</v>
      </c>
      <c r="H23" s="987"/>
      <c r="I23" s="162"/>
    </row>
    <row r="24" spans="1:9" s="668" customFormat="1" ht="12" customHeight="1" x14ac:dyDescent="0.2">
      <c r="A24" s="994" t="s">
        <v>566</v>
      </c>
      <c r="B24" s="995"/>
      <c r="C24" s="993">
        <v>2400</v>
      </c>
      <c r="D24" s="1800"/>
      <c r="E24" s="1802">
        <f>'Expenditures 15-22'!K57-SUM('Expenditures 15-22'!G57,'Expenditures 15-22'!I57)+'Expenditures 15-22'!D261</f>
        <v>11127530</v>
      </c>
      <c r="F24" s="1800"/>
      <c r="G24" s="1803">
        <f>'Expenditures 15-22'!K57-SUM('Expenditures 15-22'!G57,'Expenditures 15-22'!I57)+'Expenditures 15-22'!D261</f>
        <v>11127530</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292488</v>
      </c>
      <c r="E26" s="1802">
        <f>'Expenditures 15-22'!K122-SUM('Expenditures 15-22'!G122,'Expenditures 15-22'!I122)+E7</f>
        <v>0</v>
      </c>
      <c r="F26" s="1802">
        <f>'Expenditures 15-22'!K59-SUM('Expenditures 15-22'!G59,'Expenditures 15-22'!I59)+'Expenditures 15-22'!D263-E7</f>
        <v>292488</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1137251</v>
      </c>
      <c r="E27" s="1802">
        <f>E8</f>
        <v>0</v>
      </c>
      <c r="F27" s="1802">
        <f>'Expenditures 15-22'!K60-SUM('Expenditures 15-22'!G60,'Expenditures 15-22'!I60)+'Expenditures 15-22'!D264-E8</f>
        <v>1137251</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24443271</v>
      </c>
      <c r="F28" s="1804">
        <f>'Expenditures 15-22'!K61-SUM('Expenditures 15-22'!G61,'Expenditures 15-22'!I61)+'Expenditures 15-22'!K124-SUM('Expenditures 15-22'!G124,'Expenditures 15-22'!I124)+'Expenditures 15-22'!D266-E9</f>
        <v>24443271</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11696709</v>
      </c>
      <c r="F29" s="1800"/>
      <c r="G29" s="1803">
        <f>'Expenditures 15-22'!K62-SUM('Expenditures 15-22'!G62,'Expenditures 15-22'!I62)+'Expenditures 15-22'!K125-SUM('Expenditures 15-22'!G125,'Expenditures 15-22'!I125)+'Expenditures 15-22'!K182-SUM('Expenditures 15-22'!G182,'Expenditures 15-22'!I182)+'Expenditures 15-22'!D267</f>
        <v>11696709</v>
      </c>
      <c r="H29" s="985"/>
    </row>
    <row r="30" spans="1:9" ht="12" customHeight="1" x14ac:dyDescent="0.2">
      <c r="A30" s="994" t="s">
        <v>100</v>
      </c>
      <c r="B30" s="997"/>
      <c r="C30" s="993">
        <v>2560</v>
      </c>
      <c r="D30" s="1800"/>
      <c r="E30" s="1802">
        <f>'Expenditures 15-22'!K63-SUM('Expenditures 15-22'!G63,'Expenditures 15-22'!I63)+'Expenditures 15-22'!D268-E10</f>
        <v>6174893</v>
      </c>
      <c r="F30" s="1800"/>
      <c r="G30" s="1802">
        <f>'Expenditures 15-22'!K63-SUM('Expenditures 15-22'!G63,'Expenditures 15-22'!I63)+'Expenditures 15-22'!D268-E10</f>
        <v>6174893</v>
      </c>
    </row>
    <row r="31" spans="1:9" ht="12" customHeight="1" x14ac:dyDescent="0.2">
      <c r="A31" s="994" t="s">
        <v>101</v>
      </c>
      <c r="B31" s="997"/>
      <c r="C31" s="993">
        <v>2570</v>
      </c>
      <c r="D31" s="1802">
        <f>'Expenditures 15-22'!K64-SUM('Expenditures 15-22'!G64,'Expenditures 15-22'!I64)+'Expenditures 15-22'!D269-E12</f>
        <v>130206</v>
      </c>
      <c r="E31" s="1802">
        <f>E12</f>
        <v>0</v>
      </c>
      <c r="F31" s="1802">
        <f>'Expenditures 15-22'!K64-SUM('Expenditures 15-22'!G64,'Expenditures 15-22'!I64)+'Expenditures 15-22'!D269-E12</f>
        <v>130206</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616390</v>
      </c>
      <c r="F35" s="1800"/>
      <c r="G35" s="1802">
        <f>'Expenditures 15-22'!K69-SUM('Expenditures 15-22'!G69,'Expenditures 15-22'!I69)+'Expenditures 15-22'!D274</f>
        <v>616390</v>
      </c>
    </row>
    <row r="36" spans="1:7" ht="12" customHeight="1" x14ac:dyDescent="0.2">
      <c r="A36" s="994" t="s">
        <v>403</v>
      </c>
      <c r="B36" s="997"/>
      <c r="C36" s="993">
        <v>2640</v>
      </c>
      <c r="D36" s="1802">
        <f>'Expenditures 15-22'!K70-SUM('Expenditures 15-22'!G70,'Expenditures 15-22'!I70)+'Expenditures 15-22'!D275-E13</f>
        <v>711123</v>
      </c>
      <c r="E36" s="1802">
        <f>E13</f>
        <v>0</v>
      </c>
      <c r="F36" s="1802">
        <f>'Expenditures 15-22'!K70-SUM('Expenditures 15-22'!G70,'Expenditures 15-22'!I70)+'Expenditures 15-22'!D275-E13</f>
        <v>711123</v>
      </c>
      <c r="G36" s="1802">
        <f>E13</f>
        <v>0</v>
      </c>
    </row>
    <row r="37" spans="1:7" ht="12" customHeight="1" x14ac:dyDescent="0.2">
      <c r="A37" s="994" t="s">
        <v>404</v>
      </c>
      <c r="B37" s="997"/>
      <c r="C37" s="993">
        <v>2660</v>
      </c>
      <c r="D37" s="1802">
        <f>'Expenditures 15-22'!K71-SUM('Expenditures 15-22'!G71,'Expenditures 15-22'!I71)+'Expenditures 15-22'!D276-E14</f>
        <v>3686724</v>
      </c>
      <c r="E37" s="1802">
        <f>E14</f>
        <v>0</v>
      </c>
      <c r="F37" s="1802">
        <f>'Expenditures 15-22'!K71-SUM('Expenditures 15-22'!G71,'Expenditures 15-22'!I71)+'Expenditures 15-22'!D276-E14</f>
        <v>3686724</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201</v>
      </c>
      <c r="F38" s="1800"/>
      <c r="G38" s="1802">
        <f>'Expenditures 15-22'!K73-SUM('Expenditures 15-22'!G73,'Expenditures 15-22'!I73)+'Expenditures 15-22'!K128-SUM('Expenditures 15-22'!G128,'Expenditures 15-22'!I128)+'Expenditures 15-22'!K183-SUM('Expenditures 15-22'!G183,'Expenditures 15-22'!I183)+'Expenditures 15-22'!D278</f>
        <v>201</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11706</v>
      </c>
      <c r="F39" s="1800"/>
      <c r="G39" s="1802">
        <f>'Expenditures 15-22'!K75-SUM('Expenditures 15-22'!G75,'Expenditures 15-22'!I75)+'Expenditures 15-22'!K130-SUM('Expenditures 15-22'!G130,'Expenditures 15-22'!I130)+'Expenditures 15-22'!K185-SUM('Expenditures 15-22'!G185,'Expenditures 15-22'!I185)+'Expenditures 15-22'!D280</f>
        <v>11706</v>
      </c>
    </row>
    <row r="40" spans="1:7" ht="12" customHeight="1" x14ac:dyDescent="0.2">
      <c r="A40" s="990" t="s">
        <v>1821</v>
      </c>
      <c r="B40" s="991"/>
      <c r="C40" s="993"/>
      <c r="D40" s="1800"/>
      <c r="E40" s="1804">
        <f>-'Contracts Paid in CY 29'!G142</f>
        <v>-2696201</v>
      </c>
      <c r="F40" s="1800"/>
      <c r="G40" s="1804">
        <f>-'Contracts Paid in CY 29'!G142</f>
        <v>-2696201</v>
      </c>
    </row>
    <row r="41" spans="1:7" ht="12" customHeight="1" x14ac:dyDescent="0.2">
      <c r="A41" s="998" t="s">
        <v>156</v>
      </c>
      <c r="B41" s="999"/>
      <c r="C41" s="1000"/>
      <c r="D41" s="1804">
        <f>SUM(D19:D39)</f>
        <v>5957792</v>
      </c>
      <c r="E41" s="1804">
        <f>SUM(E19:E40)</f>
        <v>218945293</v>
      </c>
      <c r="F41" s="1804">
        <f>SUM(F19:F39)</f>
        <v>30401063</v>
      </c>
      <c r="G41" s="1804">
        <f>SUM(G19:G40)</f>
        <v>194502022</v>
      </c>
    </row>
    <row r="42" spans="1:7" x14ac:dyDescent="0.2">
      <c r="A42" s="987"/>
      <c r="B42" s="162"/>
      <c r="C42" s="1001"/>
      <c r="D42" s="2326" t="s">
        <v>522</v>
      </c>
      <c r="E42" s="2327"/>
      <c r="F42" s="1002" t="s">
        <v>523</v>
      </c>
      <c r="G42" s="1003"/>
    </row>
    <row r="43" spans="1:7" ht="12" customHeight="1" x14ac:dyDescent="0.2">
      <c r="A43" s="987"/>
      <c r="B43" s="162"/>
      <c r="C43" s="1001"/>
      <c r="D43" s="1805" t="s">
        <v>473</v>
      </c>
      <c r="E43" s="1806">
        <f>D41</f>
        <v>5957792</v>
      </c>
      <c r="F43" s="1805" t="s">
        <v>473</v>
      </c>
      <c r="G43" s="1806">
        <f>F41</f>
        <v>30401063</v>
      </c>
    </row>
    <row r="44" spans="1:7" ht="12" customHeight="1" x14ac:dyDescent="0.2">
      <c r="A44" s="987"/>
      <c r="B44" s="162"/>
      <c r="C44" s="1001"/>
      <c r="D44" s="1805" t="s">
        <v>474</v>
      </c>
      <c r="E44" s="1806">
        <f>E41</f>
        <v>218945293</v>
      </c>
      <c r="F44" s="1805" t="s">
        <v>474</v>
      </c>
      <c r="G44" s="1806">
        <f>G41</f>
        <v>194502022</v>
      </c>
    </row>
    <row r="45" spans="1:7" ht="12" customHeight="1" x14ac:dyDescent="0.2">
      <c r="A45" s="987"/>
      <c r="B45" s="162"/>
      <c r="C45" s="162"/>
      <c r="D45" s="1807" t="s">
        <v>1006</v>
      </c>
      <c r="E45" s="1808">
        <f>(E43/E44)</f>
        <v>2.7211327169294294E-2</v>
      </c>
      <c r="F45" s="1807" t="s">
        <v>1006</v>
      </c>
      <c r="G45" s="1808">
        <f>(G43/G44)</f>
        <v>0.15630204091143074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33" sqref="C33"/>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45" t="s">
        <v>1379</v>
      </c>
      <c r="B1" s="2345"/>
      <c r="C1" s="2345"/>
      <c r="D1" s="2345"/>
      <c r="E1" s="2345"/>
      <c r="F1" s="2345"/>
    </row>
    <row r="2" spans="1:10" x14ac:dyDescent="0.2">
      <c r="A2" s="1885" t="s">
        <v>1909</v>
      </c>
      <c r="B2" s="1846"/>
      <c r="C2" s="1885"/>
      <c r="D2" s="1846"/>
      <c r="E2" s="1846"/>
      <c r="F2" s="1847"/>
    </row>
    <row r="3" spans="1:10" x14ac:dyDescent="0.2">
      <c r="A3" s="1885" t="s">
        <v>1974</v>
      </c>
      <c r="B3" s="1846"/>
      <c r="C3" s="1885"/>
      <c r="D3" s="1846"/>
      <c r="E3" s="1846"/>
      <c r="F3" s="1847"/>
    </row>
    <row r="4" spans="1:10" ht="3.75" customHeight="1" x14ac:dyDescent="0.2">
      <c r="A4" s="1846"/>
      <c r="B4" s="1846"/>
      <c r="C4" s="1846"/>
      <c r="D4" s="1846"/>
      <c r="E4" s="1846"/>
      <c r="F4" s="1847"/>
    </row>
    <row r="5" spans="1:10" ht="15" x14ac:dyDescent="0.25">
      <c r="A5" s="2346" t="s">
        <v>1546</v>
      </c>
      <c r="B5" s="2347"/>
      <c r="C5" s="2348"/>
      <c r="D5" s="2348"/>
      <c r="E5" s="2348"/>
      <c r="F5" s="2348"/>
    </row>
    <row r="6" spans="1:10" ht="12" customHeight="1" x14ac:dyDescent="0.25">
      <c r="A6" s="1848"/>
      <c r="B6" s="1849"/>
      <c r="C6" s="2349" t="str">
        <f>COVER!A17</f>
        <v>Township HSD 211</v>
      </c>
      <c r="D6" s="2349"/>
      <c r="E6" s="2349"/>
      <c r="F6" s="1850"/>
    </row>
    <row r="7" spans="1:10" ht="11.25" customHeight="1" thickBot="1" x14ac:dyDescent="0.3">
      <c r="A7" s="1848"/>
      <c r="B7" s="1849"/>
      <c r="C7" s="2350">
        <f>COVER!A13</f>
        <v>5016211017</v>
      </c>
      <c r="D7" s="2350"/>
      <c r="E7" s="2350"/>
      <c r="F7" s="1850"/>
    </row>
    <row r="8" spans="1:10" ht="25.5" customHeight="1" thickBot="1" x14ac:dyDescent="0.25">
      <c r="A8" s="1891" t="s">
        <v>1905</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t="s">
        <v>2063</v>
      </c>
      <c r="D19" s="1863" t="s">
        <v>2063</v>
      </c>
      <c r="E19" s="1866" t="s">
        <v>2063</v>
      </c>
      <c r="F19" s="1865" t="s">
        <v>2081</v>
      </c>
      <c r="H19" s="1876">
        <f t="shared" si="0"/>
        <v>5</v>
      </c>
      <c r="I19" s="1876">
        <f t="shared" si="1"/>
        <v>5</v>
      </c>
      <c r="J19" s="1876">
        <f t="shared" si="2"/>
        <v>5</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2063</v>
      </c>
      <c r="D26" s="1863" t="s">
        <v>2063</v>
      </c>
      <c r="E26" s="1866" t="s">
        <v>2063</v>
      </c>
      <c r="F26" s="1865" t="s">
        <v>2082</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t="s">
        <v>2063</v>
      </c>
      <c r="D28" s="1863" t="s">
        <v>2063</v>
      </c>
      <c r="E28" s="1866" t="s">
        <v>2063</v>
      </c>
      <c r="F28" s="1865" t="s">
        <v>2083</v>
      </c>
      <c r="H28" s="1876">
        <f t="shared" si="0"/>
        <v>5</v>
      </c>
      <c r="I28" s="1876">
        <f t="shared" si="1"/>
        <v>5</v>
      </c>
      <c r="J28" s="1876">
        <f t="shared" si="2"/>
        <v>5</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t="s">
        <v>2063</v>
      </c>
      <c r="D32" s="1863" t="s">
        <v>2063</v>
      </c>
      <c r="E32" s="1866" t="s">
        <v>2063</v>
      </c>
      <c r="F32" s="1865" t="s">
        <v>2084</v>
      </c>
      <c r="H32" s="1876">
        <f t="shared" si="0"/>
        <v>5</v>
      </c>
      <c r="I32" s="1876">
        <f t="shared" si="1"/>
        <v>5</v>
      </c>
      <c r="J32" s="1876">
        <f t="shared" si="2"/>
        <v>5</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20</v>
      </c>
      <c r="I34" s="1876">
        <f>SUM(I11:I32)</f>
        <v>20</v>
      </c>
      <c r="J34" s="1876">
        <f>SUM(J11:J32)</f>
        <v>20</v>
      </c>
      <c r="K34" s="1876">
        <f>SUM(H34:J34)</f>
        <v>60</v>
      </c>
    </row>
    <row r="35" spans="1:11" ht="12" customHeight="1" x14ac:dyDescent="0.2">
      <c r="A35" s="1869" t="s">
        <v>1392</v>
      </c>
      <c r="B35" s="1870"/>
      <c r="C35" s="2351"/>
      <c r="D35" s="2351"/>
      <c r="E35" s="2351"/>
      <c r="F35" s="2352"/>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37"/>
      <c r="B38" s="2338"/>
      <c r="C38" s="2338"/>
      <c r="D38" s="2338"/>
      <c r="E38" s="2338"/>
      <c r="F38" s="2339"/>
    </row>
    <row r="39" spans="1:11" ht="4.5" hidden="1" customHeight="1" x14ac:dyDescent="0.2">
      <c r="A39" s="1871"/>
      <c r="B39" s="1871"/>
      <c r="C39" s="1871"/>
      <c r="D39" s="1871"/>
      <c r="E39" s="1871"/>
      <c r="F39" s="1871"/>
    </row>
    <row r="40" spans="1:11" s="1868" customFormat="1" ht="12" customHeight="1" x14ac:dyDescent="0.25">
      <c r="A40" s="1872" t="s">
        <v>1391</v>
      </c>
      <c r="B40" s="1873"/>
      <c r="C40" s="2340"/>
      <c r="D40" s="2340"/>
      <c r="E40" s="2340"/>
      <c r="F40" s="2341"/>
      <c r="H40" s="1877"/>
      <c r="I40" s="1877"/>
      <c r="J40" s="1877"/>
      <c r="K40" s="1877"/>
    </row>
    <row r="41" spans="1:11" s="1868" customFormat="1" ht="12" customHeight="1" x14ac:dyDescent="0.25">
      <c r="A41" s="2342"/>
      <c r="B41" s="2343"/>
      <c r="C41" s="2343"/>
      <c r="D41" s="2343"/>
      <c r="E41" s="2343"/>
      <c r="F41" s="2344"/>
      <c r="H41" s="1877"/>
      <c r="I41" s="1877"/>
      <c r="J41" s="1877"/>
      <c r="K41" s="1877"/>
    </row>
    <row r="42" spans="1:11" s="1868" customFormat="1" ht="12" customHeight="1" x14ac:dyDescent="0.25">
      <c r="A42" s="2342"/>
      <c r="B42" s="2343"/>
      <c r="C42" s="2343"/>
      <c r="D42" s="2343"/>
      <c r="E42" s="2343"/>
      <c r="F42" s="2344"/>
      <c r="H42" s="1877"/>
      <c r="I42" s="1877"/>
      <c r="J42" s="1877"/>
      <c r="K42" s="1877"/>
    </row>
    <row r="43" spans="1:11" s="1868" customFormat="1" ht="15" x14ac:dyDescent="0.25">
      <c r="A43" s="2331"/>
      <c r="B43" s="2332"/>
      <c r="C43" s="2332"/>
      <c r="D43" s="2332"/>
      <c r="E43" s="2332"/>
      <c r="F43" s="2333"/>
      <c r="H43" s="1877"/>
      <c r="I43" s="1877"/>
      <c r="J43" s="1877"/>
      <c r="K43" s="1877"/>
    </row>
    <row r="44" spans="1:11" s="1868" customFormat="1" ht="12" hidden="1" customHeight="1" x14ac:dyDescent="0.25">
      <c r="A44" s="2331"/>
      <c r="B44" s="2332"/>
      <c r="C44" s="2332"/>
      <c r="D44" s="2332"/>
      <c r="E44" s="2332"/>
      <c r="F44" s="2333"/>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3"/>
  <sheetViews>
    <sheetView showGridLines="0" topLeftCell="A21" zoomScale="110" zoomScaleNormal="110" workbookViewId="0">
      <selection activeCell="B54" sqref="B54"/>
    </sheetView>
  </sheetViews>
  <sheetFormatPr defaultColWidth="9.140625" defaultRowHeight="12.75" x14ac:dyDescent="0.2"/>
  <cols>
    <col min="1" max="1" width="3" style="329" customWidth="1"/>
    <col min="2" max="2" width="84" style="329" customWidth="1"/>
    <col min="3" max="3" width="25.7109375" style="329" customWidth="1"/>
    <col min="4" max="4" width="16.28515625" style="1941" customWidth="1"/>
    <col min="5" max="16384" width="9.140625" style="329"/>
  </cols>
  <sheetData>
    <row r="2" spans="1:4" x14ac:dyDescent="0.2">
      <c r="A2" s="389" t="s">
        <v>258</v>
      </c>
    </row>
    <row r="3" spans="1:4" x14ac:dyDescent="0.2">
      <c r="A3" s="329" t="s">
        <v>259</v>
      </c>
    </row>
    <row r="5" spans="1:4" x14ac:dyDescent="0.2">
      <c r="A5" s="1068">
        <v>1</v>
      </c>
      <c r="B5" s="329" t="s">
        <v>2112</v>
      </c>
      <c r="C5" s="329" t="s">
        <v>2113</v>
      </c>
      <c r="D5" s="1941">
        <v>150000</v>
      </c>
    </row>
    <row r="6" spans="1:4" ht="15" x14ac:dyDescent="0.35">
      <c r="A6" s="1068"/>
      <c r="C6" s="329" t="s">
        <v>2114</v>
      </c>
      <c r="D6" s="1942">
        <v>50570</v>
      </c>
    </row>
    <row r="7" spans="1:4" x14ac:dyDescent="0.2">
      <c r="A7" s="1068"/>
      <c r="D7" s="1941">
        <f>SUM(D5:D6)</f>
        <v>200570</v>
      </c>
    </row>
    <row r="8" spans="1:4" x14ac:dyDescent="0.2">
      <c r="A8" s="1068"/>
    </row>
    <row r="9" spans="1:4" x14ac:dyDescent="0.2">
      <c r="A9" s="1069">
        <v>2</v>
      </c>
      <c r="B9" s="329" t="s">
        <v>2115</v>
      </c>
      <c r="C9" s="329" t="s">
        <v>2116</v>
      </c>
      <c r="D9" s="1941">
        <v>332085</v>
      </c>
    </row>
    <row r="10" spans="1:4" x14ac:dyDescent="0.2">
      <c r="A10" s="1069"/>
      <c r="C10" s="329" t="s">
        <v>2117</v>
      </c>
      <c r="D10" s="1941">
        <v>8162</v>
      </c>
    </row>
    <row r="11" spans="1:4" ht="15" x14ac:dyDescent="0.35">
      <c r="A11" s="1069"/>
      <c r="C11" s="329" t="s">
        <v>2118</v>
      </c>
      <c r="D11" s="1942">
        <v>164068</v>
      </c>
    </row>
    <row r="12" spans="1:4" x14ac:dyDescent="0.2">
      <c r="A12" s="1069"/>
      <c r="D12" s="1941">
        <f>SUM(D9:D11)</f>
        <v>504315</v>
      </c>
    </row>
    <row r="13" spans="1:4" x14ac:dyDescent="0.2">
      <c r="A13" s="1069"/>
    </row>
    <row r="14" spans="1:4" x14ac:dyDescent="0.2">
      <c r="A14" s="1069">
        <v>3</v>
      </c>
      <c r="B14" s="329" t="s">
        <v>2119</v>
      </c>
      <c r="C14" s="329" t="s">
        <v>2120</v>
      </c>
      <c r="D14" s="1941">
        <v>24066</v>
      </c>
    </row>
    <row r="15" spans="1:4" x14ac:dyDescent="0.2">
      <c r="A15" s="1069"/>
      <c r="C15" s="329" t="s">
        <v>2121</v>
      </c>
      <c r="D15" s="1941">
        <v>57968</v>
      </c>
    </row>
    <row r="16" spans="1:4" x14ac:dyDescent="0.2">
      <c r="A16" s="1069"/>
      <c r="C16" s="329" t="s">
        <v>2122</v>
      </c>
      <c r="D16" s="1941">
        <v>609425</v>
      </c>
    </row>
    <row r="17" spans="1:4" ht="15" x14ac:dyDescent="0.35">
      <c r="A17" s="1069"/>
      <c r="C17" s="329" t="s">
        <v>2123</v>
      </c>
      <c r="D17" s="1942">
        <v>3461</v>
      </c>
    </row>
    <row r="18" spans="1:4" x14ac:dyDescent="0.2">
      <c r="A18" s="1069"/>
      <c r="D18" s="1941">
        <f>SUM(D14:D17)</f>
        <v>694920</v>
      </c>
    </row>
    <row r="19" spans="1:4" x14ac:dyDescent="0.2">
      <c r="A19" s="1069"/>
    </row>
    <row r="20" spans="1:4" x14ac:dyDescent="0.2">
      <c r="A20" s="1069">
        <v>4</v>
      </c>
      <c r="B20" s="329" t="s">
        <v>2124</v>
      </c>
      <c r="C20" s="329" t="s">
        <v>2125</v>
      </c>
      <c r="D20" s="1941">
        <v>298595</v>
      </c>
    </row>
    <row r="21" spans="1:4" x14ac:dyDescent="0.2">
      <c r="A21" s="1069"/>
      <c r="C21" s="329" t="s">
        <v>2126</v>
      </c>
      <c r="D21" s="1941">
        <v>77510</v>
      </c>
    </row>
    <row r="22" spans="1:4" x14ac:dyDescent="0.2">
      <c r="A22" s="1069"/>
      <c r="C22" s="329" t="s">
        <v>2127</v>
      </c>
      <c r="D22" s="1941">
        <v>7020</v>
      </c>
    </row>
    <row r="23" spans="1:4" x14ac:dyDescent="0.2">
      <c r="A23" s="1069"/>
      <c r="C23" s="329" t="s">
        <v>2128</v>
      </c>
      <c r="D23" s="1941">
        <v>16800</v>
      </c>
    </row>
    <row r="24" spans="1:4" x14ac:dyDescent="0.2">
      <c r="A24" s="1069"/>
      <c r="C24" s="329" t="s">
        <v>2129</v>
      </c>
      <c r="D24" s="1941">
        <v>1482</v>
      </c>
    </row>
    <row r="25" spans="1:4" ht="15" x14ac:dyDescent="0.35">
      <c r="A25" s="1069"/>
      <c r="C25" s="329" t="s">
        <v>2130</v>
      </c>
      <c r="D25" s="1942">
        <v>99385</v>
      </c>
    </row>
    <row r="26" spans="1:4" x14ac:dyDescent="0.2">
      <c r="A26" s="1069"/>
      <c r="D26" s="1941">
        <f>SUM(D20:D25)</f>
        <v>500792</v>
      </c>
    </row>
    <row r="27" spans="1:4" x14ac:dyDescent="0.2">
      <c r="A27" s="1069"/>
    </row>
    <row r="28" spans="1:4" x14ac:dyDescent="0.2">
      <c r="A28" s="1069">
        <v>5</v>
      </c>
      <c r="B28" s="329" t="s">
        <v>2134</v>
      </c>
      <c r="C28" s="329" t="s">
        <v>2131</v>
      </c>
      <c r="D28" s="1941">
        <v>459796</v>
      </c>
    </row>
    <row r="29" spans="1:4" x14ac:dyDescent="0.2">
      <c r="A29" s="1069"/>
      <c r="C29" s="329" t="s">
        <v>2132</v>
      </c>
      <c r="D29" s="1941">
        <v>67156</v>
      </c>
    </row>
    <row r="30" spans="1:4" x14ac:dyDescent="0.2">
      <c r="A30" s="1069"/>
      <c r="C30" s="329" t="s">
        <v>2133</v>
      </c>
      <c r="D30" s="1941">
        <v>100000</v>
      </c>
    </row>
    <row r="31" spans="1:4" ht="15" x14ac:dyDescent="0.35">
      <c r="A31" s="1069"/>
      <c r="C31" s="329" t="s">
        <v>2130</v>
      </c>
      <c r="D31" s="1942">
        <v>79316</v>
      </c>
    </row>
    <row r="32" spans="1:4" x14ac:dyDescent="0.2">
      <c r="A32" s="1069"/>
      <c r="D32" s="1941">
        <f>SUM(D28:D31)</f>
        <v>706268</v>
      </c>
    </row>
    <row r="33" spans="1:4" x14ac:dyDescent="0.2">
      <c r="A33" s="1069"/>
    </row>
    <row r="34" spans="1:4" x14ac:dyDescent="0.2">
      <c r="A34" s="1069"/>
    </row>
    <row r="35" spans="1:4" x14ac:dyDescent="0.2">
      <c r="A35" s="1069">
        <v>6</v>
      </c>
      <c r="B35" s="329" t="s">
        <v>2135</v>
      </c>
      <c r="C35" s="329" t="s">
        <v>2128</v>
      </c>
      <c r="D35" s="1941">
        <v>78632</v>
      </c>
    </row>
    <row r="36" spans="1:4" x14ac:dyDescent="0.2">
      <c r="A36" s="1069"/>
    </row>
    <row r="37" spans="1:4" x14ac:dyDescent="0.2">
      <c r="A37" s="1069">
        <v>7</v>
      </c>
      <c r="B37" s="329" t="s">
        <v>2136</v>
      </c>
      <c r="C37" s="329" t="s">
        <v>2137</v>
      </c>
      <c r="D37" s="1941">
        <v>10500</v>
      </c>
    </row>
    <row r="38" spans="1:4" x14ac:dyDescent="0.2">
      <c r="A38" s="1069"/>
      <c r="C38" s="329" t="s">
        <v>2138</v>
      </c>
      <c r="D38" s="1941">
        <v>8664</v>
      </c>
    </row>
    <row r="39" spans="1:4" ht="15" x14ac:dyDescent="0.35">
      <c r="A39" s="1069"/>
      <c r="C39" s="329" t="s">
        <v>2139</v>
      </c>
      <c r="D39" s="1942">
        <v>57901</v>
      </c>
    </row>
    <row r="40" spans="1:4" x14ac:dyDescent="0.2">
      <c r="A40" s="1069"/>
      <c r="D40" s="1941">
        <f>SUM(D37:D39)</f>
        <v>77065</v>
      </c>
    </row>
    <row r="41" spans="1:4" x14ac:dyDescent="0.2">
      <c r="A41" s="1069"/>
    </row>
    <row r="42" spans="1:4" x14ac:dyDescent="0.2">
      <c r="A42" s="1069">
        <v>8</v>
      </c>
      <c r="B42" s="329" t="s">
        <v>2140</v>
      </c>
      <c r="C42" s="329" t="s">
        <v>2141</v>
      </c>
      <c r="D42" s="1941">
        <v>29999</v>
      </c>
    </row>
    <row r="43" spans="1:4" x14ac:dyDescent="0.2">
      <c r="A43" s="1069"/>
    </row>
    <row r="44" spans="1:4" x14ac:dyDescent="0.2">
      <c r="A44" s="1069">
        <v>9</v>
      </c>
      <c r="B44" s="329" t="s">
        <v>2142</v>
      </c>
      <c r="C44" s="329" t="s">
        <v>2143</v>
      </c>
      <c r="D44" s="1941">
        <v>300388</v>
      </c>
    </row>
    <row r="45" spans="1:4" ht="15" x14ac:dyDescent="0.35">
      <c r="A45" s="1069"/>
      <c r="C45" s="329" t="s">
        <v>2144</v>
      </c>
      <c r="D45" s="1942">
        <v>157575</v>
      </c>
    </row>
    <row r="46" spans="1:4" x14ac:dyDescent="0.2">
      <c r="A46" s="1069"/>
      <c r="D46" s="1941">
        <f>SUM(D44:D45)</f>
        <v>457963</v>
      </c>
    </row>
    <row r="47" spans="1:4" x14ac:dyDescent="0.2">
      <c r="A47" s="1069"/>
    </row>
    <row r="48" spans="1:4" x14ac:dyDescent="0.2">
      <c r="A48" s="1069">
        <v>10</v>
      </c>
      <c r="B48" s="329" t="s">
        <v>2145</v>
      </c>
      <c r="C48" s="329" t="s">
        <v>2147</v>
      </c>
      <c r="D48" s="1941">
        <v>2114774</v>
      </c>
    </row>
    <row r="49" spans="1:4" x14ac:dyDescent="0.2">
      <c r="A49" s="1069"/>
    </row>
    <row r="50" spans="1:4" x14ac:dyDescent="0.2">
      <c r="A50" s="1069">
        <v>11</v>
      </c>
      <c r="B50" s="329" t="s">
        <v>2146</v>
      </c>
      <c r="C50" s="329" t="s">
        <v>2148</v>
      </c>
      <c r="D50" s="1941">
        <v>1312487</v>
      </c>
    </row>
    <row r="51" spans="1:4" x14ac:dyDescent="0.2">
      <c r="A51" s="1069"/>
    </row>
    <row r="52" spans="1:4" x14ac:dyDescent="0.2">
      <c r="A52" s="1069">
        <v>12</v>
      </c>
      <c r="B52" s="329" t="s">
        <v>2149</v>
      </c>
      <c r="C52" s="329" t="s">
        <v>2150</v>
      </c>
      <c r="D52" s="1941">
        <v>201</v>
      </c>
    </row>
    <row r="53" spans="1:4" x14ac:dyDescent="0.2">
      <c r="A53" s="1069"/>
    </row>
    <row r="54" spans="1:4" x14ac:dyDescent="0.2">
      <c r="A54" s="1069">
        <v>13</v>
      </c>
      <c r="B54" s="329" t="s">
        <v>2151</v>
      </c>
      <c r="C54" s="329" t="s">
        <v>2148</v>
      </c>
      <c r="D54" s="1941">
        <v>360901</v>
      </c>
    </row>
    <row r="55" spans="1:4" x14ac:dyDescent="0.2">
      <c r="A55" s="1069"/>
    </row>
    <row r="56" spans="1:4" x14ac:dyDescent="0.2">
      <c r="A56" s="1069"/>
    </row>
    <row r="57" spans="1:4" x14ac:dyDescent="0.2">
      <c r="A57" s="1069"/>
    </row>
    <row r="58" spans="1:4" x14ac:dyDescent="0.2">
      <c r="A58" s="1069"/>
    </row>
    <row r="59" spans="1:4" x14ac:dyDescent="0.2">
      <c r="A59" s="1069"/>
    </row>
    <row r="60" spans="1:4" x14ac:dyDescent="0.2">
      <c r="A60" s="1069"/>
    </row>
    <row r="61" spans="1:4" x14ac:dyDescent="0.2">
      <c r="A61" s="1069"/>
    </row>
    <row r="62" spans="1:4" x14ac:dyDescent="0.2">
      <c r="A62" s="1069"/>
      <c r="B62" s="258" t="str">
        <f>COVER!A17</f>
        <v>Township HSD 211</v>
      </c>
    </row>
    <row r="63" spans="1:4" x14ac:dyDescent="0.2">
      <c r="B63" s="1070">
        <f>COVER!A13</f>
        <v>5016211017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0"/>
      <c r="C6" s="1640"/>
      <c r="D6" s="1640"/>
      <c r="E6" s="1641"/>
      <c r="F6" s="1015"/>
      <c r="G6" s="1009"/>
      <c r="H6" s="1016" t="s">
        <v>1028</v>
      </c>
      <c r="I6" s="2358" t="str">
        <f>COVER!A17</f>
        <v>Township HSD 211</v>
      </c>
      <c r="J6" s="2359"/>
      <c r="Q6" s="1662"/>
    </row>
    <row r="7" spans="1:17" x14ac:dyDescent="0.2">
      <c r="A7" s="2360" t="s">
        <v>869</v>
      </c>
      <c r="B7" s="2361"/>
      <c r="C7" s="2361"/>
      <c r="D7" s="2361"/>
      <c r="E7" s="2362"/>
      <c r="F7" s="1017"/>
      <c r="G7" s="1009"/>
      <c r="H7" s="1016" t="s">
        <v>372</v>
      </c>
      <c r="I7" s="2363">
        <f>COVER!A13</f>
        <v>5016211017</v>
      </c>
      <c r="J7" s="2363"/>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1975</v>
      </c>
      <c r="F9" s="1023"/>
      <c r="G9" s="1023"/>
      <c r="H9" s="1894"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64" t="s">
        <v>481</v>
      </c>
      <c r="B11" s="2365"/>
      <c r="C11" s="236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489646</v>
      </c>
      <c r="F12" s="1039"/>
      <c r="G12" s="1809">
        <f t="shared" ref="G12:G18" si="0">SUM(E12:F12)</f>
        <v>489646</v>
      </c>
      <c r="H12" s="1040">
        <v>512300</v>
      </c>
      <c r="I12" s="1039"/>
      <c r="J12" s="1809">
        <f t="shared" ref="J12:J18" si="1">SUM(H12:I12)</f>
        <v>512300</v>
      </c>
    </row>
    <row r="13" spans="1:17" ht="15" customHeight="1" x14ac:dyDescent="0.2">
      <c r="A13" s="1035">
        <v>2</v>
      </c>
      <c r="B13" s="1036" t="s">
        <v>42</v>
      </c>
      <c r="C13" s="1037"/>
      <c r="D13" s="1038">
        <v>2330</v>
      </c>
      <c r="E13" s="1809">
        <f>'Expenditures 15-22'!K51</f>
        <v>1043923</v>
      </c>
      <c r="F13" s="1039"/>
      <c r="G13" s="1809">
        <f t="shared" si="0"/>
        <v>1043923</v>
      </c>
      <c r="H13" s="1040">
        <v>1072300</v>
      </c>
      <c r="I13" s="1039"/>
      <c r="J13" s="1809">
        <f t="shared" si="1"/>
        <v>1072300</v>
      </c>
    </row>
    <row r="14" spans="1:17" ht="15" customHeight="1" x14ac:dyDescent="0.2">
      <c r="A14" s="1035">
        <v>3</v>
      </c>
      <c r="B14" s="1036" t="s">
        <v>43</v>
      </c>
      <c r="C14" s="1037"/>
      <c r="D14" s="1041">
        <v>2490</v>
      </c>
      <c r="E14" s="1809">
        <f>'Expenditures 15-22'!K56</f>
        <v>0</v>
      </c>
      <c r="F14" s="1039"/>
      <c r="G14" s="1809">
        <f t="shared" si="0"/>
        <v>0</v>
      </c>
      <c r="H14" s="1040">
        <v>0</v>
      </c>
      <c r="I14" s="1039"/>
      <c r="J14" s="1809">
        <f t="shared" si="1"/>
        <v>0</v>
      </c>
    </row>
    <row r="15" spans="1:17" ht="15" customHeight="1" x14ac:dyDescent="0.2">
      <c r="A15" s="1035">
        <v>4</v>
      </c>
      <c r="B15" s="1036" t="s">
        <v>1068</v>
      </c>
      <c r="C15" s="1037"/>
      <c r="D15" s="1038">
        <v>2510</v>
      </c>
      <c r="E15" s="1809">
        <f>'Expenditures 15-22'!K59</f>
        <v>256879</v>
      </c>
      <c r="F15" s="1809">
        <f>'Expenditures 15-22'!K122</f>
        <v>0</v>
      </c>
      <c r="G15" s="1809">
        <f t="shared" si="0"/>
        <v>256879</v>
      </c>
      <c r="H15" s="1040">
        <v>263900</v>
      </c>
      <c r="I15" s="1040"/>
      <c r="J15" s="1809">
        <f t="shared" si="1"/>
        <v>263900</v>
      </c>
    </row>
    <row r="16" spans="1:17" ht="15" customHeight="1" x14ac:dyDescent="0.2">
      <c r="A16" s="1035">
        <v>5</v>
      </c>
      <c r="B16" s="1036" t="s">
        <v>101</v>
      </c>
      <c r="C16" s="1037"/>
      <c r="D16" s="1038">
        <v>2570</v>
      </c>
      <c r="E16" s="1809">
        <f>'Expenditures 15-22'!K64</f>
        <v>115385</v>
      </c>
      <c r="F16" s="1039"/>
      <c r="G16" s="1809">
        <f t="shared" si="0"/>
        <v>115385</v>
      </c>
      <c r="H16" s="1040">
        <v>113300</v>
      </c>
      <c r="I16" s="1039"/>
      <c r="J16" s="1809">
        <f t="shared" si="1"/>
        <v>113300</v>
      </c>
    </row>
    <row r="17" spans="1:10" ht="15" customHeight="1" x14ac:dyDescent="0.2">
      <c r="A17" s="1035">
        <v>6</v>
      </c>
      <c r="B17" s="1036" t="s">
        <v>1060</v>
      </c>
      <c r="C17" s="1037"/>
      <c r="D17" s="1038">
        <v>2610</v>
      </c>
      <c r="E17" s="1809">
        <f>'Expenditures 15-22'!K67</f>
        <v>0</v>
      </c>
      <c r="F17" s="1039"/>
      <c r="G17" s="1809">
        <f t="shared" si="0"/>
        <v>0</v>
      </c>
      <c r="H17" s="1040">
        <v>0</v>
      </c>
      <c r="I17" s="1039"/>
      <c r="J17" s="1809">
        <f t="shared" si="1"/>
        <v>0</v>
      </c>
    </row>
    <row r="18" spans="1:10" ht="22.5" customHeight="1" x14ac:dyDescent="0.2">
      <c r="A18" s="1042">
        <v>7</v>
      </c>
      <c r="B18" s="2367" t="s">
        <v>7</v>
      </c>
      <c r="C18" s="2368"/>
      <c r="D18" s="2369"/>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1905833</v>
      </c>
      <c r="F19" s="1811">
        <f t="shared" si="2"/>
        <v>0</v>
      </c>
      <c r="G19" s="1811">
        <f t="shared" si="2"/>
        <v>1905833</v>
      </c>
      <c r="H19" s="1811">
        <f t="shared" si="2"/>
        <v>1961800</v>
      </c>
      <c r="I19" s="1811">
        <f t="shared" si="2"/>
        <v>0</v>
      </c>
      <c r="J19" s="1811">
        <f t="shared" si="2"/>
        <v>1961800</v>
      </c>
    </row>
    <row r="20" spans="1:10" ht="13.5" thickTop="1" x14ac:dyDescent="0.2">
      <c r="A20" s="1035">
        <v>9</v>
      </c>
      <c r="B20" s="2370" t="s">
        <v>1977</v>
      </c>
      <c r="C20" s="2370"/>
      <c r="D20" s="2371"/>
      <c r="E20" s="1046"/>
      <c r="F20" s="1046"/>
      <c r="G20" s="1046"/>
      <c r="H20" s="1046"/>
      <c r="I20" s="1046"/>
      <c r="J20" s="1812">
        <f>IF(AND(G19&gt;0,J19&gt;0),(((J19-G19)/G19)),"Enter Budget Data")</f>
        <v>2.9366161673137152E-2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6"/>
      <c r="D26" s="2376"/>
      <c r="E26" s="1050"/>
      <c r="F26" s="2375"/>
      <c r="G26" s="2375"/>
    </row>
    <row r="27" spans="1:10" x14ac:dyDescent="0.2">
      <c r="B27" s="1047"/>
      <c r="C27" s="1051" t="s">
        <v>1033</v>
      </c>
      <c r="D27" s="1052"/>
      <c r="E27" s="1053"/>
      <c r="F27" s="2372" t="s">
        <v>1509</v>
      </c>
      <c r="G27" s="2372"/>
    </row>
    <row r="28" spans="1:10" ht="28.5" customHeight="1" x14ac:dyDescent="0.2">
      <c r="B28" s="1047"/>
      <c r="C28" s="2374"/>
      <c r="D28" s="2374"/>
      <c r="E28" s="1054"/>
      <c r="F28" s="2374"/>
      <c r="G28" s="2374"/>
    </row>
    <row r="29" spans="1:10" x14ac:dyDescent="0.2">
      <c r="B29" s="1047"/>
      <c r="C29" s="1055" t="s">
        <v>1561</v>
      </c>
      <c r="E29" s="1056"/>
      <c r="F29" s="2373" t="s">
        <v>1510</v>
      </c>
      <c r="G29" s="237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55" t="s">
        <v>132</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62"/>
    </row>
    <row r="36" spans="1:10" ht="13.5" customHeight="1" x14ac:dyDescent="0.2">
      <c r="B36" s="1061"/>
      <c r="C36" s="2357" t="s">
        <v>1979</v>
      </c>
      <c r="D36" s="2356"/>
      <c r="E36" s="2356"/>
      <c r="F36" s="2356"/>
      <c r="G36" s="2356"/>
      <c r="H36" s="2356"/>
      <c r="I36" s="2356"/>
      <c r="J36" s="1063"/>
    </row>
    <row r="37" spans="1:10" ht="22.5" customHeight="1" x14ac:dyDescent="0.2">
      <c r="C37" s="2356"/>
      <c r="D37" s="2356"/>
      <c r="E37" s="2356"/>
      <c r="F37" s="2356"/>
      <c r="G37" s="2356"/>
      <c r="H37" s="2356"/>
      <c r="I37" s="2356"/>
      <c r="J37" s="1063"/>
    </row>
    <row r="38" spans="1:10" ht="7.5" customHeight="1" x14ac:dyDescent="0.2">
      <c r="C38" s="1062"/>
      <c r="D38" s="1064"/>
      <c r="E38" s="1065"/>
      <c r="F38" s="1066"/>
      <c r="G38" s="1065"/>
    </row>
    <row r="39" spans="1:10" ht="13.5" customHeight="1" x14ac:dyDescent="0.2">
      <c r="B39" s="1061"/>
      <c r="C39" s="2353" t="s">
        <v>882</v>
      </c>
      <c r="D39" s="2354"/>
      <c r="E39" s="2354"/>
      <c r="F39" s="2354"/>
      <c r="G39" s="2354"/>
      <c r="H39" s="2354"/>
      <c r="I39" s="235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77" t="s">
        <v>1685</v>
      </c>
      <c r="B18" s="237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895350</xdr:colOff>
                <xdr:row>0</xdr:row>
                <xdr:rowOff>9525</xdr:rowOff>
              </from>
              <to>
                <xdr:col>1</xdr:col>
                <xdr:colOff>1809750</xdr:colOff>
                <xdr:row>4</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1914525</xdr:colOff>
                <xdr:row>0</xdr:row>
                <xdr:rowOff>19050</xdr:rowOff>
              </from>
              <to>
                <xdr:col>1</xdr:col>
                <xdr:colOff>2828925</xdr:colOff>
                <xdr:row>4</xdr:row>
                <xdr:rowOff>57150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1690</v>
      </c>
      <c r="B1" s="2379"/>
      <c r="C1" s="2379"/>
      <c r="D1" s="2379"/>
      <c r="E1" s="2379"/>
      <c r="F1" s="2380"/>
    </row>
    <row r="2" spans="1:8" ht="45" customHeight="1" x14ac:dyDescent="0.2">
      <c r="A2" s="2388" t="s">
        <v>1983</v>
      </c>
      <c r="B2" s="2389"/>
      <c r="C2" s="2389"/>
      <c r="D2" s="2389"/>
      <c r="E2" s="2389"/>
      <c r="F2" s="2390"/>
      <c r="G2" s="1074"/>
      <c r="H2" s="1074"/>
    </row>
    <row r="3" spans="1:8" ht="57" customHeight="1" x14ac:dyDescent="0.2">
      <c r="A3" s="2391" t="s">
        <v>1686</v>
      </c>
      <c r="B3" s="2392"/>
      <c r="C3" s="2392"/>
      <c r="D3" s="2392"/>
      <c r="E3" s="2392"/>
      <c r="F3" s="2393"/>
      <c r="G3" s="1074"/>
      <c r="H3" s="1074"/>
    </row>
    <row r="4" spans="1:8" ht="14.25" customHeight="1" x14ac:dyDescent="0.2">
      <c r="A4" s="2397" t="s">
        <v>1984</v>
      </c>
      <c r="B4" s="2398"/>
      <c r="C4" s="2398"/>
      <c r="D4" s="2398"/>
      <c r="E4" s="2398"/>
      <c r="F4" s="2399"/>
      <c r="G4" s="1074"/>
      <c r="H4" s="1074"/>
    </row>
    <row r="5" spans="1:8" ht="14.25" customHeight="1" x14ac:dyDescent="0.2">
      <c r="A5" s="2400" t="s">
        <v>1980</v>
      </c>
      <c r="B5" s="2401"/>
      <c r="C5" s="2401"/>
      <c r="D5" s="2401"/>
      <c r="E5" s="2401"/>
      <c r="F5" s="2402"/>
      <c r="G5" s="1074"/>
      <c r="H5" s="1074"/>
    </row>
    <row r="6" spans="1:8" s="1075" customFormat="1" ht="41.25" customHeight="1" x14ac:dyDescent="0.2">
      <c r="A6" s="2394" t="s">
        <v>1691</v>
      </c>
      <c r="B6" s="2395"/>
      <c r="C6" s="2395"/>
      <c r="D6" s="2395"/>
      <c r="E6" s="2395"/>
      <c r="F6" s="239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204472598</v>
      </c>
      <c r="C8" s="1813">
        <f>'Acct Summary 7-8'!D8</f>
        <v>33436009</v>
      </c>
      <c r="D8" s="1813">
        <f>'Acct Summary 7-8'!F8</f>
        <v>14417165</v>
      </c>
      <c r="E8" s="1813">
        <f>'Acct Summary 7-8'!I8</f>
        <v>2600013</v>
      </c>
      <c r="F8" s="1813">
        <f>SUM(B8:E8)</f>
        <v>254925785</v>
      </c>
    </row>
    <row r="9" spans="1:8" s="1079" customFormat="1" ht="14.25" customHeight="1" thickBot="1" x14ac:dyDescent="0.25">
      <c r="A9" s="1078" t="s">
        <v>1369</v>
      </c>
      <c r="B9" s="1814">
        <f>'Acct Summary 7-8'!C17</f>
        <v>196185479</v>
      </c>
      <c r="C9" s="1814">
        <f>'Acct Summary 7-8'!D17</f>
        <v>26554746</v>
      </c>
      <c r="D9" s="1814">
        <f>'Acct Summary 7-8'!F17</f>
        <v>12972822</v>
      </c>
      <c r="E9" s="1813"/>
      <c r="F9" s="1813">
        <f>SUM(B9:E9)</f>
        <v>235713047</v>
      </c>
    </row>
    <row r="10" spans="1:8" s="1079" customFormat="1" ht="14.25" thickTop="1" thickBot="1" x14ac:dyDescent="0.25">
      <c r="A10" s="1080" t="s">
        <v>1370</v>
      </c>
      <c r="B10" s="1815">
        <f>(B8-B9)</f>
        <v>8287119</v>
      </c>
      <c r="C10" s="1815">
        <f>(C8-C9)</f>
        <v>6881263</v>
      </c>
      <c r="D10" s="1815">
        <f>(D8-D9)</f>
        <v>1444343</v>
      </c>
      <c r="E10" s="1814">
        <f>(E8-E9)</f>
        <v>2600013</v>
      </c>
      <c r="F10" s="1816">
        <f>SUM(F8-F9)</f>
        <v>19212738</v>
      </c>
    </row>
    <row r="11" spans="1:8" s="1079" customFormat="1" ht="14.25" thickTop="1" thickBot="1" x14ac:dyDescent="0.25">
      <c r="A11" s="1081" t="s">
        <v>1981</v>
      </c>
      <c r="B11" s="1817">
        <f>'Acct Summary 7-8'!C81</f>
        <v>76089808</v>
      </c>
      <c r="C11" s="1817">
        <f>'Acct Summary 7-8'!D81</f>
        <v>18483638</v>
      </c>
      <c r="D11" s="1817">
        <f>'Acct Summary 7-8'!F81</f>
        <v>6187878</v>
      </c>
      <c r="E11" s="1817">
        <f>'Acct Summary 7-8'!I81</f>
        <v>4656208</v>
      </c>
      <c r="F11" s="1818">
        <f>SUM(B11:E11)</f>
        <v>105417532</v>
      </c>
    </row>
    <row r="12" spans="1:8" ht="16.5" customHeight="1" thickTop="1" x14ac:dyDescent="0.2">
      <c r="A12" s="1082"/>
      <c r="B12" s="1083"/>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84"/>
      <c r="B13" s="1085"/>
      <c r="C13" s="2382"/>
      <c r="D13" s="2383"/>
      <c r="E13" s="2383"/>
      <c r="F13" s="2384"/>
      <c r="H13" s="1074"/>
    </row>
    <row r="14" spans="1:8" ht="19.5" customHeight="1" x14ac:dyDescent="0.2">
      <c r="A14" s="1084"/>
      <c r="B14" s="1085"/>
      <c r="C14" s="2382"/>
      <c r="D14" s="2383"/>
      <c r="E14" s="2383"/>
      <c r="F14" s="2384"/>
      <c r="H14" s="1074"/>
    </row>
    <row r="15" spans="1:8" ht="17.25" customHeight="1" x14ac:dyDescent="0.2">
      <c r="A15" s="1084"/>
      <c r="B15" s="1085"/>
      <c r="C15" s="2385"/>
      <c r="D15" s="2386"/>
      <c r="E15" s="2386"/>
      <c r="F15" s="2387"/>
      <c r="H15" s="1074"/>
    </row>
    <row r="16" spans="1:8" s="310" customFormat="1" ht="51.75" hidden="1" customHeight="1" x14ac:dyDescent="0.2">
      <c r="A16" s="2381" t="s">
        <v>1687</v>
      </c>
      <c r="B16" s="2381"/>
      <c r="C16" s="2381"/>
      <c r="D16" s="2381"/>
      <c r="E16" s="238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D54" sqref="D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403" t="s">
        <v>665</v>
      </c>
      <c r="B3" s="2404"/>
      <c r="C3" s="2404"/>
      <c r="D3" s="2405"/>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14" t="s">
        <v>1504</v>
      </c>
      <c r="D7" s="2415"/>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406" t="s">
        <v>1008</v>
      </c>
      <c r="B15" s="2407"/>
      <c r="C15" s="2407"/>
      <c r="D15" s="2408"/>
    </row>
    <row r="16" spans="1:4" s="668" customFormat="1" ht="24" customHeight="1" x14ac:dyDescent="0.2">
      <c r="A16" s="2409" t="s">
        <v>663</v>
      </c>
      <c r="B16" s="2410"/>
      <c r="C16" s="2410"/>
      <c r="D16" s="241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18" t="s">
        <v>314</v>
      </c>
      <c r="D21" s="2419"/>
    </row>
    <row r="22" spans="1:10" ht="12.75" x14ac:dyDescent="0.2">
      <c r="A22" s="1139"/>
      <c r="B22" s="1140">
        <v>2</v>
      </c>
      <c r="C22" s="2416" t="s">
        <v>1524</v>
      </c>
      <c r="D22" s="2417"/>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20" t="s">
        <v>536</v>
      </c>
      <c r="D43" s="242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12" t="s">
        <v>784</v>
      </c>
      <c r="D56" s="241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412" t="s">
        <v>1696</v>
      </c>
      <c r="D70" s="241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5016211017</v>
      </c>
    </row>
    <row r="3" spans="1:2" x14ac:dyDescent="0.2">
      <c r="A3" t="s">
        <v>956</v>
      </c>
      <c r="B3" s="138" t="str">
        <f>COVER!A15</f>
        <v>Cook</v>
      </c>
    </row>
    <row r="4" spans="1:2" x14ac:dyDescent="0.2">
      <c r="A4" t="s">
        <v>1007</v>
      </c>
      <c r="B4" s="138" t="str">
        <f>COVER!A17</f>
        <v>Township HSD 211</v>
      </c>
    </row>
    <row r="5" spans="1:2" x14ac:dyDescent="0.2">
      <c r="A5" t="s">
        <v>704</v>
      </c>
      <c r="B5" s="138" t="str">
        <f>COVER!A38</f>
        <v>Lauren C. Hummel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066-0104260</v>
      </c>
    </row>
    <row r="16" spans="1:2" x14ac:dyDescent="0.2">
      <c r="A16" t="s">
        <v>422</v>
      </c>
      <c r="B16" s="138" t="str">
        <f>COVER!T13</f>
        <v>Baker Tilly Virchow Krause, LLP</v>
      </c>
    </row>
    <row r="17" spans="1:2" x14ac:dyDescent="0.2">
      <c r="A17" t="s">
        <v>884</v>
      </c>
      <c r="B17" s="138" t="str">
        <f>COVER!T15</f>
        <v>Michael Malatt</v>
      </c>
    </row>
    <row r="18" spans="1:2" x14ac:dyDescent="0.2">
      <c r="A18" t="s">
        <v>1150</v>
      </c>
      <c r="B18" s="138" t="str">
        <f>COVER!T17</f>
        <v>1301 W. 22nd Street, Suite 400</v>
      </c>
    </row>
    <row r="19" spans="1:2" x14ac:dyDescent="0.2">
      <c r="A19" t="s">
        <v>886</v>
      </c>
      <c r="B19" s="138">
        <f>COVER!T25</f>
        <v>0</v>
      </c>
    </row>
    <row r="20" spans="1:2" x14ac:dyDescent="0.2">
      <c r="A20" t="s">
        <v>887</v>
      </c>
      <c r="B20" s="138" t="str">
        <f>COVER!T19</f>
        <v>Oak Brook</v>
      </c>
    </row>
    <row r="21" spans="1:2" x14ac:dyDescent="0.2">
      <c r="A21" t="s">
        <v>479</v>
      </c>
      <c r="B21" s="138" t="str">
        <f>COVER!X19</f>
        <v>IL</v>
      </c>
    </row>
    <row r="22" spans="1:2" x14ac:dyDescent="0.2">
      <c r="A22" t="s">
        <v>888</v>
      </c>
      <c r="B22" s="138">
        <f>COVER!Z19</f>
        <v>60523</v>
      </c>
    </row>
    <row r="23" spans="1:2" x14ac:dyDescent="0.2">
      <c r="A23" t="s">
        <v>1152</v>
      </c>
      <c r="B23" s="138" t="str">
        <f>COVER!T21</f>
        <v>630-990-3131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80081986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3339871</v>
      </c>
      <c r="D72" s="2" t="str">
        <f t="shared" si="0"/>
        <v>Error?</v>
      </c>
    </row>
    <row r="73" spans="1:4" x14ac:dyDescent="0.2">
      <c r="A73" s="5">
        <v>12</v>
      </c>
      <c r="B73" s="138">
        <f>'Assets-Liab 5-6'!C5</f>
        <v>78207433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200570</v>
      </c>
      <c r="D76" s="2" t="str">
        <f t="shared" si="0"/>
        <v>Error?</v>
      </c>
    </row>
    <row r="77" spans="1:4" x14ac:dyDescent="0.2">
      <c r="A77" s="5">
        <v>16</v>
      </c>
      <c r="B77" s="138">
        <f>'Assets-Liab 5-6'!C13</f>
        <v>165399712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82355216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89309904</v>
      </c>
      <c r="C91" s="2" t="s">
        <v>573</v>
      </c>
      <c r="D91" s="2" t="str">
        <f t="shared" si="0"/>
        <v>Error?</v>
      </c>
    </row>
    <row r="92" spans="1:4" x14ac:dyDescent="0.2">
      <c r="A92" s="5">
        <v>31</v>
      </c>
      <c r="B92" s="138">
        <f>'Assets-Liab 5-6'!C39</f>
        <v>76089808</v>
      </c>
      <c r="D92" s="2" t="str">
        <f t="shared" si="0"/>
        <v>Error?</v>
      </c>
    </row>
    <row r="93" spans="1:4" x14ac:dyDescent="0.2">
      <c r="A93" s="5">
        <v>32</v>
      </c>
      <c r="B93" s="138">
        <f>'Assets-Liab 5-6'!C41</f>
        <v>165399712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14696272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18503028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34873906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15739741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16390268</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34873906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6030</v>
      </c>
      <c r="D129" s="2" t="str">
        <f t="shared" si="1"/>
        <v>Error?</v>
      </c>
    </row>
    <row r="130" spans="1:4" x14ac:dyDescent="0.2">
      <c r="A130" s="5">
        <v>69</v>
      </c>
      <c r="B130" s="138">
        <f>'Assets-Liab 5-6'!E12</f>
        <v>0</v>
      </c>
      <c r="D130" s="2" t="str">
        <f t="shared" si="1"/>
        <v>Error?</v>
      </c>
    </row>
    <row r="131" spans="1:4" x14ac:dyDescent="0.2">
      <c r="A131" s="5">
        <v>70</v>
      </c>
      <c r="B131" s="138">
        <f>'Assets-Liab 5-6'!E13</f>
        <v>6691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1902</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6691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4038360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5248374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10524480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4089439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4336602</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10524480</v>
      </c>
      <c r="C171" s="2" t="s">
        <v>573</v>
      </c>
      <c r="D171" s="2" t="str">
        <f t="shared" si="1"/>
        <v>Error?</v>
      </c>
    </row>
    <row r="172" spans="1:4" x14ac:dyDescent="0.2">
      <c r="A172" s="10">
        <v>111</v>
      </c>
      <c r="D172" s="2" t="str">
        <f t="shared" si="1"/>
        <v>OK</v>
      </c>
    </row>
    <row r="173" spans="1:4" x14ac:dyDescent="0.2">
      <c r="A173" s="5">
        <v>112</v>
      </c>
      <c r="B173" s="138">
        <f>'Assets-Liab 5-6'!G6</f>
        <v>5037268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4317340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9451218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4610832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4895933</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9451218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166578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184757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10243</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1207787</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184757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1456291</v>
      </c>
      <c r="D273" s="2" t="str">
        <f t="shared" si="3"/>
        <v>Error?</v>
      </c>
    </row>
    <row r="274" spans="1:4" x14ac:dyDescent="0.2">
      <c r="A274" s="5">
        <v>213</v>
      </c>
      <c r="B274" s="138">
        <f>'Assets-Liab 5-6'!M17</f>
        <v>326958180</v>
      </c>
      <c r="D274" s="2" t="str">
        <f t="shared" si="3"/>
        <v>Error?</v>
      </c>
    </row>
    <row r="275" spans="1:4" x14ac:dyDescent="0.2">
      <c r="A275" s="5">
        <v>214</v>
      </c>
      <c r="B275" s="138">
        <f>'Assets-Liab 5-6'!M18</f>
        <v>44468147</v>
      </c>
      <c r="D275" s="2" t="str">
        <f t="shared" si="3"/>
        <v>Error?</v>
      </c>
    </row>
    <row r="276" spans="1:4" x14ac:dyDescent="0.2">
      <c r="A276" s="5">
        <v>215</v>
      </c>
      <c r="B276" s="138">
        <f>'Assets-Liab 5-6'!M19</f>
        <v>43533538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424526244</v>
      </c>
      <c r="C279" s="2" t="s">
        <v>573</v>
      </c>
      <c r="D279" s="2" t="str">
        <f t="shared" si="3"/>
        <v>Error?</v>
      </c>
    </row>
    <row r="280" spans="1:4" x14ac:dyDescent="0.2">
      <c r="A280" s="5">
        <v>219</v>
      </c>
      <c r="B280" s="138">
        <f>'Assets-Liab 5-6'!M40</f>
        <v>424526244</v>
      </c>
      <c r="D280" s="2" t="str">
        <f t="shared" si="3"/>
        <v>Error?</v>
      </c>
    </row>
    <row r="281" spans="1:4" x14ac:dyDescent="0.2">
      <c r="A281" s="5">
        <v>220</v>
      </c>
      <c r="B281" s="138">
        <f>'Assets-Liab 5-6'!M41</f>
        <v>424526244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65820529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2678896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601163</v>
      </c>
      <c r="D716" s="2" t="str">
        <f t="shared" si="10"/>
        <v>Error?</v>
      </c>
    </row>
    <row r="717" spans="1:4" x14ac:dyDescent="0.2">
      <c r="A717" s="5">
        <v>656</v>
      </c>
      <c r="B717" s="138">
        <f>'Expenditures 15-22'!C13</f>
        <v>7616264</v>
      </c>
      <c r="D717" s="2" t="str">
        <f t="shared" si="10"/>
        <v>Error?</v>
      </c>
    </row>
    <row r="718" spans="1:4" x14ac:dyDescent="0.2">
      <c r="A718" s="5">
        <v>657</v>
      </c>
      <c r="B718" s="138">
        <f>'Expenditures 15-22'!C14</f>
        <v>8033207</v>
      </c>
      <c r="D718" s="2" t="str">
        <f t="shared" si="10"/>
        <v>Error?</v>
      </c>
    </row>
    <row r="719" spans="1:4" x14ac:dyDescent="0.2">
      <c r="A719" s="5">
        <v>658</v>
      </c>
      <c r="B719" s="138">
        <f>'Expenditures 15-22'!C15</f>
        <v>2220992</v>
      </c>
      <c r="D719" s="2" t="str">
        <f t="shared" si="10"/>
        <v>Error?</v>
      </c>
    </row>
    <row r="720" spans="1:4" x14ac:dyDescent="0.2">
      <c r="A720" s="5">
        <v>659</v>
      </c>
      <c r="B720" s="138">
        <f>'Expenditures 15-22'!C33</f>
        <v>107445557</v>
      </c>
      <c r="C720" s="2" t="s">
        <v>573</v>
      </c>
      <c r="D720" s="2" t="str">
        <f t="shared" si="10"/>
        <v>Error?</v>
      </c>
    </row>
    <row r="721" spans="1:4" x14ac:dyDescent="0.2">
      <c r="A721" s="5">
        <v>660</v>
      </c>
      <c r="B721" s="138">
        <f>'Expenditures 15-22'!C36</f>
        <v>1727936</v>
      </c>
      <c r="D721" s="2" t="str">
        <f t="shared" si="10"/>
        <v>Error?</v>
      </c>
    </row>
    <row r="722" spans="1:4" x14ac:dyDescent="0.2">
      <c r="A722" s="5">
        <v>661</v>
      </c>
      <c r="B722" s="138">
        <f>'Expenditures 15-22'!C37</f>
        <v>7154116</v>
      </c>
      <c r="D722" s="2" t="str">
        <f t="shared" si="10"/>
        <v>Error?</v>
      </c>
    </row>
    <row r="723" spans="1:4" x14ac:dyDescent="0.2">
      <c r="A723" s="5">
        <v>662</v>
      </c>
      <c r="B723" s="138">
        <f>'Expenditures 15-22'!C38</f>
        <v>726483</v>
      </c>
      <c r="D723" s="2" t="str">
        <f t="shared" si="10"/>
        <v>Error?</v>
      </c>
    </row>
    <row r="724" spans="1:4" x14ac:dyDescent="0.2">
      <c r="A724" s="5">
        <v>663</v>
      </c>
      <c r="B724" s="138">
        <f>'Expenditures 15-22'!C39</f>
        <v>2174985</v>
      </c>
      <c r="D724" s="2" t="str">
        <f t="shared" si="10"/>
        <v>Error?</v>
      </c>
    </row>
    <row r="725" spans="1:4" x14ac:dyDescent="0.2">
      <c r="A725" s="5">
        <v>664</v>
      </c>
      <c r="B725" s="138">
        <f>'Expenditures 15-22'!C40</f>
        <v>1177657</v>
      </c>
      <c r="D725" s="2" t="str">
        <f t="shared" si="10"/>
        <v>Error?</v>
      </c>
    </row>
    <row r="726" spans="1:4" x14ac:dyDescent="0.2">
      <c r="A726" s="5">
        <v>665</v>
      </c>
      <c r="B726" s="138">
        <f>'Expenditures 15-22'!C41</f>
        <v>2114774</v>
      </c>
      <c r="D726" s="2" t="str">
        <f t="shared" si="10"/>
        <v>Error?</v>
      </c>
    </row>
    <row r="727" spans="1:4" x14ac:dyDescent="0.2">
      <c r="A727" s="5">
        <v>666</v>
      </c>
      <c r="B727" s="138">
        <f>'Expenditures 15-22'!C42</f>
        <v>15075951</v>
      </c>
      <c r="C727" s="2" t="s">
        <v>573</v>
      </c>
      <c r="D727" s="2" t="str">
        <f t="shared" si="10"/>
        <v>Error?</v>
      </c>
    </row>
    <row r="728" spans="1:4" x14ac:dyDescent="0.2">
      <c r="A728" s="5">
        <v>667</v>
      </c>
      <c r="B728" s="138">
        <f>'Expenditures 15-22'!C44</f>
        <v>1813138</v>
      </c>
      <c r="D728" s="2" t="str">
        <f t="shared" si="10"/>
        <v>Error?</v>
      </c>
    </row>
    <row r="729" spans="1:4" x14ac:dyDescent="0.2">
      <c r="A729" s="5">
        <v>668</v>
      </c>
      <c r="B729" s="138">
        <f>'Expenditures 15-22'!C45</f>
        <v>1395708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3208846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430976</v>
      </c>
      <c r="D733" s="2" t="str">
        <f t="shared" si="10"/>
        <v>Error?</v>
      </c>
    </row>
    <row r="734" spans="1:4" x14ac:dyDescent="0.2">
      <c r="A734" s="5">
        <v>673</v>
      </c>
      <c r="B734" s="138">
        <f>'Expenditures 15-22'!C53</f>
        <v>1313551</v>
      </c>
      <c r="C734" s="2" t="s">
        <v>573</v>
      </c>
      <c r="D734" s="2" t="str">
        <f t="shared" si="10"/>
        <v>Error?</v>
      </c>
    </row>
    <row r="735" spans="1:4" x14ac:dyDescent="0.2">
      <c r="A735" s="5">
        <v>674</v>
      </c>
      <c r="B735" s="138">
        <f>'Expenditures 15-22'!C55</f>
        <v>7582343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7582343</v>
      </c>
      <c r="C737" s="2" t="s">
        <v>573</v>
      </c>
      <c r="D737" s="2" t="str">
        <f t="shared" si="10"/>
        <v>Error?</v>
      </c>
    </row>
    <row r="738" spans="1:4" x14ac:dyDescent="0.2">
      <c r="A738" s="5">
        <v>677</v>
      </c>
      <c r="B738" s="138">
        <f>'Expenditures 15-22'!C59</f>
        <v>218692</v>
      </c>
      <c r="D738" s="2" t="str">
        <f t="shared" si="10"/>
        <v>Error?</v>
      </c>
    </row>
    <row r="739" spans="1:4" x14ac:dyDescent="0.2">
      <c r="A739" s="5">
        <v>678</v>
      </c>
      <c r="B739" s="138">
        <f>'Expenditures 15-22'!C60</f>
        <v>744429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2317755</v>
      </c>
      <c r="D742" s="2" t="str">
        <f t="shared" si="10"/>
        <v>Error?</v>
      </c>
    </row>
    <row r="743" spans="1:4" x14ac:dyDescent="0.2">
      <c r="A743" s="5">
        <v>682</v>
      </c>
      <c r="B743" s="138">
        <f>'Expenditures 15-22'!C64</f>
        <v>89713</v>
      </c>
      <c r="D743" s="2" t="str">
        <f t="shared" si="10"/>
        <v>Error?</v>
      </c>
    </row>
    <row r="744" spans="1:4" x14ac:dyDescent="0.2">
      <c r="A744" s="10">
        <v>683</v>
      </c>
      <c r="D744" s="2" t="str">
        <f t="shared" si="10"/>
        <v>OK</v>
      </c>
    </row>
    <row r="745" spans="1:4" x14ac:dyDescent="0.2">
      <c r="A745" s="5">
        <v>684</v>
      </c>
      <c r="B745" s="138">
        <f>'Expenditures 15-22'!C65</f>
        <v>3370589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327172</v>
      </c>
      <c r="D748" s="2" t="str">
        <f t="shared" si="10"/>
        <v>Error?</v>
      </c>
    </row>
    <row r="749" spans="1:4" x14ac:dyDescent="0.2">
      <c r="A749" s="5">
        <v>688</v>
      </c>
      <c r="B749" s="138">
        <f>'Expenditures 15-22'!C70</f>
        <v>501447</v>
      </c>
      <c r="D749" s="2" t="str">
        <f t="shared" si="10"/>
        <v>Error?</v>
      </c>
    </row>
    <row r="750" spans="1:4" x14ac:dyDescent="0.2">
      <c r="A750" s="10">
        <v>689</v>
      </c>
      <c r="D750" s="2" t="str">
        <f t="shared" si="10"/>
        <v>OK</v>
      </c>
    </row>
    <row r="751" spans="1:4" x14ac:dyDescent="0.2">
      <c r="A751" s="5">
        <v>690</v>
      </c>
      <c r="B751" s="138">
        <f>'Expenditures 15-22'!C71</f>
        <v>1568943</v>
      </c>
      <c r="D751" s="2" t="str">
        <f t="shared" si="10"/>
        <v>Error?</v>
      </c>
    </row>
    <row r="752" spans="1:4" x14ac:dyDescent="0.2">
      <c r="A752" s="10">
        <v>691</v>
      </c>
      <c r="D752" s="2" t="str">
        <f t="shared" si="10"/>
        <v>OK</v>
      </c>
    </row>
    <row r="753" spans="1:4" x14ac:dyDescent="0.2">
      <c r="A753" s="5">
        <v>692</v>
      </c>
      <c r="B753" s="138">
        <f>'Expenditures 15-22'!C72</f>
        <v>2397562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32948842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140394399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12631925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753145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25156</v>
      </c>
      <c r="D774" s="2" t="str">
        <f t="shared" si="11"/>
        <v>Error?</v>
      </c>
    </row>
    <row r="775" spans="1:4" x14ac:dyDescent="0.2">
      <c r="A775" s="5">
        <v>714</v>
      </c>
      <c r="B775" s="138">
        <f>'Expenditures 15-22'!D13</f>
        <v>1507808</v>
      </c>
      <c r="D775" s="2" t="str">
        <f t="shared" si="11"/>
        <v>Error?</v>
      </c>
    </row>
    <row r="776" spans="1:4" x14ac:dyDescent="0.2">
      <c r="A776" s="5">
        <v>715</v>
      </c>
      <c r="B776" s="138">
        <f>'Expenditures 15-22'!D14</f>
        <v>159520</v>
      </c>
      <c r="D776" s="2" t="str">
        <f t="shared" si="11"/>
        <v>Error?</v>
      </c>
    </row>
    <row r="777" spans="1:4" x14ac:dyDescent="0.2">
      <c r="A777" s="5">
        <v>716</v>
      </c>
      <c r="B777" s="138">
        <f>'Expenditures 15-22'!D15</f>
        <v>35371</v>
      </c>
      <c r="D777" s="2" t="str">
        <f t="shared" si="11"/>
        <v>Error?</v>
      </c>
    </row>
    <row r="778" spans="1:4" x14ac:dyDescent="0.2">
      <c r="A778" s="5">
        <v>717</v>
      </c>
      <c r="B778" s="138">
        <f>'Expenditures 15-22'!D33</f>
        <v>20590229</v>
      </c>
      <c r="C778" s="2" t="s">
        <v>573</v>
      </c>
      <c r="D778" s="2" t="str">
        <f t="shared" si="11"/>
        <v>Error?</v>
      </c>
    </row>
    <row r="779" spans="1:4" x14ac:dyDescent="0.2">
      <c r="A779" s="5">
        <v>718</v>
      </c>
      <c r="B779" s="138">
        <f>'Expenditures 15-22'!D36</f>
        <v>488518</v>
      </c>
      <c r="D779" s="2" t="str">
        <f t="shared" si="11"/>
        <v>Error?</v>
      </c>
    </row>
    <row r="780" spans="1:4" x14ac:dyDescent="0.2">
      <c r="A780" s="5">
        <v>719</v>
      </c>
      <c r="B780" s="138">
        <f>'Expenditures 15-22'!D37</f>
        <v>1562393</v>
      </c>
      <c r="D780" s="2" t="str">
        <f t="shared" si="11"/>
        <v>Error?</v>
      </c>
    </row>
    <row r="781" spans="1:4" x14ac:dyDescent="0.2">
      <c r="A781" s="5">
        <v>720</v>
      </c>
      <c r="B781" s="138">
        <f>'Expenditures 15-22'!D38</f>
        <v>240309</v>
      </c>
      <c r="D781" s="2" t="str">
        <f t="shared" si="11"/>
        <v>Error?</v>
      </c>
    </row>
    <row r="782" spans="1:4" x14ac:dyDescent="0.2">
      <c r="A782" s="5">
        <v>721</v>
      </c>
      <c r="B782" s="138">
        <f>'Expenditures 15-22'!D39</f>
        <v>400349</v>
      </c>
      <c r="D782" s="2" t="str">
        <f t="shared" si="11"/>
        <v>Error?</v>
      </c>
    </row>
    <row r="783" spans="1:4" x14ac:dyDescent="0.2">
      <c r="A783" s="5">
        <v>722</v>
      </c>
      <c r="B783" s="138">
        <f>'Expenditures 15-22'!D40</f>
        <v>156564</v>
      </c>
      <c r="D783" s="2" t="str">
        <f t="shared" si="11"/>
        <v>Error?</v>
      </c>
    </row>
    <row r="784" spans="1:4" x14ac:dyDescent="0.2">
      <c r="A784" s="5">
        <v>723</v>
      </c>
      <c r="B784" s="138">
        <f>'Expenditures 15-22'!D41</f>
        <v>1312487</v>
      </c>
      <c r="D784" s="2" t="str">
        <f t="shared" si="11"/>
        <v>Error?</v>
      </c>
    </row>
    <row r="785" spans="1:4" x14ac:dyDescent="0.2">
      <c r="A785" s="5">
        <v>724</v>
      </c>
      <c r="B785" s="138">
        <f>'Expenditures 15-22'!D42</f>
        <v>4160620</v>
      </c>
      <c r="C785" s="2" t="s">
        <v>573</v>
      </c>
      <c r="D785" s="2" t="str">
        <f t="shared" si="11"/>
        <v>Error?</v>
      </c>
    </row>
    <row r="786" spans="1:4" x14ac:dyDescent="0.2">
      <c r="A786" s="5">
        <v>725</v>
      </c>
      <c r="B786" s="138">
        <f>'Expenditures 15-22'!D44</f>
        <v>201621</v>
      </c>
      <c r="D786" s="2" t="str">
        <f t="shared" si="11"/>
        <v>Error?</v>
      </c>
    </row>
    <row r="787" spans="1:4" x14ac:dyDescent="0.2">
      <c r="A787" s="5">
        <v>726</v>
      </c>
      <c r="B787" s="138">
        <f>'Expenditures 15-22'!D45</f>
        <v>442502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644123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43137</v>
      </c>
      <c r="D791" s="2" t="str">
        <f t="shared" si="11"/>
        <v>Error?</v>
      </c>
    </row>
    <row r="792" spans="1:4" x14ac:dyDescent="0.2">
      <c r="A792" s="5">
        <v>731</v>
      </c>
      <c r="B792" s="138">
        <f>'Expenditures 15-22'!D53</f>
        <v>187900</v>
      </c>
      <c r="C792" s="2" t="s">
        <v>573</v>
      </c>
      <c r="D792" s="2" t="str">
        <f t="shared" si="11"/>
        <v>Error?</v>
      </c>
    </row>
    <row r="793" spans="1:4" x14ac:dyDescent="0.2">
      <c r="A793" s="5">
        <v>732</v>
      </c>
      <c r="B793" s="138">
        <f>'Expenditures 15-22'!D55</f>
        <v>2068149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2068149</v>
      </c>
      <c r="C795" s="2" t="s">
        <v>573</v>
      </c>
      <c r="D795" s="2" t="str">
        <f t="shared" si="11"/>
        <v>Error?</v>
      </c>
    </row>
    <row r="796" spans="1:4" x14ac:dyDescent="0.2">
      <c r="A796" s="5">
        <v>735</v>
      </c>
      <c r="B796" s="138">
        <f>'Expenditures 15-22'!D59</f>
        <v>30588</v>
      </c>
      <c r="D796" s="2" t="str">
        <f t="shared" si="11"/>
        <v>Error?</v>
      </c>
    </row>
    <row r="797" spans="1:4" x14ac:dyDescent="0.2">
      <c r="A797" s="5">
        <v>736</v>
      </c>
      <c r="B797" s="138">
        <f>'Expenditures 15-22'!D60</f>
        <v>245193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1474678</v>
      </c>
      <c r="D800" s="2" t="str">
        <f t="shared" si="11"/>
        <v>Error?</v>
      </c>
    </row>
    <row r="801" spans="1:4" x14ac:dyDescent="0.2">
      <c r="A801" s="5">
        <v>740</v>
      </c>
      <c r="B801" s="138">
        <f>'Expenditures 15-22'!D64</f>
        <v>23967</v>
      </c>
      <c r="D801" s="2" t="str">
        <f t="shared" si="11"/>
        <v>Error?</v>
      </c>
    </row>
    <row r="802" spans="1:4" x14ac:dyDescent="0.2">
      <c r="A802" s="10">
        <v>741</v>
      </c>
      <c r="D802" s="2" t="str">
        <f t="shared" si="11"/>
        <v>OK</v>
      </c>
    </row>
    <row r="803" spans="1:4" x14ac:dyDescent="0.2">
      <c r="A803" s="5">
        <v>742</v>
      </c>
      <c r="B803" s="138">
        <f>'Expenditures 15-22'!D65</f>
        <v>1774426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61628</v>
      </c>
      <c r="D806" s="2" t="str">
        <f t="shared" si="11"/>
        <v>Error?</v>
      </c>
    </row>
    <row r="807" spans="1:4" x14ac:dyDescent="0.2">
      <c r="A807" s="5">
        <v>746</v>
      </c>
      <c r="B807" s="138">
        <f>'Expenditures 15-22'!D70</f>
        <v>105945</v>
      </c>
      <c r="D807" s="2" t="str">
        <f t="shared" si="11"/>
        <v>Error?</v>
      </c>
    </row>
    <row r="808" spans="1:4" x14ac:dyDescent="0.2">
      <c r="A808" s="10">
        <v>747</v>
      </c>
      <c r="D808" s="2" t="str">
        <f t="shared" si="11"/>
        <v>OK</v>
      </c>
    </row>
    <row r="809" spans="1:4" x14ac:dyDescent="0.2">
      <c r="A809" s="5">
        <v>748</v>
      </c>
      <c r="B809" s="138">
        <f>'Expenditures 15-22'!D71</f>
        <v>287360</v>
      </c>
      <c r="D809" s="2" t="str">
        <f t="shared" si="11"/>
        <v>Error?</v>
      </c>
    </row>
    <row r="810" spans="1:4" x14ac:dyDescent="0.2">
      <c r="A810" s="10">
        <v>749</v>
      </c>
      <c r="D810" s="2" t="str">
        <f t="shared" si="11"/>
        <v>OK</v>
      </c>
    </row>
    <row r="811" spans="1:4" x14ac:dyDescent="0.2">
      <c r="A811" s="5">
        <v>750</v>
      </c>
      <c r="B811" s="138">
        <f>'Expenditures 15-22'!D72</f>
        <v>454933</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9290151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29880380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260894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22311</v>
      </c>
      <c r="D832" s="2" t="str">
        <f t="shared" si="12"/>
        <v>Error?</v>
      </c>
    </row>
    <row r="833" spans="1:4" x14ac:dyDescent="0.2">
      <c r="A833" s="5">
        <v>772</v>
      </c>
      <c r="B833" s="138">
        <f>'Expenditures 15-22'!E13</f>
        <v>128002</v>
      </c>
      <c r="D833" s="2" t="str">
        <f t="shared" si="12"/>
        <v>Error?</v>
      </c>
    </row>
    <row r="834" spans="1:4" x14ac:dyDescent="0.2">
      <c r="A834" s="5">
        <v>773</v>
      </c>
      <c r="B834" s="138">
        <f>'Expenditures 15-22'!E14</f>
        <v>1103416</v>
      </c>
      <c r="D834" s="2" t="str">
        <f t="shared" si="12"/>
        <v>Error?</v>
      </c>
    </row>
    <row r="835" spans="1:4" x14ac:dyDescent="0.2">
      <c r="A835" s="5">
        <v>774</v>
      </c>
      <c r="B835" s="138">
        <f>'Expenditures 15-22'!E15</f>
        <v>101673</v>
      </c>
      <c r="D835" s="2" t="str">
        <f t="shared" si="12"/>
        <v>Error?</v>
      </c>
    </row>
    <row r="836" spans="1:4" x14ac:dyDescent="0.2">
      <c r="A836" s="5">
        <v>775</v>
      </c>
      <c r="B836" s="138">
        <f>'Expenditures 15-22'!E33</f>
        <v>2437107</v>
      </c>
      <c r="C836" s="2" t="s">
        <v>573</v>
      </c>
      <c r="D836" s="2" t="str">
        <f t="shared" si="12"/>
        <v>Error?</v>
      </c>
    </row>
    <row r="837" spans="1:4" x14ac:dyDescent="0.2">
      <c r="A837" s="5">
        <v>776</v>
      </c>
      <c r="B837" s="138">
        <f>'Expenditures 15-22'!E36</f>
        <v>848323</v>
      </c>
      <c r="D837" s="2" t="str">
        <f t="shared" si="12"/>
        <v>Error?</v>
      </c>
    </row>
    <row r="838" spans="1:4" x14ac:dyDescent="0.2">
      <c r="A838" s="5">
        <v>777</v>
      </c>
      <c r="B838" s="138">
        <f>'Expenditures 15-22'!E37</f>
        <v>40213</v>
      </c>
      <c r="D838" s="2" t="str">
        <f t="shared" si="12"/>
        <v>Error?</v>
      </c>
    </row>
    <row r="839" spans="1:4" x14ac:dyDescent="0.2">
      <c r="A839" s="5">
        <v>778</v>
      </c>
      <c r="B839" s="138">
        <f>'Expenditures 15-22'!E38</f>
        <v>4936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893472</v>
      </c>
      <c r="C843" s="2" t="s">
        <v>573</v>
      </c>
      <c r="D843" s="2" t="str">
        <f t="shared" si="12"/>
        <v>Error?</v>
      </c>
    </row>
    <row r="844" spans="1:4" x14ac:dyDescent="0.2">
      <c r="A844" s="5">
        <v>783</v>
      </c>
      <c r="B844" s="138">
        <f>'Expenditures 15-22'!E44</f>
        <v>254105</v>
      </c>
      <c r="D844" s="2" t="str">
        <f t="shared" si="12"/>
        <v>Error?</v>
      </c>
    </row>
    <row r="845" spans="1:4" x14ac:dyDescent="0.2">
      <c r="A845" s="5">
        <v>784</v>
      </c>
      <c r="B845" s="138">
        <f>'Expenditures 15-22'!E45</f>
        <v>148326</v>
      </c>
      <c r="D845" s="2" t="str">
        <f t="shared" si="12"/>
        <v>Error?</v>
      </c>
    </row>
    <row r="846" spans="1:4" x14ac:dyDescent="0.2">
      <c r="A846" s="5">
        <v>785</v>
      </c>
      <c r="B846" s="138">
        <f>'Expenditures 15-22'!E46</f>
        <v>222315</v>
      </c>
      <c r="D846" s="2" t="str">
        <f t="shared" si="12"/>
        <v>Error?</v>
      </c>
    </row>
    <row r="847" spans="1:4" x14ac:dyDescent="0.2">
      <c r="A847" s="5">
        <v>786</v>
      </c>
      <c r="B847" s="138">
        <f>'Expenditures 15-22'!E47</f>
        <v>624746</v>
      </c>
      <c r="C847" s="2" t="s">
        <v>573</v>
      </c>
      <c r="D847" s="2" t="str">
        <f t="shared" si="12"/>
        <v>Error?</v>
      </c>
    </row>
    <row r="848" spans="1:4" x14ac:dyDescent="0.2">
      <c r="A848" s="5">
        <v>787</v>
      </c>
      <c r="B848" s="138">
        <f>'Expenditures 15-22'!E49</f>
        <v>456028</v>
      </c>
      <c r="D848" s="2" t="str">
        <f t="shared" si="12"/>
        <v>Error?</v>
      </c>
    </row>
    <row r="849" spans="1:4" x14ac:dyDescent="0.2">
      <c r="A849" s="5">
        <v>788</v>
      </c>
      <c r="B849" s="138">
        <f>'Expenditures 15-22'!E50</f>
        <v>9215</v>
      </c>
      <c r="D849" s="2" t="str">
        <f t="shared" si="12"/>
        <v>Error?</v>
      </c>
    </row>
    <row r="850" spans="1:4" x14ac:dyDescent="0.2">
      <c r="A850" s="5">
        <v>789</v>
      </c>
      <c r="B850" s="138">
        <f>'Expenditures 15-22'!E53</f>
        <v>480103</v>
      </c>
      <c r="C850" s="2" t="s">
        <v>573</v>
      </c>
      <c r="D850" s="2" t="str">
        <f t="shared" si="12"/>
        <v>Error?</v>
      </c>
    </row>
    <row r="851" spans="1:4" x14ac:dyDescent="0.2">
      <c r="A851" s="5">
        <v>790</v>
      </c>
      <c r="B851" s="138">
        <f>'Expenditures 15-22'!E55</f>
        <v>369090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369090</v>
      </c>
      <c r="C853" s="2" t="s">
        <v>573</v>
      </c>
      <c r="D853" s="2" t="str">
        <f t="shared" si="12"/>
        <v>Error?</v>
      </c>
    </row>
    <row r="854" spans="1:4" x14ac:dyDescent="0.2">
      <c r="A854" s="5">
        <v>793</v>
      </c>
      <c r="B854" s="138">
        <f>'Expenditures 15-22'!E59</f>
        <v>3549</v>
      </c>
      <c r="D854" s="2" t="str">
        <f t="shared" si="12"/>
        <v>Error?</v>
      </c>
    </row>
    <row r="855" spans="1:4" x14ac:dyDescent="0.2">
      <c r="A855" s="5">
        <v>794</v>
      </c>
      <c r="B855" s="138">
        <f>'Expenditures 15-22'!E60</f>
        <v>35353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26856</v>
      </c>
      <c r="D858" s="2" t="str">
        <f t="shared" si="12"/>
        <v>Error?</v>
      </c>
    </row>
    <row r="859" spans="1:4" x14ac:dyDescent="0.2">
      <c r="A859" s="5">
        <v>798</v>
      </c>
      <c r="B859" s="138">
        <f>'Expenditures 15-22'!E64</f>
        <v>1568</v>
      </c>
      <c r="D859" s="2" t="str">
        <f t="shared" si="12"/>
        <v>Error?</v>
      </c>
    </row>
    <row r="860" spans="1:4" x14ac:dyDescent="0.2">
      <c r="A860" s="10">
        <v>799</v>
      </c>
      <c r="D860" s="2" t="str">
        <f t="shared" si="12"/>
        <v>OK</v>
      </c>
    </row>
    <row r="861" spans="1:4" x14ac:dyDescent="0.2">
      <c r="A861" s="5">
        <v>800</v>
      </c>
      <c r="B861" s="138">
        <f>'Expenditures 15-22'!E65</f>
        <v>67326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5144</v>
      </c>
      <c r="D864" s="2" t="str">
        <f t="shared" si="12"/>
        <v>Error?</v>
      </c>
    </row>
    <row r="865" spans="1:4" x14ac:dyDescent="0.2">
      <c r="A865" s="5">
        <v>804</v>
      </c>
      <c r="B865" s="138">
        <f>'Expenditures 15-22'!E70</f>
        <v>40766</v>
      </c>
      <c r="D865" s="2" t="str">
        <f t="shared" si="12"/>
        <v>Error?</v>
      </c>
    </row>
    <row r="866" spans="1:4" x14ac:dyDescent="0.2">
      <c r="A866" s="10">
        <v>805</v>
      </c>
      <c r="D866" s="2" t="str">
        <f t="shared" si="12"/>
        <v>OK</v>
      </c>
    </row>
    <row r="867" spans="1:4" x14ac:dyDescent="0.2">
      <c r="A867" s="5">
        <v>806</v>
      </c>
      <c r="B867" s="138">
        <f>'Expenditures 15-22'!E71</f>
        <v>1454806</v>
      </c>
      <c r="D867" s="2" t="str">
        <f t="shared" si="12"/>
        <v>Error?</v>
      </c>
    </row>
    <row r="868" spans="1:4" x14ac:dyDescent="0.2">
      <c r="A868" s="10">
        <v>807</v>
      </c>
      <c r="D868" s="2" t="str">
        <f t="shared" si="12"/>
        <v>OK</v>
      </c>
    </row>
    <row r="869" spans="1:4" x14ac:dyDescent="0.2">
      <c r="A869" s="5">
        <v>808</v>
      </c>
      <c r="B869" s="138">
        <f>'Expenditures 15-22'!E72</f>
        <v>1500716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3935453</v>
      </c>
      <c r="C871" s="2" t="s">
        <v>573</v>
      </c>
      <c r="D871" s="2" t="str">
        <f t="shared" si="12"/>
        <v>Error?</v>
      </c>
    </row>
    <row r="872" spans="1:4" x14ac:dyDescent="0.2">
      <c r="A872" s="5">
        <v>811</v>
      </c>
      <c r="B872" s="138">
        <f>'Expenditures 15-22'!E75</f>
        <v>5843</v>
      </c>
      <c r="D872" s="2" t="str">
        <f t="shared" si="12"/>
        <v>Error?</v>
      </c>
    </row>
    <row r="873" spans="1:4" x14ac:dyDescent="0.2">
      <c r="A873" s="5">
        <v>812</v>
      </c>
      <c r="B873" s="138">
        <f>'Expenditures 15-22'!E114</f>
        <v>6378403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1558814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3685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16559</v>
      </c>
      <c r="D890" s="2" t="str">
        <f t="shared" si="12"/>
        <v>Error?</v>
      </c>
    </row>
    <row r="891" spans="1:4" x14ac:dyDescent="0.2">
      <c r="A891" s="5">
        <v>830</v>
      </c>
      <c r="B891" s="138">
        <f>'Expenditures 15-22'!F13</f>
        <v>406580</v>
      </c>
      <c r="D891" s="2" t="str">
        <f t="shared" si="12"/>
        <v>Error?</v>
      </c>
    </row>
    <row r="892" spans="1:4" x14ac:dyDescent="0.2">
      <c r="A892" s="5">
        <v>831</v>
      </c>
      <c r="B892" s="138">
        <f>'Expenditures 15-22'!F14</f>
        <v>518606</v>
      </c>
      <c r="D892" s="2" t="str">
        <f t="shared" si="12"/>
        <v>Error?</v>
      </c>
    </row>
    <row r="893" spans="1:4" x14ac:dyDescent="0.2">
      <c r="A893" s="5">
        <v>832</v>
      </c>
      <c r="B893" s="138">
        <f>'Expenditures 15-22'!F15</f>
        <v>7091</v>
      </c>
      <c r="D893" s="2" t="str">
        <f t="shared" si="12"/>
        <v>Error?</v>
      </c>
    </row>
    <row r="894" spans="1:4" x14ac:dyDescent="0.2">
      <c r="A894" s="5">
        <v>833</v>
      </c>
      <c r="B894" s="138">
        <f>'Expenditures 15-22'!F33</f>
        <v>2650918</v>
      </c>
      <c r="C894" s="2" t="s">
        <v>573</v>
      </c>
      <c r="D894" s="2" t="str">
        <f t="shared" si="12"/>
        <v>Error?</v>
      </c>
    </row>
    <row r="895" spans="1:4" x14ac:dyDescent="0.2">
      <c r="A895" s="5">
        <v>834</v>
      </c>
      <c r="B895" s="138">
        <f>'Expenditures 15-22'!F36</f>
        <v>12427</v>
      </c>
      <c r="D895" s="2" t="str">
        <f t="shared" ref="D895:D958" si="13">IF(ISBLANK(B895),"OK",IF(A895-B895=0,"OK","Error?"))</f>
        <v>Error?</v>
      </c>
    </row>
    <row r="896" spans="1:4" x14ac:dyDescent="0.2">
      <c r="A896" s="5">
        <v>835</v>
      </c>
      <c r="B896" s="138">
        <f>'Expenditures 15-22'!F37</f>
        <v>679954</v>
      </c>
      <c r="D896" s="2" t="str">
        <f t="shared" si="13"/>
        <v>Error?</v>
      </c>
    </row>
    <row r="897" spans="1:4" x14ac:dyDescent="0.2">
      <c r="A897" s="5">
        <v>836</v>
      </c>
      <c r="B897" s="138">
        <f>'Expenditures 15-22'!F38</f>
        <v>36093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728474</v>
      </c>
      <c r="C901" s="2" t="s">
        <v>573</v>
      </c>
      <c r="D901" s="2" t="str">
        <f t="shared" si="13"/>
        <v>Error?</v>
      </c>
    </row>
    <row r="902" spans="1:4" x14ac:dyDescent="0.2">
      <c r="A902" s="5">
        <v>841</v>
      </c>
      <c r="B902" s="138">
        <f>'Expenditures 15-22'!F44</f>
        <v>33581</v>
      </c>
      <c r="D902" s="2" t="str">
        <f t="shared" si="13"/>
        <v>Error?</v>
      </c>
    </row>
    <row r="903" spans="1:4" x14ac:dyDescent="0.2">
      <c r="A903" s="5">
        <v>842</v>
      </c>
      <c r="B903" s="138">
        <f>'Expenditures 15-22'!F45</f>
        <v>64160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97741</v>
      </c>
      <c r="C905" s="2" t="s">
        <v>573</v>
      </c>
      <c r="D905" s="2" t="str">
        <f t="shared" si="13"/>
        <v>Error?</v>
      </c>
    </row>
    <row r="906" spans="1:4" x14ac:dyDescent="0.2">
      <c r="A906" s="5">
        <v>845</v>
      </c>
      <c r="B906" s="138">
        <f>'Expenditures 15-22'!F49</f>
        <v>2659</v>
      </c>
      <c r="D906" s="2" t="str">
        <f t="shared" si="13"/>
        <v>Error?</v>
      </c>
    </row>
    <row r="907" spans="1:4" x14ac:dyDescent="0.2">
      <c r="A907" s="5">
        <v>846</v>
      </c>
      <c r="B907" s="138">
        <f>'Expenditures 15-22'!F50</f>
        <v>4170</v>
      </c>
      <c r="D907" s="2" t="str">
        <f t="shared" si="13"/>
        <v>Error?</v>
      </c>
    </row>
    <row r="908" spans="1:4" x14ac:dyDescent="0.2">
      <c r="A908" s="5">
        <v>847</v>
      </c>
      <c r="B908" s="138">
        <f>'Expenditures 15-22'!F53</f>
        <v>8554</v>
      </c>
      <c r="C908" s="2" t="s">
        <v>573</v>
      </c>
      <c r="D908" s="2" t="str">
        <f t="shared" si="13"/>
        <v>Error?</v>
      </c>
    </row>
    <row r="909" spans="1:4" x14ac:dyDescent="0.2">
      <c r="A909" s="5">
        <v>848</v>
      </c>
      <c r="B909" s="138">
        <f>'Expenditures 15-22'!F55</f>
        <v>475310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475310</v>
      </c>
      <c r="C911" s="2" t="s">
        <v>573</v>
      </c>
      <c r="D911" s="2" t="str">
        <f t="shared" si="13"/>
        <v>Error?</v>
      </c>
    </row>
    <row r="912" spans="1:4" x14ac:dyDescent="0.2">
      <c r="A912" s="5">
        <v>851</v>
      </c>
      <c r="B912" s="138">
        <f>'Expenditures 15-22'!F59</f>
        <v>2580</v>
      </c>
      <c r="D912" s="2" t="str">
        <f t="shared" si="13"/>
        <v>Error?</v>
      </c>
    </row>
    <row r="913" spans="1:4" x14ac:dyDescent="0.2">
      <c r="A913" s="5">
        <v>852</v>
      </c>
      <c r="B913" s="138">
        <f>'Expenditures 15-22'!F60</f>
        <v>6850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1942843</v>
      </c>
      <c r="D916" s="2" t="str">
        <f t="shared" si="13"/>
        <v>Error?</v>
      </c>
    </row>
    <row r="917" spans="1:4" x14ac:dyDescent="0.2">
      <c r="A917" s="5">
        <v>856</v>
      </c>
      <c r="B917" s="138">
        <f>'Expenditures 15-22'!F64</f>
        <v>137</v>
      </c>
      <c r="D917" s="2" t="str">
        <f t="shared" si="13"/>
        <v>Error?</v>
      </c>
    </row>
    <row r="918" spans="1:4" x14ac:dyDescent="0.2">
      <c r="A918" s="10">
        <v>857</v>
      </c>
      <c r="D918" s="2" t="str">
        <f t="shared" si="13"/>
        <v>OK</v>
      </c>
    </row>
    <row r="919" spans="1:4" x14ac:dyDescent="0.2">
      <c r="A919" s="5">
        <v>858</v>
      </c>
      <c r="B919" s="138">
        <f>'Expenditures 15-22'!F65</f>
        <v>1952410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167508</v>
      </c>
      <c r="D922" s="2" t="str">
        <f t="shared" si="13"/>
        <v>Error?</v>
      </c>
    </row>
    <row r="923" spans="1:4" x14ac:dyDescent="0.2">
      <c r="A923" s="5">
        <v>862</v>
      </c>
      <c r="B923" s="138">
        <f>'Expenditures 15-22'!F70</f>
        <v>5079</v>
      </c>
      <c r="D923" s="2" t="str">
        <f t="shared" si="13"/>
        <v>Error?</v>
      </c>
    </row>
    <row r="924" spans="1:4" x14ac:dyDescent="0.2">
      <c r="A924" s="10">
        <v>863</v>
      </c>
      <c r="D924" s="2" t="str">
        <f t="shared" si="13"/>
        <v>OK</v>
      </c>
    </row>
    <row r="925" spans="1:4" x14ac:dyDescent="0.2">
      <c r="A925" s="5">
        <v>864</v>
      </c>
      <c r="B925" s="138">
        <f>'Expenditures 15-22'!F71</f>
        <v>125193</v>
      </c>
      <c r="D925" s="2" t="str">
        <f t="shared" si="13"/>
        <v>Error?</v>
      </c>
    </row>
    <row r="926" spans="1:4" x14ac:dyDescent="0.2">
      <c r="A926" s="10">
        <v>865</v>
      </c>
      <c r="D926" s="2" t="str">
        <f t="shared" si="13"/>
        <v>OK</v>
      </c>
    </row>
    <row r="927" spans="1:4" x14ac:dyDescent="0.2">
      <c r="A927" s="5">
        <v>866</v>
      </c>
      <c r="B927" s="138">
        <f>'Expenditures 15-22'!F72</f>
        <v>297780</v>
      </c>
      <c r="C927" s="2" t="s">
        <v>573</v>
      </c>
      <c r="D927" s="2" t="str">
        <f t="shared" si="13"/>
        <v>Error?</v>
      </c>
    </row>
    <row r="928" spans="1:4" x14ac:dyDescent="0.2">
      <c r="A928" s="5">
        <v>867</v>
      </c>
      <c r="B928" s="138">
        <f>'Expenditures 15-22'!F73</f>
        <v>201</v>
      </c>
      <c r="D928" s="2" t="str">
        <f t="shared" si="13"/>
        <v>Error?</v>
      </c>
    </row>
    <row r="929" spans="1:4" x14ac:dyDescent="0.2">
      <c r="A929" s="5">
        <v>868</v>
      </c>
      <c r="B929" s="138">
        <f>'Expenditures 15-22'!F74</f>
        <v>3560470</v>
      </c>
      <c r="C929" s="2" t="s">
        <v>573</v>
      </c>
      <c r="D929" s="2" t="str">
        <f t="shared" si="13"/>
        <v>Error?</v>
      </c>
    </row>
    <row r="930" spans="1:4" x14ac:dyDescent="0.2">
      <c r="A930" s="5">
        <v>869</v>
      </c>
      <c r="B930" s="138">
        <f>'Expenditures 15-22'!F75</f>
        <v>5863</v>
      </c>
      <c r="D930" s="2" t="str">
        <f t="shared" si="13"/>
        <v>Error?</v>
      </c>
    </row>
    <row r="931" spans="1:4" x14ac:dyDescent="0.2">
      <c r="A931" s="5">
        <v>870</v>
      </c>
      <c r="B931" s="138">
        <f>'Expenditures 15-22'!F114</f>
        <v>6217251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403361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10496</v>
      </c>
      <c r="D949" s="2" t="str">
        <f t="shared" si="13"/>
        <v>Error?</v>
      </c>
    </row>
    <row r="950" spans="1:4" x14ac:dyDescent="0.2">
      <c r="A950" s="5">
        <v>889</v>
      </c>
      <c r="B950" s="138">
        <f>'Expenditures 15-22'!G14</f>
        <v>15000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428857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41789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586173</v>
      </c>
      <c r="D983" s="2" t="str">
        <f t="shared" si="14"/>
        <v>Error?</v>
      </c>
    </row>
    <row r="984" spans="1:4" x14ac:dyDescent="0.2">
      <c r="A984" s="10">
        <v>923</v>
      </c>
      <c r="D984" s="2" t="str">
        <f t="shared" si="14"/>
        <v>OK</v>
      </c>
    </row>
    <row r="985" spans="1:4" x14ac:dyDescent="0.2">
      <c r="A985" s="5">
        <v>924</v>
      </c>
      <c r="B985" s="138">
        <f>'Expenditures 15-22'!G72</f>
        <v>627962</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627962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1056819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39174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17021</v>
      </c>
      <c r="D1007" s="2" t="str">
        <f t="shared" si="14"/>
        <v>Error?</v>
      </c>
    </row>
    <row r="1008" spans="1:4" x14ac:dyDescent="0.2">
      <c r="A1008" s="5">
        <v>947</v>
      </c>
      <c r="B1008" s="138">
        <f>'Expenditures 15-22'!H14</f>
        <v>329956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386246</v>
      </c>
      <c r="C1010" s="2" t="s">
        <v>573</v>
      </c>
      <c r="D1010" s="2" t="str">
        <f t="shared" si="14"/>
        <v>Error?</v>
      </c>
    </row>
    <row r="1011" spans="1:4" x14ac:dyDescent="0.2">
      <c r="A1011" s="5">
        <v>950</v>
      </c>
      <c r="B1011" s="138">
        <f>'Expenditures 15-22'!H36</f>
        <v>525</v>
      </c>
      <c r="D1011" s="2" t="str">
        <f t="shared" si="14"/>
        <v>Error?</v>
      </c>
    </row>
    <row r="1012" spans="1:4" x14ac:dyDescent="0.2">
      <c r="A1012" s="5">
        <v>951</v>
      </c>
      <c r="B1012" s="138">
        <f>'Expenditures 15-22'!H37</f>
        <v>4300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4825</v>
      </c>
      <c r="C1017" s="2" t="s">
        <v>573</v>
      </c>
      <c r="D1017" s="2" t="str">
        <f t="shared" si="14"/>
        <v>Error?</v>
      </c>
    </row>
    <row r="1018" spans="1:4" x14ac:dyDescent="0.2">
      <c r="A1018" s="5">
        <v>957</v>
      </c>
      <c r="B1018" s="138">
        <f>'Expenditures 15-22'!H44</f>
        <v>964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964</v>
      </c>
      <c r="C1021" s="2" t="s">
        <v>573</v>
      </c>
      <c r="D1021" s="2" t="str">
        <f t="shared" si="14"/>
        <v>Error?</v>
      </c>
    </row>
    <row r="1022" spans="1:4" x14ac:dyDescent="0.2">
      <c r="A1022" s="5">
        <v>961</v>
      </c>
      <c r="B1022" s="138">
        <f>'Expenditures 15-22'!H49</f>
        <v>35507</v>
      </c>
      <c r="D1022" s="2" t="str">
        <f t="shared" si="14"/>
        <v>Error?</v>
      </c>
    </row>
    <row r="1023" spans="1:4" x14ac:dyDescent="0.2">
      <c r="A1023" s="5">
        <v>962</v>
      </c>
      <c r="B1023" s="138">
        <f>'Expenditures 15-22'!H50</f>
        <v>2148</v>
      </c>
      <c r="D1023" s="2" t="str">
        <f t="shared" ref="D1023:D1086" si="15">IF(ISBLANK(B1023),"OK",IF(A1023-B1023=0,"OK","Error?"))</f>
        <v>Error?</v>
      </c>
    </row>
    <row r="1024" spans="1:4" x14ac:dyDescent="0.2">
      <c r="A1024" s="5">
        <v>963</v>
      </c>
      <c r="B1024" s="138">
        <f>'Expenditures 15-22'!H53</f>
        <v>37655</v>
      </c>
      <c r="C1024" s="2" t="s">
        <v>573</v>
      </c>
      <c r="D1024" s="2" t="str">
        <f t="shared" si="15"/>
        <v>Error?</v>
      </c>
    </row>
    <row r="1025" spans="1:4" x14ac:dyDescent="0.2">
      <c r="A1025" s="5">
        <v>964</v>
      </c>
      <c r="B1025" s="138">
        <f>'Expenditures 15-22'!H55</f>
        <v>22906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22906</v>
      </c>
      <c r="C1027" s="2" t="s">
        <v>573</v>
      </c>
      <c r="D1027" s="2" t="str">
        <f t="shared" si="15"/>
        <v>Error?</v>
      </c>
    </row>
    <row r="1028" spans="1:4" x14ac:dyDescent="0.2">
      <c r="A1028" s="5">
        <v>967</v>
      </c>
      <c r="B1028" s="138">
        <f>'Expenditures 15-22'!H59</f>
        <v>1470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33635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35105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101455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8265521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8753222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83544783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3437338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665189</v>
      </c>
      <c r="C1104" s="2" t="s">
        <v>573</v>
      </c>
      <c r="D1104" s="2" t="str">
        <f t="shared" si="16"/>
        <v>Error?</v>
      </c>
    </row>
    <row r="1105" spans="1:4" x14ac:dyDescent="0.2">
      <c r="A1105" s="5">
        <v>1044</v>
      </c>
      <c r="B1105" s="138">
        <f>'Expenditures 15-22'!K13</f>
        <v>10037746</v>
      </c>
      <c r="C1105" s="2" t="s">
        <v>573</v>
      </c>
      <c r="D1105" s="2" t="str">
        <f t="shared" si="16"/>
        <v>Error?</v>
      </c>
    </row>
    <row r="1106" spans="1:4" x14ac:dyDescent="0.2">
      <c r="A1106" s="5">
        <v>1045</v>
      </c>
      <c r="B1106" s="138">
        <f>'Expenditures 15-22'!K14</f>
        <v>10265874</v>
      </c>
      <c r="C1106" s="2" t="s">
        <v>573</v>
      </c>
      <c r="D1106" s="2" t="str">
        <f t="shared" si="16"/>
        <v>Error?</v>
      </c>
    </row>
    <row r="1107" spans="1:4" x14ac:dyDescent="0.2">
      <c r="A1107" s="5">
        <v>1046</v>
      </c>
      <c r="B1107" s="138">
        <f>'Expenditures 15-22'!K15</f>
        <v>2381267</v>
      </c>
      <c r="C1107" s="2" t="s">
        <v>573</v>
      </c>
      <c r="D1107" s="2" t="str">
        <f t="shared" si="16"/>
        <v>Error?</v>
      </c>
    </row>
    <row r="1108" spans="1:4" x14ac:dyDescent="0.2">
      <c r="A1108" s="5">
        <v>1047</v>
      </c>
      <c r="B1108" s="138">
        <f>'Expenditures 15-22'!K33</f>
        <v>137265441</v>
      </c>
      <c r="C1108" s="2" t="s">
        <v>573</v>
      </c>
      <c r="D1108" s="2" t="str">
        <f t="shared" si="16"/>
        <v>Error?</v>
      </c>
    </row>
    <row r="1109" spans="1:4" x14ac:dyDescent="0.2">
      <c r="A1109" s="5">
        <v>1048</v>
      </c>
      <c r="B1109" s="138">
        <f>'Expenditures 15-22'!K36</f>
        <v>3078649</v>
      </c>
      <c r="C1109" s="2" t="s">
        <v>573</v>
      </c>
      <c r="D1109" s="2" t="str">
        <f t="shared" si="16"/>
        <v>Error?</v>
      </c>
    </row>
    <row r="1110" spans="1:4" x14ac:dyDescent="0.2">
      <c r="A1110" s="5">
        <v>1049</v>
      </c>
      <c r="B1110" s="138">
        <f>'Expenditures 15-22'!K37</f>
        <v>9441496</v>
      </c>
      <c r="C1110" s="2" t="s">
        <v>573</v>
      </c>
      <c r="D1110" s="2" t="str">
        <f t="shared" si="16"/>
        <v>Error?</v>
      </c>
    </row>
    <row r="1111" spans="1:4" x14ac:dyDescent="0.2">
      <c r="A1111" s="5">
        <v>1050</v>
      </c>
      <c r="B1111" s="138">
        <f>'Expenditures 15-22'!K38</f>
        <v>1008024</v>
      </c>
      <c r="C1111" s="2" t="s">
        <v>573</v>
      </c>
      <c r="D1111" s="2" t="str">
        <f t="shared" si="16"/>
        <v>Error?</v>
      </c>
    </row>
    <row r="1112" spans="1:4" x14ac:dyDescent="0.2">
      <c r="A1112" s="5">
        <v>1051</v>
      </c>
      <c r="B1112" s="138">
        <f>'Expenditures 15-22'!K39</f>
        <v>2575334</v>
      </c>
      <c r="C1112" s="2" t="s">
        <v>573</v>
      </c>
      <c r="D1112" s="2" t="str">
        <f t="shared" si="16"/>
        <v>Error?</v>
      </c>
    </row>
    <row r="1113" spans="1:4" x14ac:dyDescent="0.2">
      <c r="A1113" s="5">
        <v>1052</v>
      </c>
      <c r="B1113" s="138">
        <f>'Expenditures 15-22'!K40</f>
        <v>1334221</v>
      </c>
      <c r="C1113" s="2" t="s">
        <v>573</v>
      </c>
      <c r="D1113" s="2" t="str">
        <f t="shared" si="16"/>
        <v>Error?</v>
      </c>
    </row>
    <row r="1114" spans="1:4" x14ac:dyDescent="0.2">
      <c r="A1114" s="5">
        <v>1053</v>
      </c>
      <c r="B1114" s="138">
        <f>'Expenditures 15-22'!K41</f>
        <v>3427261</v>
      </c>
      <c r="C1114" s="2" t="s">
        <v>573</v>
      </c>
      <c r="D1114" s="2" t="str">
        <f t="shared" si="16"/>
        <v>Error?</v>
      </c>
    </row>
    <row r="1115" spans="1:4" x14ac:dyDescent="0.2">
      <c r="A1115" s="5">
        <v>1054</v>
      </c>
      <c r="B1115" s="138">
        <f>'Expenditures 15-22'!K42</f>
        <v>20864985</v>
      </c>
      <c r="C1115" s="2" t="s">
        <v>573</v>
      </c>
      <c r="D1115" s="2" t="str">
        <f t="shared" si="16"/>
        <v>Error?</v>
      </c>
    </row>
    <row r="1116" spans="1:4" x14ac:dyDescent="0.2">
      <c r="A1116" s="5">
        <v>1055</v>
      </c>
      <c r="B1116" s="138">
        <f>'Expenditures 15-22'!K44</f>
        <v>2303409</v>
      </c>
      <c r="C1116" s="2" t="s">
        <v>573</v>
      </c>
      <c r="D1116" s="2" t="str">
        <f t="shared" si="16"/>
        <v>Error?</v>
      </c>
    </row>
    <row r="1117" spans="1:4" x14ac:dyDescent="0.2">
      <c r="A1117" s="5">
        <v>1056</v>
      </c>
      <c r="B1117" s="138">
        <f>'Expenditures 15-22'!K45</f>
        <v>2060814</v>
      </c>
      <c r="C1117" s="2" t="s">
        <v>573</v>
      </c>
      <c r="D1117" s="2" t="str">
        <f t="shared" si="16"/>
        <v>Error?</v>
      </c>
    </row>
    <row r="1118" spans="1:4" x14ac:dyDescent="0.2">
      <c r="A1118" s="5">
        <v>1057</v>
      </c>
      <c r="B1118" s="138">
        <f>'Expenditures 15-22'!K46</f>
        <v>222315</v>
      </c>
      <c r="C1118" s="2" t="s">
        <v>573</v>
      </c>
      <c r="D1118" s="2" t="str">
        <f t="shared" si="16"/>
        <v>Error?</v>
      </c>
    </row>
    <row r="1119" spans="1:4" x14ac:dyDescent="0.2">
      <c r="A1119" s="5">
        <v>1058</v>
      </c>
      <c r="B1119" s="138">
        <f>'Expenditures 15-22'!K47</f>
        <v>4586538</v>
      </c>
      <c r="C1119" s="2" t="s">
        <v>573</v>
      </c>
      <c r="D1119" s="2" t="str">
        <f t="shared" si="16"/>
        <v>Error?</v>
      </c>
    </row>
    <row r="1120" spans="1:4" x14ac:dyDescent="0.2">
      <c r="A1120" s="5">
        <v>1059</v>
      </c>
      <c r="B1120" s="138">
        <f>'Expenditures 15-22'!K49</f>
        <v>494194</v>
      </c>
      <c r="C1120" s="2" t="s">
        <v>573</v>
      </c>
      <c r="D1120" s="2" t="str">
        <f t="shared" si="16"/>
        <v>Error?</v>
      </c>
    </row>
    <row r="1121" spans="1:4" x14ac:dyDescent="0.2">
      <c r="A1121" s="5">
        <v>1060</v>
      </c>
      <c r="B1121" s="138">
        <f>'Expenditures 15-22'!K50</f>
        <v>489646</v>
      </c>
      <c r="C1121" s="2" t="s">
        <v>573</v>
      </c>
      <c r="D1121" s="2" t="str">
        <f t="shared" si="16"/>
        <v>Error?</v>
      </c>
    </row>
    <row r="1122" spans="1:4" x14ac:dyDescent="0.2">
      <c r="A1122" s="5">
        <v>1061</v>
      </c>
      <c r="B1122" s="138">
        <f>'Expenditures 15-22'!K53</f>
        <v>2027763</v>
      </c>
      <c r="C1122" s="2" t="s">
        <v>573</v>
      </c>
      <c r="D1122" s="2" t="str">
        <f t="shared" si="16"/>
        <v>Error?</v>
      </c>
    </row>
    <row r="1123" spans="1:4" x14ac:dyDescent="0.2">
      <c r="A1123" s="5">
        <v>1062</v>
      </c>
      <c r="B1123" s="138">
        <f>'Expenditures 15-22'!K55</f>
        <v>10633304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10633304</v>
      </c>
      <c r="C1125" s="2" t="s">
        <v>573</v>
      </c>
      <c r="D1125" s="2" t="str">
        <f t="shared" si="16"/>
        <v>Error?</v>
      </c>
    </row>
    <row r="1126" spans="1:4" x14ac:dyDescent="0.2">
      <c r="A1126" s="5">
        <v>1065</v>
      </c>
      <c r="B1126" s="138">
        <f>'Expenditures 15-22'!K59</f>
        <v>256879</v>
      </c>
      <c r="C1126" s="2" t="s">
        <v>573</v>
      </c>
      <c r="D1126" s="2" t="str">
        <f t="shared" si="16"/>
        <v>Error?</v>
      </c>
    </row>
    <row r="1127" spans="1:4" x14ac:dyDescent="0.2">
      <c r="A1127" s="5">
        <v>1066</v>
      </c>
      <c r="B1127" s="138">
        <f>'Expenditures 15-22'!K60</f>
        <v>1031825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5829111</v>
      </c>
      <c r="C1130" s="2" t="s">
        <v>573</v>
      </c>
      <c r="D1130" s="2" t="str">
        <f t="shared" si="16"/>
        <v>Error?</v>
      </c>
    </row>
    <row r="1131" spans="1:4" x14ac:dyDescent="0.2">
      <c r="A1131" s="5">
        <v>1070</v>
      </c>
      <c r="B1131" s="138">
        <f>'Expenditures 15-22'!K64</f>
        <v>115385</v>
      </c>
      <c r="C1131" s="2" t="s">
        <v>573</v>
      </c>
      <c r="D1131" s="2" t="str">
        <f t="shared" si="16"/>
        <v>Error?</v>
      </c>
    </row>
    <row r="1132" spans="1:4" x14ac:dyDescent="0.2">
      <c r="A1132" s="10">
        <v>1071</v>
      </c>
      <c r="D1132" s="2" t="str">
        <f t="shared" si="16"/>
        <v>OK</v>
      </c>
    </row>
    <row r="1133" spans="1:4" x14ac:dyDescent="0.2">
      <c r="A1133" s="5">
        <v>1072</v>
      </c>
      <c r="B1133" s="138">
        <f>'Expenditures 15-22'!K65</f>
        <v>7233200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603241</v>
      </c>
      <c r="C1136" s="2" t="s">
        <v>573</v>
      </c>
      <c r="D1136" s="2" t="str">
        <f t="shared" si="16"/>
        <v>Error?</v>
      </c>
    </row>
    <row r="1137" spans="1:4" x14ac:dyDescent="0.2">
      <c r="A1137" s="5">
        <v>1076</v>
      </c>
      <c r="B1137" s="138">
        <f>'Expenditures 15-22'!K70</f>
        <v>653237</v>
      </c>
      <c r="C1137" s="2" t="s">
        <v>573</v>
      </c>
      <c r="D1137" s="2" t="str">
        <f t="shared" si="16"/>
        <v>Error?</v>
      </c>
    </row>
    <row r="1138" spans="1:4" x14ac:dyDescent="0.2">
      <c r="A1138" s="10">
        <v>1077</v>
      </c>
      <c r="D1138" s="2" t="str">
        <f t="shared" si="16"/>
        <v>OK</v>
      </c>
    </row>
    <row r="1139" spans="1:4" x14ac:dyDescent="0.2">
      <c r="A1139" s="5">
        <v>1078</v>
      </c>
      <c r="B1139" s="138">
        <f>'Expenditures 15-22'!K71</f>
        <v>4040342</v>
      </c>
      <c r="C1139" s="2" t="s">
        <v>573</v>
      </c>
      <c r="D1139" s="2" t="str">
        <f t="shared" si="16"/>
        <v>Error?</v>
      </c>
    </row>
    <row r="1140" spans="1:4" x14ac:dyDescent="0.2">
      <c r="A1140" s="10">
        <v>1079</v>
      </c>
      <c r="D1140" s="2" t="str">
        <f t="shared" si="16"/>
        <v>OK</v>
      </c>
    </row>
    <row r="1141" spans="1:4" x14ac:dyDescent="0.2">
      <c r="A1141" s="5">
        <v>1080</v>
      </c>
      <c r="B1141" s="138">
        <f>'Expenditures 15-22'!K72</f>
        <v>5296820</v>
      </c>
      <c r="C1141" s="2" t="s">
        <v>573</v>
      </c>
      <c r="D1141" s="2" t="str">
        <f t="shared" si="16"/>
        <v>Error?</v>
      </c>
    </row>
    <row r="1142" spans="1:4" x14ac:dyDescent="0.2">
      <c r="A1142" s="5">
        <v>1081</v>
      </c>
      <c r="B1142" s="138">
        <f>'Expenditures 15-22'!K73</f>
        <v>201</v>
      </c>
      <c r="C1142" s="2" t="s">
        <v>573</v>
      </c>
      <c r="D1142" s="2" t="str">
        <f t="shared" si="16"/>
        <v>Error?</v>
      </c>
    </row>
    <row r="1143" spans="1:4" x14ac:dyDescent="0.2">
      <c r="A1143" s="5">
        <v>1082</v>
      </c>
      <c r="B1143" s="138">
        <f>'Expenditures 15-22'!K74</f>
        <v>50642811</v>
      </c>
      <c r="C1143" s="2" t="s">
        <v>573</v>
      </c>
      <c r="D1143" s="2" t="str">
        <f t="shared" si="16"/>
        <v>Error?</v>
      </c>
    </row>
    <row r="1144" spans="1:4" x14ac:dyDescent="0.2">
      <c r="A1144" s="5">
        <v>1083</v>
      </c>
      <c r="B1144" s="138">
        <f>'Expenditures 15-22'!K75</f>
        <v>11706</v>
      </c>
      <c r="C1144" s="2" t="s">
        <v>573</v>
      </c>
      <c r="D1144" s="2" t="str">
        <f t="shared" si="16"/>
        <v>Error?</v>
      </c>
    </row>
    <row r="1145" spans="1:4" x14ac:dyDescent="0.2">
      <c r="A1145" s="5">
        <v>1084</v>
      </c>
      <c r="B1145" s="138">
        <f>'Expenditures 15-22'!K102</f>
        <v>8265521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196185479</v>
      </c>
      <c r="C1152" s="2" t="s">
        <v>573</v>
      </c>
      <c r="D1152" s="2" t="str">
        <f t="shared" si="17"/>
        <v>Error?</v>
      </c>
    </row>
    <row r="1153" spans="1:4" x14ac:dyDescent="0.2">
      <c r="A1153" s="5">
        <v>1092</v>
      </c>
      <c r="B1153" s="138">
        <f>'Expenditures 15-22'!K115</f>
        <v>8287119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10921453</v>
      </c>
      <c r="D1221" s="2" t="str">
        <f t="shared" si="18"/>
        <v>Error?</v>
      </c>
    </row>
    <row r="1222" spans="1:4" x14ac:dyDescent="0.2">
      <c r="A1222" s="10">
        <v>1161</v>
      </c>
      <c r="D1222" s="2" t="str">
        <f t="shared" si="18"/>
        <v>OK</v>
      </c>
    </row>
    <row r="1223" spans="1:4" x14ac:dyDescent="0.2">
      <c r="A1223" s="5">
        <v>1162</v>
      </c>
      <c r="B1223" s="138">
        <f>'Expenditures 15-22'!C127</f>
        <v>10921453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10921453</v>
      </c>
      <c r="C1225" s="2" t="s">
        <v>573</v>
      </c>
      <c r="D1225" s="2" t="str">
        <f t="shared" si="18"/>
        <v>Error?</v>
      </c>
    </row>
    <row r="1226" spans="1:4" x14ac:dyDescent="0.2">
      <c r="A1226" s="5">
        <v>1165</v>
      </c>
      <c r="B1226" s="138">
        <f>'Expenditures 15-22'!C151</f>
        <v>10921453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2850602</v>
      </c>
      <c r="D1229" s="2" t="str">
        <f t="shared" si="18"/>
        <v>Error?</v>
      </c>
    </row>
    <row r="1230" spans="1:4" x14ac:dyDescent="0.2">
      <c r="A1230" s="10">
        <v>1169</v>
      </c>
      <c r="D1230" s="2" t="str">
        <f t="shared" si="18"/>
        <v>OK</v>
      </c>
    </row>
    <row r="1231" spans="1:4" x14ac:dyDescent="0.2">
      <c r="A1231" s="5">
        <v>1170</v>
      </c>
      <c r="B1231" s="138">
        <f>'Expenditures 15-22'!D127</f>
        <v>2850602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2850602</v>
      </c>
      <c r="C1233" s="2" t="s">
        <v>573</v>
      </c>
      <c r="D1233" s="2" t="str">
        <f t="shared" si="18"/>
        <v>Error?</v>
      </c>
    </row>
    <row r="1234" spans="1:4" x14ac:dyDescent="0.2">
      <c r="A1234" s="5">
        <v>1173</v>
      </c>
      <c r="B1234" s="138">
        <f>'Expenditures 15-22'!D151</f>
        <v>2850602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3478522</v>
      </c>
      <c r="D1237" s="2" t="str">
        <f t="shared" si="18"/>
        <v>Error?</v>
      </c>
    </row>
    <row r="1238" spans="1:4" x14ac:dyDescent="0.2">
      <c r="A1238" s="10">
        <v>1177</v>
      </c>
      <c r="D1238" s="2" t="str">
        <f t="shared" si="18"/>
        <v>OK</v>
      </c>
    </row>
    <row r="1239" spans="1:4" x14ac:dyDescent="0.2">
      <c r="A1239" s="5">
        <v>1178</v>
      </c>
      <c r="B1239" s="138">
        <f>'Expenditures 15-22'!E127</f>
        <v>3478522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3478522</v>
      </c>
      <c r="C1241" s="2" t="s">
        <v>573</v>
      </c>
      <c r="D1241" s="2" t="str">
        <f t="shared" si="18"/>
        <v>Error?</v>
      </c>
    </row>
    <row r="1242" spans="1:4" x14ac:dyDescent="0.2">
      <c r="A1242" s="5">
        <v>1181</v>
      </c>
      <c r="B1242" s="138">
        <f>'Expenditures 15-22'!E151</f>
        <v>3478522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5327018</v>
      </c>
      <c r="D1245" s="2" t="str">
        <f t="shared" si="18"/>
        <v>Error?</v>
      </c>
    </row>
    <row r="1246" spans="1:4" x14ac:dyDescent="0.2">
      <c r="A1246" s="10">
        <v>1185</v>
      </c>
      <c r="D1246" s="2" t="str">
        <f t="shared" si="18"/>
        <v>OK</v>
      </c>
    </row>
    <row r="1247" spans="1:4" x14ac:dyDescent="0.2">
      <c r="A1247" s="5">
        <v>1186</v>
      </c>
      <c r="B1247" s="138">
        <f>'Expenditures 15-22'!F127</f>
        <v>5327018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5327018</v>
      </c>
      <c r="C1249" s="2" t="s">
        <v>573</v>
      </c>
      <c r="D1249" s="2" t="str">
        <f t="shared" si="18"/>
        <v>Error?</v>
      </c>
    </row>
    <row r="1250" spans="1:4" x14ac:dyDescent="0.2">
      <c r="A1250" s="5">
        <v>1189</v>
      </c>
      <c r="B1250" s="138">
        <f>'Expenditures 15-22'!F151</f>
        <v>5327018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3214102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3214102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3214102</v>
      </c>
      <c r="C1258" s="2" t="s">
        <v>573</v>
      </c>
      <c r="D1258" s="2" t="str">
        <f t="shared" si="18"/>
        <v>Error?</v>
      </c>
    </row>
    <row r="1259" spans="1:4" x14ac:dyDescent="0.2">
      <c r="A1259" s="5">
        <v>1198</v>
      </c>
      <c r="B1259" s="138">
        <f>'Expenditures 15-22'!G151</f>
        <v>3214102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26554746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26554746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26554746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26554746</v>
      </c>
      <c r="C1288" s="2" t="s">
        <v>573</v>
      </c>
      <c r="D1288" s="2" t="str">
        <f t="shared" si="19"/>
        <v>Error?</v>
      </c>
    </row>
    <row r="1289" spans="1:4" x14ac:dyDescent="0.2">
      <c r="A1289" s="5">
        <v>1228</v>
      </c>
      <c r="B1289" s="138">
        <f>'Expenditures 15-22'!K152</f>
        <v>6881263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3985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433118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437103</v>
      </c>
      <c r="C1317" s="2" t="s">
        <v>573</v>
      </c>
      <c r="D1317" s="2" t="str">
        <f t="shared" si="19"/>
        <v>Error?</v>
      </c>
    </row>
    <row r="1318" spans="1:4" x14ac:dyDescent="0.2">
      <c r="A1318" s="5">
        <v>1257</v>
      </c>
      <c r="B1318" s="138">
        <f>'Expenditures 15-22'!H174</f>
        <v>437103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3985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433118</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437103</v>
      </c>
      <c r="C1331" s="2" t="s">
        <v>573</v>
      </c>
      <c r="D1331" s="2" t="str">
        <f t="shared" si="19"/>
        <v>Error?</v>
      </c>
    </row>
    <row r="1332" spans="1:4" x14ac:dyDescent="0.2">
      <c r="A1332" s="5">
        <v>1271</v>
      </c>
      <c r="B1332" s="138">
        <f>'Expenditures 15-22'!K174</f>
        <v>437103</v>
      </c>
      <c r="C1332" s="2" t="s">
        <v>573</v>
      </c>
      <c r="D1332" s="2" t="str">
        <f t="shared" si="19"/>
        <v>Error?</v>
      </c>
    </row>
    <row r="1333" spans="1:4" x14ac:dyDescent="0.2">
      <c r="A1333" s="5">
        <v>1272</v>
      </c>
      <c r="B1333" s="138">
        <f>'Expenditures 15-22'!K175</f>
        <v>-444462</v>
      </c>
      <c r="C1333" s="2" t="s">
        <v>573</v>
      </c>
      <c r="D1333" s="2" t="str">
        <f t="shared" si="19"/>
        <v>Error?</v>
      </c>
    </row>
    <row r="1334" spans="1:4" x14ac:dyDescent="0.2">
      <c r="A1334" s="10">
        <v>1273</v>
      </c>
      <c r="D1334" s="2" t="str">
        <f t="shared" si="19"/>
        <v>OK</v>
      </c>
    </row>
    <row r="1335" spans="1:4" x14ac:dyDescent="0.2">
      <c r="A1335" s="5">
        <v>1274</v>
      </c>
      <c r="B1335" s="138">
        <f>'Expenditures 15-22'!C182</f>
        <v>5913241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5913241</v>
      </c>
      <c r="C1339" s="2" t="s">
        <v>573</v>
      </c>
      <c r="D1339" s="2" t="str">
        <f t="shared" si="19"/>
        <v>Error?</v>
      </c>
    </row>
    <row r="1340" spans="1:4" x14ac:dyDescent="0.2">
      <c r="A1340" s="5">
        <v>1279</v>
      </c>
      <c r="B1340" s="138">
        <f>'Expenditures 15-22'!C210</f>
        <v>5913241</v>
      </c>
      <c r="C1340" s="2" t="s">
        <v>573</v>
      </c>
      <c r="D1340" s="2" t="str">
        <f t="shared" si="19"/>
        <v>Error?</v>
      </c>
    </row>
    <row r="1341" spans="1:4" x14ac:dyDescent="0.2">
      <c r="A1341" s="5">
        <v>1280</v>
      </c>
      <c r="B1341" s="138">
        <f>'Expenditures 15-22'!D182</f>
        <v>1852944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1852944</v>
      </c>
      <c r="C1345" s="2" t="s">
        <v>573</v>
      </c>
      <c r="D1345" s="2" t="str">
        <f t="shared" si="20"/>
        <v>Error?</v>
      </c>
    </row>
    <row r="1346" spans="1:4" x14ac:dyDescent="0.2">
      <c r="A1346" s="5">
        <v>1285</v>
      </c>
      <c r="B1346" s="138">
        <f>'Expenditures 15-22'!D210</f>
        <v>1852944</v>
      </c>
      <c r="C1346" s="2" t="s">
        <v>573</v>
      </c>
      <c r="D1346" s="2" t="str">
        <f t="shared" si="20"/>
        <v>Error?</v>
      </c>
    </row>
    <row r="1347" spans="1:4" x14ac:dyDescent="0.2">
      <c r="A1347" s="5">
        <v>1286</v>
      </c>
      <c r="B1347" s="138">
        <f>'Expenditures 15-22'!E182</f>
        <v>1657401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1657401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1657401</v>
      </c>
      <c r="C1353" s="2" t="s">
        <v>573</v>
      </c>
      <c r="D1353" s="2" t="str">
        <f t="shared" si="20"/>
        <v>Error?</v>
      </c>
    </row>
    <row r="1354" spans="1:4" x14ac:dyDescent="0.2">
      <c r="A1354" s="5">
        <v>1293</v>
      </c>
      <c r="B1354" s="138">
        <f>'Expenditures 15-22'!F182</f>
        <v>1284217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1284217</v>
      </c>
      <c r="C1358" s="2" t="s">
        <v>573</v>
      </c>
      <c r="D1358" s="2" t="str">
        <f t="shared" si="20"/>
        <v>Error?</v>
      </c>
    </row>
    <row r="1359" spans="1:4" x14ac:dyDescent="0.2">
      <c r="A1359" s="5">
        <v>1298</v>
      </c>
      <c r="B1359" s="138">
        <f>'Expenditures 15-22'!F210</f>
        <v>1284217</v>
      </c>
      <c r="C1359" s="2" t="s">
        <v>573</v>
      </c>
      <c r="D1359" s="2" t="str">
        <f t="shared" si="20"/>
        <v>Error?</v>
      </c>
    </row>
    <row r="1360" spans="1:4" x14ac:dyDescent="0.2">
      <c r="A1360" s="5">
        <v>1299</v>
      </c>
      <c r="B1360" s="138">
        <f>'Expenditures 15-22'!G182</f>
        <v>2176046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2176046</v>
      </c>
      <c r="C1364" s="2" t="s">
        <v>573</v>
      </c>
      <c r="D1364" s="2" t="str">
        <f t="shared" si="20"/>
        <v>Error?</v>
      </c>
    </row>
    <row r="1365" spans="1:4" x14ac:dyDescent="0.2">
      <c r="A1365" s="5">
        <v>1304</v>
      </c>
      <c r="B1365" s="138">
        <f>'Expenditures 15-22'!G210</f>
        <v>2176046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12972822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12972822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12972822</v>
      </c>
      <c r="C1388" s="2" t="s">
        <v>573</v>
      </c>
      <c r="D1388" s="2" t="str">
        <f t="shared" si="20"/>
        <v>Error?</v>
      </c>
    </row>
    <row r="1389" spans="1:4" x14ac:dyDescent="0.2">
      <c r="A1389" s="5">
        <v>1328</v>
      </c>
      <c r="B1389" s="138">
        <f>'Expenditures 15-22'!K211</f>
        <v>1444343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161959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42409</v>
      </c>
      <c r="D1406" s="2" t="str">
        <f t="shared" si="20"/>
        <v>Error?</v>
      </c>
    </row>
    <row r="1407" spans="1:4" x14ac:dyDescent="0.2">
      <c r="A1407" s="5">
        <v>1346</v>
      </c>
      <c r="B1407" s="138">
        <f>'Expenditures 15-22'!D222</f>
        <v>120336</v>
      </c>
      <c r="D1407" s="2" t="str">
        <f t="shared" ref="D1407:D1470" si="21">IF(ISBLANK(B1407),"OK",IF(A1407-B1407=0,"OK","Error?"))</f>
        <v>Error?</v>
      </c>
    </row>
    <row r="1408" spans="1:4" x14ac:dyDescent="0.2">
      <c r="A1408" s="5">
        <v>1347</v>
      </c>
      <c r="B1408" s="138">
        <f>'Expenditures 15-22'!D223</f>
        <v>334564</v>
      </c>
      <c r="D1408" s="2" t="str">
        <f t="shared" si="21"/>
        <v>Error?</v>
      </c>
    </row>
    <row r="1409" spans="1:4" x14ac:dyDescent="0.2">
      <c r="A1409" s="5">
        <v>1348</v>
      </c>
      <c r="B1409" s="138">
        <f>'Expenditures 15-22'!D224</f>
        <v>118817</v>
      </c>
      <c r="D1409" s="2" t="str">
        <f t="shared" si="21"/>
        <v>Error?</v>
      </c>
    </row>
    <row r="1410" spans="1:4" x14ac:dyDescent="0.2">
      <c r="A1410" s="5">
        <v>1349</v>
      </c>
      <c r="B1410" s="138">
        <f>'Expenditures 15-22'!D229</f>
        <v>3535124</v>
      </c>
      <c r="C1410" s="2" t="s">
        <v>573</v>
      </c>
      <c r="D1410" s="2" t="str">
        <f t="shared" si="21"/>
        <v>Error?</v>
      </c>
    </row>
    <row r="1411" spans="1:4" x14ac:dyDescent="0.2">
      <c r="A1411" s="5">
        <v>1350</v>
      </c>
      <c r="B1411" s="138">
        <f>'Expenditures 15-22'!D232</f>
        <v>53131</v>
      </c>
      <c r="D1411" s="2" t="str">
        <f t="shared" si="21"/>
        <v>Error?</v>
      </c>
    </row>
    <row r="1412" spans="1:4" x14ac:dyDescent="0.2">
      <c r="A1412" s="5">
        <v>1351</v>
      </c>
      <c r="B1412" s="138">
        <f>'Expenditures 15-22'!D233</f>
        <v>265233</v>
      </c>
      <c r="D1412" s="2" t="str">
        <f t="shared" si="21"/>
        <v>Error?</v>
      </c>
    </row>
    <row r="1413" spans="1:4" x14ac:dyDescent="0.2">
      <c r="A1413" s="5">
        <v>1352</v>
      </c>
      <c r="B1413" s="138">
        <f>'Expenditures 15-22'!D234</f>
        <v>77752</v>
      </c>
      <c r="D1413" s="2" t="str">
        <f t="shared" si="21"/>
        <v>Error?</v>
      </c>
    </row>
    <row r="1414" spans="1:4" x14ac:dyDescent="0.2">
      <c r="A1414" s="5">
        <v>1353</v>
      </c>
      <c r="B1414" s="138">
        <f>'Expenditures 15-22'!D235</f>
        <v>34345</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360901</v>
      </c>
      <c r="D1416" s="2" t="str">
        <f t="shared" si="21"/>
        <v>Error?</v>
      </c>
    </row>
    <row r="1417" spans="1:4" x14ac:dyDescent="0.2">
      <c r="A1417" s="5">
        <v>1356</v>
      </c>
      <c r="B1417" s="138">
        <f>'Expenditures 15-22'!D238</f>
        <v>791362</v>
      </c>
      <c r="C1417" s="2" t="s">
        <v>573</v>
      </c>
      <c r="D1417" s="2" t="str">
        <f t="shared" si="21"/>
        <v>Error?</v>
      </c>
    </row>
    <row r="1418" spans="1:4" x14ac:dyDescent="0.2">
      <c r="A1418" s="5">
        <v>1357</v>
      </c>
      <c r="B1418" s="138">
        <f>'Expenditures 15-22'!D240</f>
        <v>66350</v>
      </c>
      <c r="D1418" s="2" t="str">
        <f t="shared" si="21"/>
        <v>Error?</v>
      </c>
    </row>
    <row r="1419" spans="1:4" x14ac:dyDescent="0.2">
      <c r="A1419" s="5">
        <v>1358</v>
      </c>
      <c r="B1419" s="138">
        <f>'Expenditures 15-22'!D241</f>
        <v>113067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179417</v>
      </c>
      <c r="C1421" s="2" t="s">
        <v>573</v>
      </c>
      <c r="D1421" s="2" t="str">
        <f t="shared" si="21"/>
        <v>Error?</v>
      </c>
    </row>
    <row r="1422" spans="1:4" x14ac:dyDescent="0.2">
      <c r="A1422" s="5">
        <v>1361</v>
      </c>
      <c r="B1422" s="138">
        <f>'Expenditures 15-22'!D245</f>
        <v>2000000</v>
      </c>
      <c r="D1422" s="2" t="str">
        <f t="shared" si="21"/>
        <v>Error?</v>
      </c>
    </row>
    <row r="1423" spans="1:4" x14ac:dyDescent="0.2">
      <c r="A1423" s="5">
        <v>1362</v>
      </c>
      <c r="B1423" s="138">
        <f>'Expenditures 15-22'!D246</f>
        <v>26860</v>
      </c>
      <c r="D1423" s="2" t="str">
        <f t="shared" si="21"/>
        <v>Error?</v>
      </c>
    </row>
    <row r="1424" spans="1:4" x14ac:dyDescent="0.2">
      <c r="A1424" s="5">
        <v>1363</v>
      </c>
      <c r="B1424" s="138">
        <f>'Expenditures 15-22'!D257</f>
        <v>2071169</v>
      </c>
      <c r="C1424" s="2" t="s">
        <v>573</v>
      </c>
      <c r="D1424" s="2" t="str">
        <f t="shared" si="21"/>
        <v>Error?</v>
      </c>
    </row>
    <row r="1425" spans="1:4" x14ac:dyDescent="0.2">
      <c r="A1425" s="5">
        <v>1364</v>
      </c>
      <c r="B1425" s="138">
        <f>'Expenditures 15-22'!D259</f>
        <v>562984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562984</v>
      </c>
      <c r="C1427" s="2" t="s">
        <v>573</v>
      </c>
      <c r="D1427" s="2" t="str">
        <f t="shared" si="21"/>
        <v>Error?</v>
      </c>
    </row>
    <row r="1428" spans="1:4" x14ac:dyDescent="0.2">
      <c r="A1428" s="5">
        <v>1367</v>
      </c>
      <c r="B1428" s="138">
        <f>'Expenditures 15-22'!D263</f>
        <v>35609</v>
      </c>
      <c r="D1428" s="2" t="str">
        <f t="shared" si="21"/>
        <v>Error?</v>
      </c>
    </row>
    <row r="1429" spans="1:4" x14ac:dyDescent="0.2">
      <c r="A1429" s="5">
        <v>1368</v>
      </c>
      <c r="B1429" s="138">
        <f>'Expenditures 15-22'!D264</f>
        <v>105426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1795586</v>
      </c>
      <c r="D1431" s="2" t="str">
        <f t="shared" si="21"/>
        <v>Error?</v>
      </c>
    </row>
    <row r="1432" spans="1:4" x14ac:dyDescent="0.2">
      <c r="A1432" s="5">
        <v>1371</v>
      </c>
      <c r="B1432" s="138">
        <f>'Expenditures 15-22'!D267</f>
        <v>964440</v>
      </c>
      <c r="D1432" s="2" t="str">
        <f t="shared" si="21"/>
        <v>Error?</v>
      </c>
    </row>
    <row r="1433" spans="1:4" x14ac:dyDescent="0.2">
      <c r="A1433" s="5">
        <v>1372</v>
      </c>
      <c r="B1433" s="138">
        <f>'Expenditures 15-22'!D268</f>
        <v>379126</v>
      </c>
      <c r="D1433" s="2" t="str">
        <f t="shared" si="21"/>
        <v>Error?</v>
      </c>
    </row>
    <row r="1434" spans="1:4" x14ac:dyDescent="0.2">
      <c r="A1434" s="5">
        <v>1373</v>
      </c>
      <c r="B1434" s="138">
        <f>'Expenditures 15-22'!D269</f>
        <v>14821</v>
      </c>
      <c r="D1434" s="2" t="str">
        <f t="shared" si="21"/>
        <v>Error?</v>
      </c>
    </row>
    <row r="1435" spans="1:4" x14ac:dyDescent="0.2">
      <c r="A1435" s="10">
        <v>1374</v>
      </c>
      <c r="D1435" s="2" t="str">
        <f t="shared" si="21"/>
        <v>OK</v>
      </c>
    </row>
    <row r="1436" spans="1:4" x14ac:dyDescent="0.2">
      <c r="A1436" s="5">
        <v>1375</v>
      </c>
      <c r="B1436" s="138">
        <f>'Expenditures 15-22'!D270</f>
        <v>3295008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54938</v>
      </c>
      <c r="D1439" s="2" t="str">
        <f t="shared" si="21"/>
        <v>Error?</v>
      </c>
    </row>
    <row r="1440" spans="1:4" x14ac:dyDescent="0.2">
      <c r="A1440" s="5">
        <v>1379</v>
      </c>
      <c r="B1440" s="138">
        <f>'Expenditures 15-22'!D275</f>
        <v>57886</v>
      </c>
      <c r="D1440" s="2" t="str">
        <f t="shared" si="21"/>
        <v>Error?</v>
      </c>
    </row>
    <row r="1441" spans="1:4" x14ac:dyDescent="0.2">
      <c r="A1441" s="10">
        <v>1380</v>
      </c>
      <c r="D1441" s="2" t="str">
        <f t="shared" si="21"/>
        <v>OK</v>
      </c>
    </row>
    <row r="1442" spans="1:4" x14ac:dyDescent="0.2">
      <c r="A1442" s="5">
        <v>1381</v>
      </c>
      <c r="B1442" s="138">
        <f>'Expenditures 15-22'!D276</f>
        <v>250422</v>
      </c>
      <c r="D1442" s="2" t="str">
        <f t="shared" si="21"/>
        <v>Error?</v>
      </c>
    </row>
    <row r="1443" spans="1:4" x14ac:dyDescent="0.2">
      <c r="A1443" s="10">
        <v>1382</v>
      </c>
      <c r="D1443" s="2" t="str">
        <f t="shared" si="21"/>
        <v>OK</v>
      </c>
    </row>
    <row r="1444" spans="1:4" x14ac:dyDescent="0.2">
      <c r="A1444" s="5">
        <v>1383</v>
      </c>
      <c r="B1444" s="138">
        <f>'Expenditures 15-22'!D277</f>
        <v>363246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7263186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10798310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161959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42409</v>
      </c>
      <c r="C1470" s="2" t="s">
        <v>573</v>
      </c>
      <c r="D1470" s="2" t="str">
        <f t="shared" si="21"/>
        <v>Error?</v>
      </c>
    </row>
    <row r="1471" spans="1:4" x14ac:dyDescent="0.2">
      <c r="A1471" s="5">
        <v>1410</v>
      </c>
      <c r="B1471" s="138">
        <f>'Expenditures 15-22'!K222</f>
        <v>120336</v>
      </c>
      <c r="C1471" s="2" t="s">
        <v>573</v>
      </c>
      <c r="D1471" s="2" t="str">
        <f t="shared" ref="D1471:D1534" si="22">IF(ISBLANK(B1471),"OK",IF(A1471-B1471=0,"OK","Error?"))</f>
        <v>Error?</v>
      </c>
    </row>
    <row r="1472" spans="1:4" x14ac:dyDescent="0.2">
      <c r="A1472" s="5">
        <v>1411</v>
      </c>
      <c r="B1472" s="138">
        <f>'Expenditures 15-22'!K223</f>
        <v>334564</v>
      </c>
      <c r="C1472" s="2" t="s">
        <v>573</v>
      </c>
      <c r="D1472" s="2" t="str">
        <f t="shared" si="22"/>
        <v>Error?</v>
      </c>
    </row>
    <row r="1473" spans="1:4" x14ac:dyDescent="0.2">
      <c r="A1473" s="5">
        <v>1412</v>
      </c>
      <c r="B1473" s="138">
        <f>'Expenditures 15-22'!K224</f>
        <v>118817</v>
      </c>
      <c r="C1473" s="2" t="s">
        <v>573</v>
      </c>
      <c r="D1473" s="2" t="str">
        <f t="shared" si="22"/>
        <v>Error?</v>
      </c>
    </row>
    <row r="1474" spans="1:4" x14ac:dyDescent="0.2">
      <c r="A1474" s="5">
        <v>1413</v>
      </c>
      <c r="B1474" s="138">
        <f>'Expenditures 15-22'!K229</f>
        <v>3535124</v>
      </c>
      <c r="C1474" s="2" t="s">
        <v>573</v>
      </c>
      <c r="D1474" s="2" t="str">
        <f t="shared" si="22"/>
        <v>Error?</v>
      </c>
    </row>
    <row r="1475" spans="1:4" x14ac:dyDescent="0.2">
      <c r="A1475" s="5">
        <v>1414</v>
      </c>
      <c r="B1475" s="138">
        <f>'Expenditures 15-22'!K232</f>
        <v>53131</v>
      </c>
      <c r="C1475" s="2" t="s">
        <v>573</v>
      </c>
      <c r="D1475" s="2" t="str">
        <f t="shared" si="22"/>
        <v>Error?</v>
      </c>
    </row>
    <row r="1476" spans="1:4" x14ac:dyDescent="0.2">
      <c r="A1476" s="5">
        <v>1415</v>
      </c>
      <c r="B1476" s="138">
        <f>'Expenditures 15-22'!K233</f>
        <v>265233</v>
      </c>
      <c r="C1476" s="2" t="s">
        <v>573</v>
      </c>
      <c r="D1476" s="2" t="str">
        <f t="shared" si="22"/>
        <v>Error?</v>
      </c>
    </row>
    <row r="1477" spans="1:4" x14ac:dyDescent="0.2">
      <c r="A1477" s="5">
        <v>1416</v>
      </c>
      <c r="B1477" s="138">
        <f>'Expenditures 15-22'!K234</f>
        <v>77752</v>
      </c>
      <c r="C1477" s="2" t="s">
        <v>573</v>
      </c>
      <c r="D1477" s="2" t="str">
        <f t="shared" si="22"/>
        <v>Error?</v>
      </c>
    </row>
    <row r="1478" spans="1:4" x14ac:dyDescent="0.2">
      <c r="A1478" s="5">
        <v>1417</v>
      </c>
      <c r="B1478" s="138">
        <f>'Expenditures 15-22'!K235</f>
        <v>34345</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360901</v>
      </c>
      <c r="C1480" s="2" t="s">
        <v>573</v>
      </c>
      <c r="D1480" s="2" t="str">
        <f t="shared" si="22"/>
        <v>Error?</v>
      </c>
    </row>
    <row r="1481" spans="1:4" x14ac:dyDescent="0.2">
      <c r="A1481" s="5">
        <v>1420</v>
      </c>
      <c r="B1481" s="138">
        <f>'Expenditures 15-22'!K238</f>
        <v>791362</v>
      </c>
      <c r="C1481" s="2" t="s">
        <v>573</v>
      </c>
      <c r="D1481" s="2" t="str">
        <f t="shared" si="22"/>
        <v>Error?</v>
      </c>
    </row>
    <row r="1482" spans="1:4" x14ac:dyDescent="0.2">
      <c r="A1482" s="5">
        <v>1421</v>
      </c>
      <c r="B1482" s="138">
        <f>'Expenditures 15-22'!K240</f>
        <v>66350</v>
      </c>
      <c r="C1482" s="2" t="s">
        <v>573</v>
      </c>
      <c r="D1482" s="2" t="str">
        <f t="shared" si="22"/>
        <v>Error?</v>
      </c>
    </row>
    <row r="1483" spans="1:4" x14ac:dyDescent="0.2">
      <c r="A1483" s="5">
        <v>1422</v>
      </c>
      <c r="B1483" s="138">
        <f>'Expenditures 15-22'!K241</f>
        <v>113067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179417</v>
      </c>
      <c r="C1485" s="2" t="s">
        <v>573</v>
      </c>
      <c r="D1485" s="2" t="str">
        <f t="shared" si="22"/>
        <v>Error?</v>
      </c>
    </row>
    <row r="1486" spans="1:4" x14ac:dyDescent="0.2">
      <c r="A1486" s="5">
        <v>1425</v>
      </c>
      <c r="B1486" s="138">
        <f>'Expenditures 15-22'!K245</f>
        <v>2000000</v>
      </c>
      <c r="C1486" s="2" t="s">
        <v>573</v>
      </c>
      <c r="D1486" s="2" t="str">
        <f t="shared" si="22"/>
        <v>Error?</v>
      </c>
    </row>
    <row r="1487" spans="1:4" x14ac:dyDescent="0.2">
      <c r="A1487" s="5">
        <v>1426</v>
      </c>
      <c r="B1487" s="138">
        <f>'Expenditures 15-22'!K246</f>
        <v>26860</v>
      </c>
      <c r="C1487" s="2" t="s">
        <v>573</v>
      </c>
      <c r="D1487" s="2" t="str">
        <f t="shared" si="22"/>
        <v>Error?</v>
      </c>
    </row>
    <row r="1488" spans="1:4" x14ac:dyDescent="0.2">
      <c r="A1488" s="5">
        <v>1427</v>
      </c>
      <c r="B1488" s="138">
        <f>'Expenditures 15-22'!K257</f>
        <v>2071169</v>
      </c>
      <c r="C1488" s="2" t="s">
        <v>573</v>
      </c>
      <c r="D1488" s="2" t="str">
        <f t="shared" si="22"/>
        <v>Error?</v>
      </c>
    </row>
    <row r="1489" spans="1:4" x14ac:dyDescent="0.2">
      <c r="A1489" s="5">
        <v>1428</v>
      </c>
      <c r="B1489" s="138">
        <f>'Expenditures 15-22'!K259</f>
        <v>562984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562984</v>
      </c>
      <c r="C1491" s="2" t="s">
        <v>573</v>
      </c>
      <c r="D1491" s="2" t="str">
        <f t="shared" si="22"/>
        <v>Error?</v>
      </c>
    </row>
    <row r="1492" spans="1:4" x14ac:dyDescent="0.2">
      <c r="A1492" s="5">
        <v>1431</v>
      </c>
      <c r="B1492" s="138">
        <f>'Expenditures 15-22'!K263</f>
        <v>35609</v>
      </c>
      <c r="C1492" s="2" t="s">
        <v>573</v>
      </c>
      <c r="D1492" s="2" t="str">
        <f t="shared" si="22"/>
        <v>Error?</v>
      </c>
    </row>
    <row r="1493" spans="1:4" x14ac:dyDescent="0.2">
      <c r="A1493" s="5">
        <v>1432</v>
      </c>
      <c r="B1493" s="138">
        <f>'Expenditures 15-22'!K264</f>
        <v>105426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1795586</v>
      </c>
      <c r="C1495" s="2" t="s">
        <v>573</v>
      </c>
      <c r="D1495" s="2" t="str">
        <f t="shared" si="22"/>
        <v>Error?</v>
      </c>
    </row>
    <row r="1496" spans="1:4" x14ac:dyDescent="0.2">
      <c r="A1496" s="5">
        <v>1435</v>
      </c>
      <c r="B1496" s="138">
        <f>'Expenditures 15-22'!K267</f>
        <v>964440</v>
      </c>
      <c r="C1496" s="2" t="s">
        <v>573</v>
      </c>
      <c r="D1496" s="2" t="str">
        <f t="shared" si="22"/>
        <v>Error?</v>
      </c>
    </row>
    <row r="1497" spans="1:4" x14ac:dyDescent="0.2">
      <c r="A1497" s="5">
        <v>1436</v>
      </c>
      <c r="B1497" s="138">
        <f>'Expenditures 15-22'!K268</f>
        <v>379126</v>
      </c>
      <c r="C1497" s="2" t="s">
        <v>573</v>
      </c>
      <c r="D1497" s="2" t="str">
        <f t="shared" si="22"/>
        <v>Error?</v>
      </c>
    </row>
    <row r="1498" spans="1:4" x14ac:dyDescent="0.2">
      <c r="A1498" s="5">
        <v>1437</v>
      </c>
      <c r="B1498" s="138">
        <f>'Expenditures 15-22'!K269</f>
        <v>14821</v>
      </c>
      <c r="C1498" s="2" t="s">
        <v>573</v>
      </c>
      <c r="D1498" s="2" t="str">
        <f t="shared" si="22"/>
        <v>Error?</v>
      </c>
    </row>
    <row r="1499" spans="1:4" x14ac:dyDescent="0.2">
      <c r="A1499" s="10">
        <v>1438</v>
      </c>
      <c r="D1499" s="2" t="str">
        <f t="shared" si="22"/>
        <v>OK</v>
      </c>
    </row>
    <row r="1500" spans="1:4" x14ac:dyDescent="0.2">
      <c r="A1500" s="5">
        <v>1439</v>
      </c>
      <c r="B1500" s="138">
        <f>'Expenditures 15-22'!K270</f>
        <v>3295008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54938</v>
      </c>
      <c r="C1503" s="2" t="s">
        <v>573</v>
      </c>
      <c r="D1503" s="2" t="str">
        <f t="shared" si="22"/>
        <v>Error?</v>
      </c>
    </row>
    <row r="1504" spans="1:4" x14ac:dyDescent="0.2">
      <c r="A1504" s="5">
        <v>1443</v>
      </c>
      <c r="B1504" s="138">
        <f>'Expenditures 15-22'!K275</f>
        <v>57886</v>
      </c>
      <c r="C1504" s="2" t="s">
        <v>573</v>
      </c>
      <c r="D1504" s="2" t="str">
        <f t="shared" si="22"/>
        <v>Error?</v>
      </c>
    </row>
    <row r="1505" spans="1:4" x14ac:dyDescent="0.2">
      <c r="A1505" s="10">
        <v>1444</v>
      </c>
      <c r="D1505" s="2" t="str">
        <f t="shared" si="22"/>
        <v>OK</v>
      </c>
    </row>
    <row r="1506" spans="1:4" x14ac:dyDescent="0.2">
      <c r="A1506" s="5">
        <v>1445</v>
      </c>
      <c r="B1506" s="138">
        <f>'Expenditures 15-22'!K276</f>
        <v>250422</v>
      </c>
      <c r="C1506" s="2" t="s">
        <v>573</v>
      </c>
      <c r="D1506" s="2" t="str">
        <f t="shared" si="22"/>
        <v>Error?</v>
      </c>
    </row>
    <row r="1507" spans="1:4" x14ac:dyDescent="0.2">
      <c r="A1507" s="10">
        <v>1446</v>
      </c>
      <c r="D1507" s="2" t="str">
        <f t="shared" si="22"/>
        <v>OK</v>
      </c>
    </row>
    <row r="1508" spans="1:4" x14ac:dyDescent="0.2">
      <c r="A1508" s="5">
        <v>1447</v>
      </c>
      <c r="B1508" s="138">
        <f>'Expenditures 15-22'!K277</f>
        <v>363246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7263186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10798310</v>
      </c>
      <c r="C1517" s="2" t="s">
        <v>573</v>
      </c>
      <c r="D1517" s="2" t="str">
        <f t="shared" si="22"/>
        <v>Error?</v>
      </c>
    </row>
    <row r="1518" spans="1:4" x14ac:dyDescent="0.2">
      <c r="A1518" s="5">
        <v>1457</v>
      </c>
      <c r="B1518" s="138">
        <f>'Expenditures 15-22'!K296</f>
        <v>-430346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11625231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11625231</v>
      </c>
      <c r="C1547" s="2" t="s">
        <v>573</v>
      </c>
      <c r="D1547" s="2" t="str">
        <f t="shared" si="23"/>
        <v>Error?</v>
      </c>
    </row>
    <row r="1548" spans="1:4" x14ac:dyDescent="0.2">
      <c r="A1548" s="5">
        <v>1487</v>
      </c>
      <c r="B1548" s="138">
        <f>'Expenditures 15-22'!G312</f>
        <v>11625231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11625231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11625231</v>
      </c>
      <c r="C1559" s="2" t="s">
        <v>573</v>
      </c>
      <c r="D1559" s="2" t="str">
        <f t="shared" si="23"/>
        <v>Error?</v>
      </c>
    </row>
    <row r="1560" spans="1:4" x14ac:dyDescent="0.2">
      <c r="A1560" s="5">
        <v>1499</v>
      </c>
      <c r="B1560" s="138">
        <f>'Expenditures 15-22'!K312</f>
        <v>11625231</v>
      </c>
      <c r="C1560" s="2" t="s">
        <v>573</v>
      </c>
      <c r="D1560" s="2" t="str">
        <f t="shared" si="23"/>
        <v>Error?</v>
      </c>
    </row>
    <row r="1561" spans="1:4" x14ac:dyDescent="0.2">
      <c r="A1561" s="5">
        <v>1500</v>
      </c>
      <c r="B1561" s="138">
        <f>'Expenditures 15-22'!K313</f>
        <v>-11493588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72439792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76089808</v>
      </c>
      <c r="C1630" s="2" t="s">
        <v>573</v>
      </c>
      <c r="D1630" s="2" t="str">
        <f t="shared" si="24"/>
        <v>Error?</v>
      </c>
    </row>
    <row r="1631" spans="1:4" x14ac:dyDescent="0.2">
      <c r="A1631" s="5">
        <v>1570</v>
      </c>
      <c r="B1631" s="138">
        <f>'Acct Summary 7-8'!D79</f>
        <v>14602375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18483638</v>
      </c>
      <c r="C1644" s="2" t="s">
        <v>573</v>
      </c>
      <c r="D1644" s="2" t="str">
        <f t="shared" si="24"/>
        <v>Error?</v>
      </c>
    </row>
    <row r="1645" spans="1:4" x14ac:dyDescent="0.2">
      <c r="A1645" s="5">
        <v>1584</v>
      </c>
      <c r="B1645" s="138">
        <f>'Acct Summary 7-8'!E79</f>
        <v>12148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4789</v>
      </c>
      <c r="C1658" s="2" t="s">
        <v>573</v>
      </c>
      <c r="D1658" s="2" t="str">
        <f t="shared" si="24"/>
        <v>Error?</v>
      </c>
    </row>
    <row r="1659" spans="1:4" x14ac:dyDescent="0.2">
      <c r="A1659" s="5">
        <v>1598</v>
      </c>
      <c r="B1659" s="138">
        <f>'Acct Summary 7-8'!F79</f>
        <v>5743535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6187878</v>
      </c>
      <c r="C1672" s="2" t="s">
        <v>573</v>
      </c>
      <c r="D1672" s="2" t="str">
        <f t="shared" si="25"/>
        <v>Error?</v>
      </c>
    </row>
    <row r="1673" spans="1:4" x14ac:dyDescent="0.2">
      <c r="A1673" s="5">
        <v>1612</v>
      </c>
      <c r="B1673" s="138">
        <f>'Acct Summary 7-8'!G79</f>
        <v>4985631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4555285</v>
      </c>
      <c r="C1686" s="2" t="s">
        <v>573</v>
      </c>
      <c r="D1686" s="2" t="str">
        <f t="shared" si="25"/>
        <v>Error?</v>
      </c>
    </row>
    <row r="1687" spans="1:4" x14ac:dyDescent="0.2">
      <c r="A1687" s="5">
        <v>1626</v>
      </c>
      <c r="B1687" s="138">
        <f>'Acct Summary 7-8'!H79</f>
        <v>10470558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-1023030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170540072</v>
      </c>
      <c r="C1744" s="2" t="s">
        <v>573</v>
      </c>
      <c r="D1744" s="2" t="str">
        <f t="shared" si="26"/>
        <v>Error?</v>
      </c>
    </row>
    <row r="1745" spans="1:5" x14ac:dyDescent="0.2">
      <c r="A1745" s="5">
        <v>1684</v>
      </c>
      <c r="B1745" s="138">
        <f>'Tax Sched 23'!B5</f>
        <v>29965260</v>
      </c>
      <c r="C1745" s="2" t="s">
        <v>573</v>
      </c>
      <c r="D1745" s="2" t="str">
        <f t="shared" si="26"/>
        <v>Error?</v>
      </c>
    </row>
    <row r="1746" spans="1:5" x14ac:dyDescent="0.2">
      <c r="A1746" s="5">
        <v>1685</v>
      </c>
      <c r="B1746" s="138">
        <f>'Tax Sched 23'!B6</f>
        <v>-42480</v>
      </c>
      <c r="C1746" s="2" t="s">
        <v>573</v>
      </c>
      <c r="D1746" s="2" t="str">
        <f t="shared" si="26"/>
        <v>Error?</v>
      </c>
    </row>
    <row r="1747" spans="1:5" x14ac:dyDescent="0.2">
      <c r="A1747" s="5">
        <v>1686</v>
      </c>
      <c r="B1747" s="138">
        <f>'Tax Sched 23'!B7</f>
        <v>8507058</v>
      </c>
      <c r="C1747" s="2" t="s">
        <v>573</v>
      </c>
      <c r="D1747" s="2" t="str">
        <f t="shared" si="26"/>
        <v>Error?</v>
      </c>
    </row>
    <row r="1748" spans="1:5" x14ac:dyDescent="0.2">
      <c r="A1748" s="5">
        <v>1687</v>
      </c>
      <c r="B1748" s="138">
        <f>'Tax Sched 23'!B8</f>
        <v>4788029</v>
      </c>
      <c r="C1748" s="2" t="s">
        <v>573</v>
      </c>
      <c r="D1748" s="2" t="str">
        <f t="shared" si="26"/>
        <v>Error?</v>
      </c>
    </row>
    <row r="1749" spans="1:5" x14ac:dyDescent="0.2">
      <c r="A1749" s="5">
        <v>1688</v>
      </c>
      <c r="B1749" s="138">
        <f>'Tax Sched 23'!B10</f>
        <v>2527547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221222841</v>
      </c>
      <c r="C1759" s="2" t="s">
        <v>573</v>
      </c>
      <c r="D1759" s="2" t="str">
        <f t="shared" si="26"/>
        <v>Error?</v>
      </c>
    </row>
    <row r="1760" spans="1:5" x14ac:dyDescent="0.2">
      <c r="A1760" s="5">
        <v>1699</v>
      </c>
      <c r="B1760" s="138">
        <f>'Tax Sched 23'!D4</f>
        <v>78920237</v>
      </c>
      <c r="C1760" s="2" t="s">
        <v>573</v>
      </c>
      <c r="D1760" s="2" t="str">
        <f t="shared" si="26"/>
        <v>Error?</v>
      </c>
    </row>
    <row r="1761" spans="1:5" x14ac:dyDescent="0.2">
      <c r="A1761" s="5">
        <v>1700</v>
      </c>
      <c r="B1761" s="138">
        <f>'Tax Sched 23'!D5</f>
        <v>13158139</v>
      </c>
      <c r="C1761" s="2" t="s">
        <v>573</v>
      </c>
      <c r="D1761" s="2" t="str">
        <f t="shared" si="26"/>
        <v>Error?</v>
      </c>
    </row>
    <row r="1762" spans="1:5" s="8" customFormat="1" x14ac:dyDescent="0.2">
      <c r="A1762" s="5">
        <v>1701</v>
      </c>
      <c r="B1762" s="138">
        <f>'Tax Sched 23'!D6</f>
        <v>-42480</v>
      </c>
      <c r="C1762" s="2" t="s">
        <v>573</v>
      </c>
      <c r="D1762" s="2" t="str">
        <f t="shared" si="26"/>
        <v>Error?</v>
      </c>
      <c r="E1762" s="9"/>
    </row>
    <row r="1763" spans="1:5" x14ac:dyDescent="0.2">
      <c r="A1763" s="5">
        <v>1702</v>
      </c>
      <c r="B1763" s="138">
        <f>'Tax Sched 23'!D7</f>
        <v>3889717</v>
      </c>
      <c r="C1763" s="2" t="s">
        <v>573</v>
      </c>
      <c r="D1763" s="2" t="str">
        <f t="shared" si="26"/>
        <v>Error?</v>
      </c>
    </row>
    <row r="1764" spans="1:5" x14ac:dyDescent="0.2">
      <c r="A1764" s="5">
        <v>1703</v>
      </c>
      <c r="B1764" s="138">
        <f>'Tax Sched 23'!D8</f>
        <v>2257334</v>
      </c>
      <c r="C1764" s="2" t="s">
        <v>573</v>
      </c>
      <c r="D1764" s="2" t="str">
        <f t="shared" si="26"/>
        <v>Error?</v>
      </c>
    </row>
    <row r="1765" spans="1:5" x14ac:dyDescent="0.2">
      <c r="A1765" s="5">
        <v>1704</v>
      </c>
      <c r="B1765" s="138">
        <f>'Tax Sched 23'!D10</f>
        <v>1171817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101612097</v>
      </c>
      <c r="C1775" s="2" t="s">
        <v>573</v>
      </c>
      <c r="D1775" s="2" t="str">
        <f t="shared" si="26"/>
        <v>Error?</v>
      </c>
    </row>
    <row r="1776" spans="1:5" x14ac:dyDescent="0.2">
      <c r="A1776" s="5">
        <v>1715</v>
      </c>
      <c r="B1776" s="138">
        <f>'Tax Sched 23'!C4</f>
        <v>91619835</v>
      </c>
      <c r="D1776" s="2" t="str">
        <f t="shared" si="26"/>
        <v>Error?</v>
      </c>
    </row>
    <row r="1777" spans="1:4" x14ac:dyDescent="0.2">
      <c r="A1777" s="5">
        <v>1716</v>
      </c>
      <c r="B1777" s="138">
        <f>'Tax Sched 23'!C5</f>
        <v>16807121</v>
      </c>
      <c r="D1777" s="2" t="str">
        <f t="shared" si="26"/>
        <v>Error?</v>
      </c>
    </row>
    <row r="1778" spans="1:4" x14ac:dyDescent="0.2">
      <c r="A1778" s="5">
        <v>1717</v>
      </c>
      <c r="B1778" s="138">
        <f>'Tax Sched 23'!C6</f>
        <v>0</v>
      </c>
      <c r="D1778" s="2" t="str">
        <f t="shared" si="26"/>
        <v>Error?</v>
      </c>
    </row>
    <row r="1779" spans="1:4" x14ac:dyDescent="0.2">
      <c r="A1779" s="5">
        <v>1718</v>
      </c>
      <c r="B1779" s="138">
        <f>'Tax Sched 23'!C7</f>
        <v>4617341</v>
      </c>
      <c r="D1779" s="2" t="str">
        <f t="shared" si="26"/>
        <v>Error?</v>
      </c>
    </row>
    <row r="1780" spans="1:4" x14ac:dyDescent="0.2">
      <c r="A1780" s="5">
        <v>1719</v>
      </c>
      <c r="B1780" s="138">
        <f>'Tax Sched 23'!C8</f>
        <v>2530695</v>
      </c>
      <c r="D1780" s="2" t="str">
        <f t="shared" si="26"/>
        <v>Error?</v>
      </c>
    </row>
    <row r="1781" spans="1:4" x14ac:dyDescent="0.2">
      <c r="A1781" s="5">
        <v>1720</v>
      </c>
      <c r="B1781" s="138">
        <f>'Tax Sched 23'!C10</f>
        <v>1355730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119610744</v>
      </c>
      <c r="C1791" s="2" t="s">
        <v>573</v>
      </c>
      <c r="D1791" s="2" t="str">
        <f t="shared" ref="D1791:D1854" si="27">IF(ISBLANK(B1791),"OK",IF(A1791-B1791=0,"OK","Error?"))</f>
        <v>Error?</v>
      </c>
    </row>
    <row r="1792" spans="1:4" x14ac:dyDescent="0.2">
      <c r="A1792" s="5">
        <v>1731</v>
      </c>
      <c r="B1792" s="138">
        <f>'Tax Sched 23'!F4</f>
        <v>82402212</v>
      </c>
      <c r="C1792" s="2" t="s">
        <v>573</v>
      </c>
      <c r="D1792" s="2" t="str">
        <f t="shared" si="27"/>
        <v>Error?</v>
      </c>
    </row>
    <row r="1793" spans="1:4" x14ac:dyDescent="0.2">
      <c r="A1793" s="5">
        <v>1732</v>
      </c>
      <c r="B1793" s="138">
        <f>'Tax Sched 23'!F5</f>
        <v>15113463</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4152050</v>
      </c>
      <c r="C1795" s="2" t="s">
        <v>573</v>
      </c>
      <c r="D1795" s="2" t="str">
        <f t="shared" si="27"/>
        <v>Error?</v>
      </c>
    </row>
    <row r="1796" spans="1:4" x14ac:dyDescent="0.2">
      <c r="A1796" s="5">
        <v>1735</v>
      </c>
      <c r="B1796" s="138">
        <f>'Tax Sched 23'!F8</f>
        <v>2275677</v>
      </c>
      <c r="C1796" s="2" t="s">
        <v>573</v>
      </c>
      <c r="D1796" s="2" t="str">
        <f t="shared" si="27"/>
        <v>Error?</v>
      </c>
    </row>
    <row r="1797" spans="1:4" x14ac:dyDescent="0.2">
      <c r="A1797" s="5">
        <v>1736</v>
      </c>
      <c r="B1797" s="138">
        <f>'Tax Sched 23'!F10</f>
        <v>1219112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107572470</v>
      </c>
      <c r="C1807" s="2" t="s">
        <v>573</v>
      </c>
      <c r="D1807" s="2" t="str">
        <f t="shared" si="27"/>
        <v>Error?</v>
      </c>
    </row>
    <row r="1808" spans="1:4" x14ac:dyDescent="0.2">
      <c r="A1808" s="5">
        <v>1747</v>
      </c>
      <c r="B1808" s="138">
        <f>'Tax Sched 23'!E4</f>
        <v>174022047</v>
      </c>
      <c r="D1808" s="2" t="str">
        <f t="shared" si="27"/>
        <v>Error?</v>
      </c>
    </row>
    <row r="1809" spans="1:4" x14ac:dyDescent="0.2">
      <c r="A1809" s="5">
        <v>1748</v>
      </c>
      <c r="B1809" s="138">
        <f>'Tax Sched 23'!E5</f>
        <v>31920584</v>
      </c>
      <c r="D1809" s="2" t="str">
        <f t="shared" si="27"/>
        <v>Error?</v>
      </c>
    </row>
    <row r="1810" spans="1:4" x14ac:dyDescent="0.2">
      <c r="A1810" s="5">
        <v>1749</v>
      </c>
      <c r="B1810" s="138">
        <f>'Tax Sched 23'!E6</f>
        <v>0</v>
      </c>
      <c r="D1810" s="2" t="str">
        <f t="shared" si="27"/>
        <v>Error?</v>
      </c>
    </row>
    <row r="1811" spans="1:4" x14ac:dyDescent="0.2">
      <c r="A1811" s="5">
        <v>1750</v>
      </c>
      <c r="B1811" s="138">
        <f>'Tax Sched 23'!E7</f>
        <v>8769391</v>
      </c>
      <c r="D1811" s="2" t="str">
        <f t="shared" si="27"/>
        <v>Error?</v>
      </c>
    </row>
    <row r="1812" spans="1:4" x14ac:dyDescent="0.2">
      <c r="A1812" s="5">
        <v>1751</v>
      </c>
      <c r="B1812" s="138">
        <f>'Tax Sched 23'!E8</f>
        <v>4806372</v>
      </c>
      <c r="D1812" s="2" t="str">
        <f t="shared" si="27"/>
        <v>Error?</v>
      </c>
    </row>
    <row r="1813" spans="1:4" x14ac:dyDescent="0.2">
      <c r="A1813" s="5">
        <v>1752</v>
      </c>
      <c r="B1813" s="138">
        <f>'Tax Sched 23'!E10</f>
        <v>2574842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227183214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433118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1456291</v>
      </c>
      <c r="D2008" s="2" t="str">
        <f t="shared" si="30"/>
        <v>Error?</v>
      </c>
    </row>
    <row r="2009" spans="1:4" x14ac:dyDescent="0.2">
      <c r="A2009" s="5">
        <v>1948</v>
      </c>
      <c r="B2009" s="138">
        <f>'Cap Outlay Deprec 26'!C8</f>
        <v>320773495</v>
      </c>
      <c r="D2009" s="2" t="str">
        <f t="shared" si="30"/>
        <v>Error?</v>
      </c>
    </row>
    <row r="2010" spans="1:4" x14ac:dyDescent="0.2">
      <c r="A2010" s="5">
        <v>1949</v>
      </c>
      <c r="B2010" s="138">
        <f>'Cap Outlay Deprec 26'!C10</f>
        <v>38759012</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28678540</v>
      </c>
      <c r="D2012" s="2" t="str">
        <f t="shared" si="30"/>
        <v>Error?</v>
      </c>
    </row>
    <row r="2013" spans="1:4" x14ac:dyDescent="0.2">
      <c r="A2013" s="5">
        <v>1952</v>
      </c>
      <c r="B2013" s="138">
        <f>'Cap Outlay Deprec 26'!C16</f>
        <v>411891972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6394681</v>
      </c>
      <c r="D2015" s="2" t="str">
        <f t="shared" si="30"/>
        <v>Error?</v>
      </c>
    </row>
    <row r="2016" spans="1:4" x14ac:dyDescent="0.2">
      <c r="A2016" s="5">
        <v>1955</v>
      </c>
      <c r="B2016" s="138">
        <f>'Cap Outlay Deprec 26'!D10</f>
        <v>10275251</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1963059</v>
      </c>
      <c r="D2018" s="2" t="str">
        <f t="shared" si="30"/>
        <v>Error?</v>
      </c>
    </row>
    <row r="2019" spans="1:4" x14ac:dyDescent="0.2">
      <c r="A2019" s="5">
        <v>1958</v>
      </c>
      <c r="B2019" s="138">
        <f>'Cap Outlay Deprec 26'!D16</f>
        <v>36536634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209996</v>
      </c>
      <c r="D2021" s="2" t="str">
        <f t="shared" si="30"/>
        <v>Error?</v>
      </c>
    </row>
    <row r="2022" spans="1:4" x14ac:dyDescent="0.2">
      <c r="A2022" s="5">
        <v>1961</v>
      </c>
      <c r="B2022" s="138">
        <f>'Cap Outlay Deprec 26'!E10</f>
        <v>4566116</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225056</v>
      </c>
      <c r="D2024" s="2" t="str">
        <f t="shared" si="30"/>
        <v>Error?</v>
      </c>
    </row>
    <row r="2025" spans="1:4" x14ac:dyDescent="0.2">
      <c r="A2025" s="5">
        <v>1964</v>
      </c>
      <c r="B2025" s="138">
        <f>'Cap Outlay Deprec 26'!E16</f>
        <v>23902362</v>
      </c>
      <c r="C2025" s="2" t="s">
        <v>573</v>
      </c>
      <c r="D2025" s="2" t="str">
        <f t="shared" si="30"/>
        <v>Error?</v>
      </c>
    </row>
    <row r="2026" spans="1:4" x14ac:dyDescent="0.2">
      <c r="A2026" s="5">
        <v>1965</v>
      </c>
      <c r="B2026" s="138">
        <f>'Cap Outlay Deprec 26'!F5</f>
        <v>1456291</v>
      </c>
      <c r="C2026" s="2" t="s">
        <v>573</v>
      </c>
      <c r="D2026" s="2" t="str">
        <f t="shared" si="30"/>
        <v>Error?</v>
      </c>
    </row>
    <row r="2027" spans="1:4" x14ac:dyDescent="0.2">
      <c r="A2027" s="5">
        <v>1966</v>
      </c>
      <c r="B2027" s="138">
        <f>'Cap Outlay Deprec 26'!F8</f>
        <v>326958180</v>
      </c>
      <c r="C2027" s="2" t="s">
        <v>573</v>
      </c>
      <c r="D2027" s="2" t="str">
        <f t="shared" si="30"/>
        <v>Error?</v>
      </c>
    </row>
    <row r="2028" spans="1:4" x14ac:dyDescent="0.2">
      <c r="A2028" s="5">
        <v>1967</v>
      </c>
      <c r="B2028" s="138">
        <f>'Cap Outlay Deprec 26'!F10</f>
        <v>44468147</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30416543</v>
      </c>
      <c r="C2030" s="2" t="s">
        <v>573</v>
      </c>
      <c r="D2030" s="2" t="str">
        <f t="shared" si="30"/>
        <v>Error?</v>
      </c>
    </row>
    <row r="2031" spans="1:4" x14ac:dyDescent="0.2">
      <c r="A2031" s="5">
        <v>1970</v>
      </c>
      <c r="B2031" s="138">
        <f>'Cap Outlay Deprec 26'!F16</f>
        <v>424526244</v>
      </c>
      <c r="C2031" s="2" t="s">
        <v>573</v>
      </c>
      <c r="D2031" s="2" t="str">
        <f t="shared" si="30"/>
        <v>Error?</v>
      </c>
    </row>
    <row r="2032" spans="1:4" x14ac:dyDescent="0.2">
      <c r="A2032" s="10">
        <v>1971</v>
      </c>
      <c r="D2032" s="2" t="str">
        <f t="shared" si="30"/>
        <v>OK</v>
      </c>
    </row>
    <row r="2033" spans="1:4" x14ac:dyDescent="0.2">
      <c r="A2033" s="5">
        <v>1972</v>
      </c>
      <c r="B2033" s="138">
        <f>'Cap Outlay Deprec 26'!H8</f>
        <v>135138498</v>
      </c>
      <c r="D2033" s="2" t="str">
        <f t="shared" si="30"/>
        <v>Error?</v>
      </c>
    </row>
    <row r="2034" spans="1:4" x14ac:dyDescent="0.2">
      <c r="A2034" s="5">
        <v>1973</v>
      </c>
      <c r="B2034" s="138">
        <f>'Cap Outlay Deprec 26'!H10</f>
        <v>27925476</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19508429</v>
      </c>
      <c r="D2036" s="2" t="str">
        <f t="shared" si="30"/>
        <v>Error?</v>
      </c>
    </row>
    <row r="2037" spans="1:4" x14ac:dyDescent="0.2">
      <c r="A2037" s="5">
        <v>1976</v>
      </c>
      <c r="B2037" s="138">
        <f>'Cap Outlay Deprec 26'!H16</f>
        <v>193212945</v>
      </c>
      <c r="C2037" s="2" t="s">
        <v>573</v>
      </c>
      <c r="D2037" s="2" t="str">
        <f t="shared" si="30"/>
        <v>Error?</v>
      </c>
    </row>
    <row r="2038" spans="1:4" x14ac:dyDescent="0.2">
      <c r="A2038" s="10">
        <v>1977</v>
      </c>
      <c r="D2038" s="2" t="str">
        <f t="shared" si="30"/>
        <v>OK</v>
      </c>
    </row>
    <row r="2039" spans="1:4" x14ac:dyDescent="0.2">
      <c r="A2039" s="5">
        <v>1978</v>
      </c>
      <c r="B2039" s="138">
        <f>'Cap Outlay Deprec 26'!I8</f>
        <v>9701509</v>
      </c>
      <c r="D2039" s="2" t="str">
        <f t="shared" si="30"/>
        <v>Error?</v>
      </c>
    </row>
    <row r="2040" spans="1:4" x14ac:dyDescent="0.2">
      <c r="A2040" s="5">
        <v>1979</v>
      </c>
      <c r="B2040" s="138">
        <f>'Cap Outlay Deprec 26'!I10</f>
        <v>3156630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1571063</v>
      </c>
      <c r="D2042" s="2" t="str">
        <f t="shared" si="30"/>
        <v>Error?</v>
      </c>
    </row>
    <row r="2043" spans="1:4" x14ac:dyDescent="0.2">
      <c r="A2043" s="5">
        <v>1982</v>
      </c>
      <c r="B2043" s="138">
        <f>'Cap Outlay Deprec 26'!I16</f>
        <v>15608101</v>
      </c>
      <c r="C2043" s="2" t="s">
        <v>573</v>
      </c>
      <c r="D2043" s="2" t="str">
        <f t="shared" si="30"/>
        <v>Error?</v>
      </c>
    </row>
    <row r="2044" spans="1:4" x14ac:dyDescent="0.2">
      <c r="A2044" s="10">
        <v>1983</v>
      </c>
      <c r="D2044" s="2" t="str">
        <f t="shared" si="30"/>
        <v>OK</v>
      </c>
    </row>
    <row r="2045" spans="1:4" x14ac:dyDescent="0.2">
      <c r="A2045" s="5">
        <v>1984</v>
      </c>
      <c r="B2045" s="138">
        <f>'Cap Outlay Deprec 26'!J8</f>
        <v>56222</v>
      </c>
      <c r="D2045" s="2" t="str">
        <f t="shared" si="30"/>
        <v>Error?</v>
      </c>
    </row>
    <row r="2046" spans="1:4" x14ac:dyDescent="0.2">
      <c r="A2046" s="5">
        <v>1985</v>
      </c>
      <c r="B2046" s="138">
        <f>'Cap Outlay Deprec 26'!J10</f>
        <v>4287375</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202049</v>
      </c>
      <c r="D2048" s="2" t="str">
        <f t="shared" si="31"/>
        <v>Error?</v>
      </c>
    </row>
    <row r="2049" spans="1:4" x14ac:dyDescent="0.2">
      <c r="A2049" s="5">
        <v>1988</v>
      </c>
      <c r="B2049" s="138">
        <f>'Cap Outlay Deprec 26'!J16</f>
        <v>6032913</v>
      </c>
      <c r="C2049" s="2" t="s">
        <v>573</v>
      </c>
      <c r="D2049" s="2" t="str">
        <f t="shared" si="31"/>
        <v>Error?</v>
      </c>
    </row>
    <row r="2050" spans="1:4" x14ac:dyDescent="0.2">
      <c r="A2050" s="10">
        <v>1989</v>
      </c>
      <c r="D2050" s="2" t="str">
        <f t="shared" si="31"/>
        <v>OK</v>
      </c>
    </row>
    <row r="2051" spans="1:4" x14ac:dyDescent="0.2">
      <c r="A2051" s="5">
        <v>1990</v>
      </c>
      <c r="B2051" s="138">
        <f>'Cap Outlay Deprec 26'!K8</f>
        <v>144783785</v>
      </c>
      <c r="C2051" s="2" t="s">
        <v>573</v>
      </c>
      <c r="D2051" s="2" t="str">
        <f t="shared" si="31"/>
        <v>Error?</v>
      </c>
    </row>
    <row r="2052" spans="1:4" x14ac:dyDescent="0.2">
      <c r="A2052" s="5">
        <v>1991</v>
      </c>
      <c r="B2052" s="138">
        <f>'Cap Outlay Deprec 26'!K10</f>
        <v>26794731</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20877443</v>
      </c>
      <c r="C2054" s="2" t="s">
        <v>573</v>
      </c>
      <c r="D2054" s="2" t="str">
        <f t="shared" si="31"/>
        <v>Error?</v>
      </c>
    </row>
    <row r="2055" spans="1:4" x14ac:dyDescent="0.2">
      <c r="A2055" s="5">
        <v>1994</v>
      </c>
      <c r="B2055" s="138">
        <f>'Cap Outlay Deprec 26'!K16</f>
        <v>202788133</v>
      </c>
      <c r="C2055" s="2" t="s">
        <v>573</v>
      </c>
      <c r="D2055" s="2" t="str">
        <f t="shared" si="31"/>
        <v>Error?</v>
      </c>
    </row>
    <row r="2056" spans="1:4" x14ac:dyDescent="0.2">
      <c r="A2056" s="5">
        <v>1995</v>
      </c>
      <c r="B2056" s="138">
        <f>'Cap Outlay Deprec 26'!L5</f>
        <v>1456291</v>
      </c>
      <c r="C2056" s="2" t="s">
        <v>573</v>
      </c>
      <c r="D2056" s="2" t="str">
        <f t="shared" si="31"/>
        <v>Error?</v>
      </c>
    </row>
    <row r="2057" spans="1:4" x14ac:dyDescent="0.2">
      <c r="A2057" s="5">
        <v>1996</v>
      </c>
      <c r="B2057" s="138">
        <f>'Cap Outlay Deprec 26'!L8</f>
        <v>182174395</v>
      </c>
      <c r="C2057" s="2" t="s">
        <v>573</v>
      </c>
      <c r="D2057" s="2" t="str">
        <f t="shared" si="31"/>
        <v>Error?</v>
      </c>
    </row>
    <row r="2058" spans="1:4" x14ac:dyDescent="0.2">
      <c r="A2058" s="5">
        <v>1997</v>
      </c>
      <c r="B2058" s="138">
        <f>'Cap Outlay Deprec 26'!L10</f>
        <v>17673416</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9539100</v>
      </c>
      <c r="C2060" s="2" t="s">
        <v>573</v>
      </c>
      <c r="D2060" s="2" t="str">
        <f t="shared" si="31"/>
        <v>Error?</v>
      </c>
    </row>
    <row r="2061" spans="1:4" x14ac:dyDescent="0.2">
      <c r="A2061" s="5">
        <v>2000</v>
      </c>
      <c r="B2061" s="138">
        <f>'Cap Outlay Deprec 26'!L16</f>
        <v>221738111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274812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274812</v>
      </c>
      <c r="C2088" s="2" t="s">
        <v>573</v>
      </c>
      <c r="D2088" s="2" t="str">
        <f t="shared" si="31"/>
        <v>Error?</v>
      </c>
    </row>
    <row r="2089" spans="1:4" x14ac:dyDescent="0.2">
      <c r="A2089" s="5">
        <v>2028</v>
      </c>
      <c r="B2089" s="138">
        <f>'Expenditures 15-22'!K92</f>
        <v>7990709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18483638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6187878</v>
      </c>
      <c r="D2475" s="2" t="str">
        <f t="shared" si="37"/>
        <v>Error?</v>
      </c>
    </row>
    <row r="2476" spans="1:4" x14ac:dyDescent="0.2">
      <c r="A2476" s="10">
        <v>2415</v>
      </c>
      <c r="D2476" s="2" t="str">
        <f t="shared" si="37"/>
        <v>OK</v>
      </c>
    </row>
    <row r="2477" spans="1:4" x14ac:dyDescent="0.2">
      <c r="A2477" s="5">
        <v>2416</v>
      </c>
      <c r="B2477" s="138">
        <f>'Assets-Liab 5-6'!G38</f>
        <v>4555285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4789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-1023030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181609361</v>
      </c>
      <c r="C2551" s="2" t="s">
        <v>573</v>
      </c>
      <c r="D2551" s="2" t="str">
        <f t="shared" si="38"/>
        <v>Error?</v>
      </c>
    </row>
    <row r="2552" spans="1:4" x14ac:dyDescent="0.2">
      <c r="A2552" s="10">
        <v>2491</v>
      </c>
      <c r="D2552" s="2" t="str">
        <f t="shared" si="38"/>
        <v>OK</v>
      </c>
    </row>
    <row r="2553" spans="1:4" x14ac:dyDescent="0.2">
      <c r="A2553" s="5">
        <v>2492</v>
      </c>
      <c r="B2553" s="138">
        <f>'Acct Summary 7-8'!C6</f>
        <v>14671541</v>
      </c>
      <c r="C2553" s="2" t="s">
        <v>573</v>
      </c>
      <c r="D2553" s="2" t="str">
        <f t="shared" si="38"/>
        <v>Error?</v>
      </c>
    </row>
    <row r="2554" spans="1:4" x14ac:dyDescent="0.2">
      <c r="A2554" s="5">
        <v>2493</v>
      </c>
      <c r="B2554" s="138">
        <f>'Acct Summary 7-8'!C7</f>
        <v>8191696</v>
      </c>
      <c r="C2554" s="2" t="s">
        <v>573</v>
      </c>
      <c r="D2554" s="2" t="str">
        <f t="shared" si="38"/>
        <v>Error?</v>
      </c>
    </row>
    <row r="2555" spans="1:4" x14ac:dyDescent="0.2">
      <c r="A2555" s="5">
        <v>2494</v>
      </c>
      <c r="B2555" s="138">
        <f>'Acct Summary 7-8'!C8</f>
        <v>204472598</v>
      </c>
      <c r="C2555" s="2" t="s">
        <v>573</v>
      </c>
      <c r="D2555" s="2" t="str">
        <f t="shared" si="38"/>
        <v>Error?</v>
      </c>
    </row>
    <row r="2556" spans="1:4" x14ac:dyDescent="0.2">
      <c r="A2556" s="5">
        <v>2495</v>
      </c>
      <c r="B2556" s="138">
        <f>'Acct Summary 7-8'!C12</f>
        <v>137265441</v>
      </c>
      <c r="C2556" s="2" t="s">
        <v>573</v>
      </c>
      <c r="D2556" s="2" t="str">
        <f t="shared" si="38"/>
        <v>Error?</v>
      </c>
    </row>
    <row r="2557" spans="1:4" x14ac:dyDescent="0.2">
      <c r="A2557" s="5">
        <v>2496</v>
      </c>
      <c r="B2557" s="138">
        <f>'Acct Summary 7-8'!C13</f>
        <v>50642811</v>
      </c>
      <c r="C2557" s="2" t="s">
        <v>573</v>
      </c>
      <c r="D2557" s="2" t="str">
        <f t="shared" si="38"/>
        <v>Error?</v>
      </c>
    </row>
    <row r="2558" spans="1:4" x14ac:dyDescent="0.2">
      <c r="A2558" s="5">
        <v>2497</v>
      </c>
      <c r="B2558" s="138">
        <f>'Acct Summary 7-8'!C14</f>
        <v>11706</v>
      </c>
      <c r="C2558" s="2" t="s">
        <v>573</v>
      </c>
      <c r="D2558" s="2" t="str">
        <f t="shared" si="38"/>
        <v>Error?</v>
      </c>
    </row>
    <row r="2559" spans="1:4" x14ac:dyDescent="0.2">
      <c r="A2559" s="5">
        <v>2498</v>
      </c>
      <c r="B2559" s="138">
        <f>'Acct Summary 7-8'!C15</f>
        <v>8265521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196185479</v>
      </c>
      <c r="C2561" s="2" t="s">
        <v>573</v>
      </c>
      <c r="D2561" s="2" t="str">
        <f t="shared" si="39"/>
        <v>Error?</v>
      </c>
    </row>
    <row r="2562" spans="1:4" x14ac:dyDescent="0.2">
      <c r="A2562" s="5">
        <v>2501</v>
      </c>
      <c r="B2562" s="138">
        <f>'Acct Summary 7-8'!C20</f>
        <v>8287119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33436009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33436009</v>
      </c>
      <c r="C2568" s="2" t="s">
        <v>573</v>
      </c>
      <c r="D2568" s="2" t="str">
        <f t="shared" si="39"/>
        <v>Error?</v>
      </c>
    </row>
    <row r="2569" spans="1:4" x14ac:dyDescent="0.2">
      <c r="A2569" s="5">
        <v>2508</v>
      </c>
      <c r="B2569" s="138">
        <f>'Acct Summary 7-8'!D13</f>
        <v>26554746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26554746</v>
      </c>
      <c r="C2573" s="2" t="s">
        <v>573</v>
      </c>
      <c r="D2573" s="2" t="str">
        <f t="shared" si="39"/>
        <v>Error?</v>
      </c>
    </row>
    <row r="2574" spans="1:4" x14ac:dyDescent="0.2">
      <c r="A2574" s="5">
        <v>2513</v>
      </c>
      <c r="B2574" s="138">
        <f>'Acct Summary 7-8'!D20</f>
        <v>6881263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8930224</v>
      </c>
      <c r="C2591" s="2" t="s">
        <v>573</v>
      </c>
      <c r="D2591" s="2" t="str">
        <f t="shared" si="39"/>
        <v>Error?</v>
      </c>
    </row>
    <row r="2592" spans="1:4" x14ac:dyDescent="0.2">
      <c r="A2592" s="10">
        <v>2531</v>
      </c>
      <c r="D2592" s="2" t="str">
        <f t="shared" si="39"/>
        <v>OK</v>
      </c>
    </row>
    <row r="2593" spans="1:4" x14ac:dyDescent="0.2">
      <c r="A2593" s="5">
        <v>2532</v>
      </c>
      <c r="B2593" s="138">
        <f>'Acct Summary 7-8'!F6</f>
        <v>5486941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14417165</v>
      </c>
      <c r="C2595" s="2" t="s">
        <v>573</v>
      </c>
      <c r="D2595" s="2" t="str">
        <f t="shared" si="39"/>
        <v>Error?</v>
      </c>
    </row>
    <row r="2596" spans="1:4" x14ac:dyDescent="0.2">
      <c r="A2596" s="5">
        <v>2535</v>
      </c>
      <c r="B2596" s="138">
        <f>'Acct Summary 7-8'!F13</f>
        <v>12972822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12972822</v>
      </c>
      <c r="C2600" s="2" t="s">
        <v>573</v>
      </c>
      <c r="D2600" s="2" t="str">
        <f t="shared" si="39"/>
        <v>Error?</v>
      </c>
    </row>
    <row r="2601" spans="1:4" x14ac:dyDescent="0.2">
      <c r="A2601" s="5">
        <v>2540</v>
      </c>
      <c r="B2601" s="138">
        <f>'Acct Summary 7-8'!F20</f>
        <v>1444343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10367964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10367964</v>
      </c>
      <c r="C2606" s="2" t="s">
        <v>573</v>
      </c>
      <c r="D2606" s="2" t="str">
        <f t="shared" si="39"/>
        <v>Error?</v>
      </c>
    </row>
    <row r="2607" spans="1:4" x14ac:dyDescent="0.2">
      <c r="A2607" s="5">
        <v>2546</v>
      </c>
      <c r="B2607" s="138">
        <f>'Acct Summary 7-8'!G12</f>
        <v>3535124</v>
      </c>
      <c r="C2607" s="2" t="s">
        <v>573</v>
      </c>
      <c r="D2607" s="2" t="str">
        <f t="shared" si="39"/>
        <v>Error?</v>
      </c>
    </row>
    <row r="2608" spans="1:4" x14ac:dyDescent="0.2">
      <c r="A2608" s="5">
        <v>2547</v>
      </c>
      <c r="B2608" s="138">
        <f>'Acct Summary 7-8'!G13</f>
        <v>7263186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10798310</v>
      </c>
      <c r="C2612" s="2" t="s">
        <v>573</v>
      </c>
      <c r="D2612" s="2" t="str">
        <f t="shared" si="39"/>
        <v>Error?</v>
      </c>
    </row>
    <row r="2613" spans="1:4" x14ac:dyDescent="0.2">
      <c r="A2613" s="5">
        <v>2552</v>
      </c>
      <c r="B2613" s="138">
        <f>'Acct Summary 7-8'!G20</f>
        <v>-430346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-7359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-7359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437103</v>
      </c>
      <c r="C2634" s="2" t="s">
        <v>573</v>
      </c>
      <c r="D2634" s="2" t="str">
        <f t="shared" si="40"/>
        <v>Error?</v>
      </c>
    </row>
    <row r="2635" spans="1:4" x14ac:dyDescent="0.2">
      <c r="A2635" s="5">
        <v>2574</v>
      </c>
      <c r="B2635" s="138">
        <f>'Acct Summary 7-8'!E17</f>
        <v>437103</v>
      </c>
      <c r="C2635" s="2" t="s">
        <v>573</v>
      </c>
      <c r="D2635" s="2" t="str">
        <f t="shared" si="40"/>
        <v>Error?</v>
      </c>
    </row>
    <row r="2636" spans="1:4" x14ac:dyDescent="0.2">
      <c r="A2636" s="5">
        <v>2575</v>
      </c>
      <c r="B2636" s="138">
        <f>'Acct Summary 7-8'!E20</f>
        <v>-444462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131643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131643</v>
      </c>
      <c r="C2658" s="2" t="s">
        <v>573</v>
      </c>
      <c r="D2658" s="2" t="str">
        <f t="shared" si="40"/>
        <v>Error?</v>
      </c>
    </row>
    <row r="2659" spans="1:4" x14ac:dyDescent="0.2">
      <c r="A2659" s="5">
        <v>2598</v>
      </c>
      <c r="B2659" s="138">
        <f>'Acct Summary 7-8'!H13</f>
        <v>11625231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11625231</v>
      </c>
      <c r="C2661" s="2" t="s">
        <v>573</v>
      </c>
      <c r="D2661" s="2" t="str">
        <f t="shared" si="40"/>
        <v>Error?</v>
      </c>
    </row>
    <row r="2662" spans="1:4" x14ac:dyDescent="0.2">
      <c r="A2662" s="5">
        <v>2601</v>
      </c>
      <c r="B2662" s="138">
        <f>'Acct Summary 7-8'!H20</f>
        <v>-11493588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882575</v>
      </c>
      <c r="D2718" s="2" t="str">
        <f t="shared" si="41"/>
        <v>Error?</v>
      </c>
    </row>
    <row r="2719" spans="1:4" x14ac:dyDescent="0.2">
      <c r="A2719" s="5">
        <v>2658</v>
      </c>
      <c r="B2719" s="138">
        <f>'Expenditures 15-22'!D51</f>
        <v>144763</v>
      </c>
      <c r="D2719" s="2" t="str">
        <f t="shared" si="41"/>
        <v>Error?</v>
      </c>
    </row>
    <row r="2720" spans="1:4" x14ac:dyDescent="0.2">
      <c r="A2720" s="5">
        <v>2659</v>
      </c>
      <c r="B2720" s="138">
        <f>'Expenditures 15-22'!E51</f>
        <v>14860</v>
      </c>
      <c r="D2720" s="2" t="str">
        <f t="shared" si="41"/>
        <v>Error?</v>
      </c>
    </row>
    <row r="2721" spans="1:4" x14ac:dyDescent="0.2">
      <c r="A2721" s="5">
        <v>2660</v>
      </c>
      <c r="B2721" s="138">
        <f>'Expenditures 15-22'!F51</f>
        <v>1725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1043923</v>
      </c>
      <c r="C2724" s="2" t="s">
        <v>573</v>
      </c>
      <c r="D2724" s="2" t="str">
        <f t="shared" si="41"/>
        <v>Error?</v>
      </c>
    </row>
    <row r="2725" spans="1:4" x14ac:dyDescent="0.2">
      <c r="A2725" s="5">
        <v>2664</v>
      </c>
      <c r="B2725" s="138">
        <f>'Expenditures 15-22'!D247</f>
        <v>44309</v>
      </c>
      <c r="D2725" s="2" t="str">
        <f t="shared" si="41"/>
        <v>Error?</v>
      </c>
    </row>
    <row r="2726" spans="1:4" x14ac:dyDescent="0.2">
      <c r="A2726" s="5">
        <v>2665</v>
      </c>
      <c r="B2726" s="138">
        <f>'Expenditures 15-22'!K247</f>
        <v>44309</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8110088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1191942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4545743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5866169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2266311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1209961</v>
      </c>
      <c r="D2908" s="2" t="str">
        <f t="shared" si="44"/>
        <v>Error?</v>
      </c>
    </row>
    <row r="2909" spans="1:4" x14ac:dyDescent="0.2">
      <c r="A2909" s="10">
        <v>2848</v>
      </c>
      <c r="D2909" s="2" t="str">
        <f t="shared" si="44"/>
        <v>OK</v>
      </c>
    </row>
    <row r="2910" spans="1:4" x14ac:dyDescent="0.2">
      <c r="A2910" s="5">
        <v>2849</v>
      </c>
      <c r="B2910" s="138">
        <f>'Assets-Liab 5-6'!I34</f>
        <v>1209961</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4656208</v>
      </c>
      <c r="D2912" s="2" t="str">
        <f t="shared" si="44"/>
        <v>Error?</v>
      </c>
    </row>
    <row r="2913" spans="1:4" x14ac:dyDescent="0.2">
      <c r="A2913" s="5">
        <v>2852</v>
      </c>
      <c r="B2913" s="138">
        <f>'Assets-Liab 5-6'!I41</f>
        <v>5866169</v>
      </c>
      <c r="C2913" s="2" t="s">
        <v>573</v>
      </c>
      <c r="D2913" s="2" t="str">
        <f t="shared" si="44"/>
        <v>Error?</v>
      </c>
    </row>
    <row r="2914" spans="1:4" x14ac:dyDescent="0.2">
      <c r="A2914" s="5">
        <v>2853</v>
      </c>
      <c r="B2914" s="138">
        <f>'Assets-Liab 5-6'!L33</f>
        <v>2266311</v>
      </c>
      <c r="D2914" s="2" t="str">
        <f t="shared" si="44"/>
        <v>Error?</v>
      </c>
    </row>
    <row r="2915" spans="1:4" x14ac:dyDescent="0.2">
      <c r="A2915" s="10">
        <v>2854</v>
      </c>
      <c r="D2915" s="2" t="str">
        <f t="shared" si="44"/>
        <v>OK</v>
      </c>
    </row>
    <row r="2916" spans="1:4" x14ac:dyDescent="0.2">
      <c r="A2916" s="5">
        <v>2855</v>
      </c>
      <c r="B2916" s="138">
        <f>'Assets-Liab 5-6'!L34</f>
        <v>2266311</v>
      </c>
      <c r="C2916" s="2" t="s">
        <v>573</v>
      </c>
      <c r="D2916" s="2" t="str">
        <f t="shared" si="44"/>
        <v>Error?</v>
      </c>
    </row>
    <row r="2917" spans="1:4" x14ac:dyDescent="0.2">
      <c r="A2917" s="5">
        <v>2856</v>
      </c>
      <c r="B2917" s="138">
        <f>'Assets-Liab 5-6'!L41</f>
        <v>2266311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274812</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274812</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2600013</v>
      </c>
      <c r="C3225" s="2" t="s">
        <v>573</v>
      </c>
      <c r="D3225" s="2" t="str">
        <f t="shared" si="49"/>
        <v>Error?</v>
      </c>
    </row>
    <row r="3226" spans="1:4" x14ac:dyDescent="0.2">
      <c r="A3226" s="5">
        <v>3165</v>
      </c>
      <c r="B3226" s="138">
        <f>'Acct Summary 7-8'!I8</f>
        <v>2600013</v>
      </c>
      <c r="C3226" s="2" t="s">
        <v>573</v>
      </c>
      <c r="D3226" s="2" t="str">
        <f t="shared" si="49"/>
        <v>Error?</v>
      </c>
    </row>
    <row r="3227" spans="1:4" x14ac:dyDescent="0.2">
      <c r="A3227" s="5">
        <v>3166</v>
      </c>
      <c r="B3227" s="138">
        <f>'Acct Summary 7-8'!I20</f>
        <v>2600013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4200000</v>
      </c>
      <c r="D3230" s="2" t="str">
        <f t="shared" si="49"/>
        <v>Error?</v>
      </c>
    </row>
    <row r="3231" spans="1:4" x14ac:dyDescent="0.2">
      <c r="A3231" s="5">
        <v>3170</v>
      </c>
      <c r="B3231" s="138">
        <f>'Acct Summary 7-8'!C76</f>
        <v>4637103</v>
      </c>
      <c r="C3231" s="2" t="s">
        <v>573</v>
      </c>
      <c r="D3231" s="2" t="str">
        <f t="shared" si="49"/>
        <v>Error?</v>
      </c>
    </row>
    <row r="3232" spans="1:4" x14ac:dyDescent="0.2">
      <c r="A3232" s="5">
        <v>3171</v>
      </c>
      <c r="B3232" s="138">
        <f>'Acct Summary 7-8'!C77</f>
        <v>-4637103</v>
      </c>
      <c r="C3232" s="2" t="s">
        <v>573</v>
      </c>
      <c r="D3232" s="2" t="str">
        <f t="shared" si="49"/>
        <v>Error?</v>
      </c>
    </row>
    <row r="3233" spans="1:4" x14ac:dyDescent="0.2">
      <c r="A3233" s="5">
        <v>3172</v>
      </c>
      <c r="B3233" s="138">
        <f>'Acct Summary 7-8'!C78</f>
        <v>3650016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3000000</v>
      </c>
      <c r="D3236" s="2" t="str">
        <f t="shared" si="49"/>
        <v>Error?</v>
      </c>
    </row>
    <row r="3237" spans="1:4" x14ac:dyDescent="0.2">
      <c r="A3237" s="5">
        <v>3176</v>
      </c>
      <c r="B3237" s="138">
        <f>'Acct Summary 7-8'!D76</f>
        <v>3000000</v>
      </c>
      <c r="C3237" s="2" t="s">
        <v>573</v>
      </c>
      <c r="D3237" s="2" t="str">
        <f t="shared" si="49"/>
        <v>Error?</v>
      </c>
    </row>
    <row r="3238" spans="1:4" x14ac:dyDescent="0.2">
      <c r="A3238" s="5">
        <v>3177</v>
      </c>
      <c r="B3238" s="138">
        <f>'Acct Summary 7-8'!D77</f>
        <v>-3000000</v>
      </c>
      <c r="C3238" s="2" t="s">
        <v>573</v>
      </c>
      <c r="D3238" s="2" t="str">
        <f t="shared" si="49"/>
        <v>Error?</v>
      </c>
    </row>
    <row r="3239" spans="1:4" x14ac:dyDescent="0.2">
      <c r="A3239" s="5">
        <v>3178</v>
      </c>
      <c r="B3239" s="138">
        <f>'Acct Summary 7-8'!D78</f>
        <v>3881263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1000000</v>
      </c>
      <c r="D3253" s="2" t="str">
        <f t="shared" si="49"/>
        <v>Error?</v>
      </c>
    </row>
    <row r="3254" spans="1:4" x14ac:dyDescent="0.2">
      <c r="A3254" s="5">
        <v>3193</v>
      </c>
      <c r="B3254" s="138">
        <f>'Acct Summary 7-8'!F76</f>
        <v>1000000</v>
      </c>
      <c r="C3254" s="2" t="s">
        <v>573</v>
      </c>
      <c r="D3254" s="2" t="str">
        <f t="shared" si="49"/>
        <v>Error?</v>
      </c>
    </row>
    <row r="3255" spans="1:4" x14ac:dyDescent="0.2">
      <c r="A3255" s="5">
        <v>3194</v>
      </c>
      <c r="B3255" s="138">
        <f>'Acct Summary 7-8'!F77</f>
        <v>-1000000</v>
      </c>
      <c r="C3255" s="2" t="s">
        <v>573</v>
      </c>
      <c r="D3255" s="2" t="str">
        <f t="shared" si="49"/>
        <v>Error?</v>
      </c>
    </row>
    <row r="3256" spans="1:4" x14ac:dyDescent="0.2">
      <c r="A3256" s="5">
        <v>3195</v>
      </c>
      <c r="B3256" s="138">
        <f>'Acct Summary 7-8'!F78</f>
        <v>444343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-430346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437103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437103</v>
      </c>
      <c r="C3277" s="2" t="s">
        <v>573</v>
      </c>
      <c r="D3277" s="2" t="str">
        <f t="shared" si="50"/>
        <v>Error?</v>
      </c>
    </row>
    <row r="3278" spans="1:4" x14ac:dyDescent="0.2">
      <c r="A3278" s="5">
        <v>3217</v>
      </c>
      <c r="B3278" s="138">
        <f>'Acct Summary 7-8'!E78</f>
        <v>-7359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-11493588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2600013</v>
      </c>
      <c r="C3320" s="2" t="s">
        <v>573</v>
      </c>
      <c r="D3320" s="2" t="str">
        <f t="shared" si="50"/>
        <v>Error?</v>
      </c>
    </row>
    <row r="3321" spans="1:4" x14ac:dyDescent="0.2">
      <c r="A3321" s="5">
        <v>3260</v>
      </c>
      <c r="B3321" s="138">
        <f>'Acct Summary 7-8'!I79</f>
        <v>2056195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4656208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20051281</v>
      </c>
      <c r="D3366" s="2" t="str">
        <f t="shared" si="51"/>
        <v>Error?</v>
      </c>
    </row>
    <row r="3367" spans="1:4" x14ac:dyDescent="0.2">
      <c r="A3367" s="5">
        <v>3306</v>
      </c>
      <c r="B3367" s="138">
        <f>'Expenditures 15-22'!C19</f>
        <v>32147</v>
      </c>
      <c r="D3367" s="2" t="str">
        <f t="shared" si="51"/>
        <v>Error?</v>
      </c>
    </row>
    <row r="3368" spans="1:4" x14ac:dyDescent="0.2">
      <c r="A3368" s="5">
        <v>3307</v>
      </c>
      <c r="B3368" s="138">
        <f>'Expenditures 15-22'!D8</f>
        <v>5407355</v>
      </c>
      <c r="D3368" s="2" t="str">
        <f t="shared" si="51"/>
        <v>Error?</v>
      </c>
    </row>
    <row r="3369" spans="1:4" x14ac:dyDescent="0.2">
      <c r="A3369" s="5">
        <v>3308</v>
      </c>
      <c r="B3369" s="138">
        <f>'Expenditures 15-22'!D19</f>
        <v>315</v>
      </c>
      <c r="D3369" s="2" t="str">
        <f t="shared" si="51"/>
        <v>Error?</v>
      </c>
    </row>
    <row r="3370" spans="1:4" x14ac:dyDescent="0.2">
      <c r="A3370" s="5">
        <v>3309</v>
      </c>
      <c r="B3370" s="138">
        <f>'Expenditures 15-22'!E8</f>
        <v>224836</v>
      </c>
      <c r="D3370" s="2" t="str">
        <f t="shared" si="51"/>
        <v>Error?</v>
      </c>
    </row>
    <row r="3371" spans="1:4" x14ac:dyDescent="0.2">
      <c r="A3371" s="5">
        <v>3310</v>
      </c>
      <c r="B3371" s="138">
        <f>'Expenditures 15-22'!E19</f>
        <v>92308</v>
      </c>
      <c r="D3371" s="2" t="str">
        <f t="shared" si="51"/>
        <v>Error?</v>
      </c>
    </row>
    <row r="3372" spans="1:4" x14ac:dyDescent="0.2">
      <c r="A3372" s="5">
        <v>3311</v>
      </c>
      <c r="B3372" s="138">
        <f>'Expenditures 15-22'!F8</f>
        <v>139178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25842810</v>
      </c>
      <c r="C3380" s="2" t="s">
        <v>573</v>
      </c>
      <c r="D3380" s="2" t="str">
        <f t="shared" si="51"/>
        <v>Error?</v>
      </c>
    </row>
    <row r="3381" spans="1:4" x14ac:dyDescent="0.2">
      <c r="A3381" s="5">
        <v>3320</v>
      </c>
      <c r="B3381" s="138">
        <f>'Expenditures 15-22'!K19</f>
        <v>124770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1359361</v>
      </c>
      <c r="D3387" s="2" t="str">
        <f t="shared" si="51"/>
        <v>Error?</v>
      </c>
    </row>
    <row r="3388" spans="1:4" x14ac:dyDescent="0.2">
      <c r="A3388" s="5">
        <v>3327</v>
      </c>
      <c r="B3388" s="138">
        <f>'Expenditures 15-22'!D217</f>
        <v>1392127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1359361</v>
      </c>
      <c r="C3390" s="2" t="s">
        <v>573</v>
      </c>
      <c r="D3390" s="2" t="str">
        <f t="shared" si="51"/>
        <v>Error?</v>
      </c>
    </row>
    <row r="3391" spans="1:4" x14ac:dyDescent="0.2">
      <c r="A3391" s="5">
        <v>3330</v>
      </c>
      <c r="B3391" s="138">
        <f>'Expenditures 15-22'!K217</f>
        <v>1392127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431895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1163017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661</v>
      </c>
      <c r="D3417" s="2" t="str">
        <f t="shared" si="52"/>
        <v>Error?</v>
      </c>
    </row>
    <row r="3418" spans="1:4" x14ac:dyDescent="0.2">
      <c r="A3418" s="10">
        <v>3357</v>
      </c>
      <c r="D3418" s="2" t="str">
        <f t="shared" si="52"/>
        <v>OK</v>
      </c>
    </row>
    <row r="3419" spans="1:4" x14ac:dyDescent="0.2">
      <c r="A3419" s="5">
        <v>3358</v>
      </c>
      <c r="B3419" s="138">
        <f>'Assets-Liab 5-6'!F4</f>
        <v>34958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65660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98010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2274443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4937355</v>
      </c>
      <c r="C3446" s="2" t="s">
        <v>573</v>
      </c>
      <c r="D3446" s="2" t="str">
        <f t="shared" si="52"/>
        <v>Error?</v>
      </c>
    </row>
    <row r="3447" spans="1:4" x14ac:dyDescent="0.2">
      <c r="A3447" s="5">
        <v>3386</v>
      </c>
      <c r="B3447" s="138">
        <f>'Tax Sched 23'!D16</f>
        <v>2257333</v>
      </c>
      <c r="C3447" s="2" t="s">
        <v>573</v>
      </c>
      <c r="D3447" s="2" t="str">
        <f t="shared" si="52"/>
        <v>Error?</v>
      </c>
    </row>
    <row r="3448" spans="1:4" x14ac:dyDescent="0.2">
      <c r="A3448" s="5">
        <v>3387</v>
      </c>
      <c r="B3448" s="138">
        <f>'Tax Sched 23'!C16</f>
        <v>2680022</v>
      </c>
      <c r="D3448" s="2" t="str">
        <f t="shared" si="52"/>
        <v>Error?</v>
      </c>
    </row>
    <row r="3449" spans="1:4" x14ac:dyDescent="0.2">
      <c r="A3449" s="5">
        <v>3388</v>
      </c>
      <c r="B3449" s="138">
        <f>'Tax Sched 23'!F16</f>
        <v>2409956</v>
      </c>
      <c r="C3449" s="2" t="s">
        <v>573</v>
      </c>
      <c r="D3449" s="2" t="str">
        <f t="shared" si="52"/>
        <v>Error?</v>
      </c>
    </row>
    <row r="3450" spans="1:4" x14ac:dyDescent="0.2">
      <c r="A3450" s="5">
        <v>3389</v>
      </c>
      <c r="B3450" s="138">
        <f>'Tax Sched 23'!E16</f>
        <v>5089978</v>
      </c>
      <c r="D3450" s="2" t="str">
        <f t="shared" si="52"/>
        <v>Error?</v>
      </c>
    </row>
    <row r="3451" spans="1:4" x14ac:dyDescent="0.2">
      <c r="A3451" s="5">
        <v>3390</v>
      </c>
      <c r="B3451" s="138">
        <f>'Cap Outlay Deprec 26'!C15</f>
        <v>9763634</v>
      </c>
      <c r="D3451" s="2" t="str">
        <f t="shared" si="52"/>
        <v>Error?</v>
      </c>
    </row>
    <row r="3452" spans="1:4" x14ac:dyDescent="0.2">
      <c r="A3452" s="5">
        <v>3391</v>
      </c>
      <c r="B3452" s="138">
        <f>'Cap Outlay Deprec 26'!D15</f>
        <v>15727597</v>
      </c>
      <c r="D3452" s="2" t="str">
        <f t="shared" si="52"/>
        <v>Error?</v>
      </c>
    </row>
    <row r="3453" spans="1:4" x14ac:dyDescent="0.2">
      <c r="A3453" s="5">
        <v>3392</v>
      </c>
      <c r="B3453" s="138">
        <f>'Cap Outlay Deprec 26'!E15</f>
        <v>17381143</v>
      </c>
      <c r="D3453" s="2" t="str">
        <f t="shared" si="52"/>
        <v>Error?</v>
      </c>
    </row>
    <row r="3454" spans="1:4" x14ac:dyDescent="0.2">
      <c r="A3454" s="5">
        <v>3393</v>
      </c>
      <c r="B3454" s="138">
        <f>'Cap Outlay Deprec 26'!F15</f>
        <v>8110088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8110088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76348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1063106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1147921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4771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51006</v>
      </c>
      <c r="C3565" s="2" t="s">
        <v>573</v>
      </c>
      <c r="D3565" s="2" t="str">
        <f t="shared" si="54"/>
        <v>Error?</v>
      </c>
    </row>
    <row r="3566" spans="1:4" x14ac:dyDescent="0.2">
      <c r="A3566" s="5">
        <v>3505</v>
      </c>
      <c r="B3566" s="138">
        <f>'Assets-Liab 5-6'!K38</f>
        <v>1096915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1147921</v>
      </c>
      <c r="C3568" s="2" t="s">
        <v>573</v>
      </c>
      <c r="D3568" s="2" t="str">
        <f t="shared" si="54"/>
        <v>Error?</v>
      </c>
    </row>
    <row r="3569" spans="1:4" x14ac:dyDescent="0.2">
      <c r="A3569" s="5">
        <v>3508</v>
      </c>
      <c r="B3569" s="138">
        <f>'Acct Summary 7-8'!K4</f>
        <v>37988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37988</v>
      </c>
      <c r="C3571" s="2" t="s">
        <v>573</v>
      </c>
      <c r="D3571" s="2" t="str">
        <f t="shared" si="54"/>
        <v>Error?</v>
      </c>
    </row>
    <row r="3572" spans="1:4" x14ac:dyDescent="0.2">
      <c r="A3572" s="5">
        <v>3511</v>
      </c>
      <c r="B3572" s="138">
        <f>'Acct Summary 7-8'!K13</f>
        <v>1083293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1083293</v>
      </c>
      <c r="C3575" s="2" t="s">
        <v>573</v>
      </c>
      <c r="D3575" s="2" t="str">
        <f t="shared" si="54"/>
        <v>Error?</v>
      </c>
    </row>
    <row r="3576" spans="1:4" x14ac:dyDescent="0.2">
      <c r="A3576" s="5">
        <v>3515</v>
      </c>
      <c r="B3576" s="138">
        <f>'Acct Summary 7-8'!K20</f>
        <v>-1045305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-1045305</v>
      </c>
      <c r="C3588" s="2" t="s">
        <v>573</v>
      </c>
      <c r="D3588" s="2" t="str">
        <f t="shared" si="55"/>
        <v>Error?</v>
      </c>
    </row>
    <row r="3589" spans="1:4" x14ac:dyDescent="0.2">
      <c r="A3589" s="5">
        <v>3528</v>
      </c>
      <c r="B3589" s="138">
        <f>'Acct Summary 7-8'!K79</f>
        <v>2142220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1096915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1083293</v>
      </c>
      <c r="D3646" s="2" t="str">
        <f t="shared" si="55"/>
        <v>Error?</v>
      </c>
    </row>
    <row r="3647" spans="1:4" x14ac:dyDescent="0.2">
      <c r="A3647" s="5">
        <v>3586</v>
      </c>
      <c r="B3647" s="138">
        <f>'Expenditures 15-22'!G350</f>
        <v>1083293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1083293</v>
      </c>
      <c r="C3649" s="2" t="s">
        <v>573</v>
      </c>
      <c r="D3649" s="2" t="str">
        <f t="shared" si="56"/>
        <v>Error?</v>
      </c>
    </row>
    <row r="3650" spans="1:4" x14ac:dyDescent="0.2">
      <c r="A3650" s="5">
        <v>3589</v>
      </c>
      <c r="B3650" s="138">
        <f>'Expenditures 15-22'!G367</f>
        <v>1083293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1083293</v>
      </c>
      <c r="C3669" s="2" t="s">
        <v>573</v>
      </c>
      <c r="D3669" s="2" t="str">
        <f t="shared" si="56"/>
        <v>Error?</v>
      </c>
    </row>
    <row r="3670" spans="1:4" x14ac:dyDescent="0.2">
      <c r="A3670" s="5">
        <v>3609</v>
      </c>
      <c r="B3670" s="138">
        <f>'Expenditures 15-22'!K350</f>
        <v>1083293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1083293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1083293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-1045305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50064023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254536621</v>
      </c>
      <c r="C4122" s="2" t="s">
        <v>573</v>
      </c>
      <c r="D4122" s="2" t="str">
        <f t="shared" si="63"/>
        <v>Error?</v>
      </c>
    </row>
    <row r="4123" spans="1:4" x14ac:dyDescent="0.2">
      <c r="A4123" s="5">
        <v>4062</v>
      </c>
      <c r="B4123" s="138">
        <f>'Acct Summary 7-8'!D10</f>
        <v>33436009</v>
      </c>
      <c r="C4123" s="2" t="s">
        <v>573</v>
      </c>
      <c r="D4123" s="2" t="str">
        <f t="shared" si="63"/>
        <v>Error?</v>
      </c>
    </row>
    <row r="4124" spans="1:4" x14ac:dyDescent="0.2">
      <c r="A4124" s="5">
        <v>4063</v>
      </c>
      <c r="B4124" s="138">
        <f>'Acct Summary 7-8'!E10</f>
        <v>-7359</v>
      </c>
      <c r="C4124" s="2" t="s">
        <v>573</v>
      </c>
      <c r="D4124" s="2" t="str">
        <f t="shared" si="63"/>
        <v>Error?</v>
      </c>
    </row>
    <row r="4125" spans="1:4" x14ac:dyDescent="0.2">
      <c r="A4125" s="5">
        <v>4064</v>
      </c>
      <c r="B4125" s="138">
        <f>'Acct Summary 7-8'!F10</f>
        <v>14417165</v>
      </c>
      <c r="C4125" s="2" t="s">
        <v>573</v>
      </c>
      <c r="D4125" s="2" t="str">
        <f t="shared" si="63"/>
        <v>Error?</v>
      </c>
    </row>
    <row r="4126" spans="1:4" x14ac:dyDescent="0.2">
      <c r="A4126" s="5">
        <v>4065</v>
      </c>
      <c r="B4126" s="138">
        <f>'Acct Summary 7-8'!G10</f>
        <v>10367964</v>
      </c>
      <c r="C4126" s="2" t="s">
        <v>573</v>
      </c>
      <c r="D4126" s="2" t="str">
        <f t="shared" si="63"/>
        <v>Error?</v>
      </c>
    </row>
    <row r="4127" spans="1:4" x14ac:dyDescent="0.2">
      <c r="A4127" s="5">
        <v>4066</v>
      </c>
      <c r="B4127" s="138">
        <f>'Acct Summary 7-8'!H10</f>
        <v>131643</v>
      </c>
      <c r="C4127" s="2" t="s">
        <v>573</v>
      </c>
      <c r="D4127" s="2" t="str">
        <f t="shared" si="63"/>
        <v>Error?</v>
      </c>
    </row>
    <row r="4128" spans="1:4" x14ac:dyDescent="0.2">
      <c r="A4128" s="5">
        <v>4067</v>
      </c>
      <c r="B4128" s="138">
        <f>'Acct Summary 7-8'!I10</f>
        <v>2600013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37988</v>
      </c>
      <c r="C4130" s="2" t="s">
        <v>573</v>
      </c>
      <c r="D4130" s="2" t="str">
        <f t="shared" si="63"/>
        <v>Error?</v>
      </c>
    </row>
    <row r="4131" spans="1:4" x14ac:dyDescent="0.2">
      <c r="A4131" s="5">
        <v>4070</v>
      </c>
      <c r="B4131" s="138">
        <f>'Acct Summary 7-8'!C18</f>
        <v>50064023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246249502</v>
      </c>
      <c r="C4136" s="2" t="s">
        <v>573</v>
      </c>
      <c r="D4136" s="2" t="str">
        <f t="shared" si="63"/>
        <v>Error?</v>
      </c>
    </row>
    <row r="4137" spans="1:4" x14ac:dyDescent="0.2">
      <c r="A4137" s="5">
        <v>4076</v>
      </c>
      <c r="B4137" s="138">
        <f>'Acct Summary 7-8'!D19</f>
        <v>26554746</v>
      </c>
      <c r="C4137" s="2" t="s">
        <v>573</v>
      </c>
      <c r="D4137" s="2" t="str">
        <f t="shared" si="63"/>
        <v>Error?</v>
      </c>
    </row>
    <row r="4138" spans="1:4" x14ac:dyDescent="0.2">
      <c r="A4138" s="5">
        <v>4077</v>
      </c>
      <c r="B4138" s="138">
        <f>'Acct Summary 7-8'!E19</f>
        <v>437103</v>
      </c>
      <c r="C4138" s="2" t="s">
        <v>573</v>
      </c>
      <c r="D4138" s="2" t="str">
        <f t="shared" si="63"/>
        <v>Error?</v>
      </c>
    </row>
    <row r="4139" spans="1:4" x14ac:dyDescent="0.2">
      <c r="A4139" s="5">
        <v>4078</v>
      </c>
      <c r="B4139" s="138">
        <f>'Acct Summary 7-8'!F19</f>
        <v>12972822</v>
      </c>
      <c r="C4139" s="2" t="s">
        <v>573</v>
      </c>
      <c r="D4139" s="2" t="str">
        <f t="shared" si="63"/>
        <v>Error?</v>
      </c>
    </row>
    <row r="4140" spans="1:4" x14ac:dyDescent="0.2">
      <c r="A4140" s="5">
        <v>4079</v>
      </c>
      <c r="B4140" s="138">
        <f>'Acct Summary 7-8'!G19</f>
        <v>10798310</v>
      </c>
      <c r="C4140" s="2" t="s">
        <v>573</v>
      </c>
      <c r="D4140" s="2" t="str">
        <f t="shared" si="63"/>
        <v>Error?</v>
      </c>
    </row>
    <row r="4141" spans="1:4" x14ac:dyDescent="0.2">
      <c r="A4141" s="5">
        <v>4080</v>
      </c>
      <c r="B4141" s="138">
        <f>'Acct Summary 7-8'!H19</f>
        <v>11625231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1083293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433118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2331.5</v>
      </c>
      <c r="C4265" s="2" t="s">
        <v>573</v>
      </c>
      <c r="D4265" s="2" t="str">
        <f t="shared" si="65"/>
        <v>Error?</v>
      </c>
      <c r="E4265" s="128"/>
    </row>
    <row r="4266" spans="1:5" x14ac:dyDescent="0.2">
      <c r="A4266" s="12">
        <v>4205</v>
      </c>
      <c r="B4266" s="138">
        <f>('FP Info 3'!F10)*100000</f>
        <v>427.70000000000005</v>
      </c>
      <c r="C4266" s="2" t="s">
        <v>573</v>
      </c>
      <c r="D4266" s="2" t="str">
        <f t="shared" si="65"/>
        <v>Error?</v>
      </c>
      <c r="E4266" s="128"/>
    </row>
    <row r="4267" spans="1:5" x14ac:dyDescent="0.2">
      <c r="A4267" s="12">
        <v>4206</v>
      </c>
      <c r="B4267" s="138">
        <f>('FP Info 3'!H10)*100000</f>
        <v>117.5</v>
      </c>
      <c r="C4267" s="2" t="s">
        <v>573</v>
      </c>
      <c r="D4267" s="2" t="str">
        <f t="shared" si="65"/>
        <v>Error?</v>
      </c>
      <c r="E4267" s="128"/>
    </row>
    <row r="4268" spans="1:5" x14ac:dyDescent="0.2">
      <c r="A4268" s="12">
        <v>4207</v>
      </c>
      <c r="B4268" s="138">
        <f>('FP Info 3'!J10)*100000</f>
        <v>2877</v>
      </c>
      <c r="C4268" s="2" t="s">
        <v>573</v>
      </c>
      <c r="D4268" s="2" t="str">
        <f t="shared" si="65"/>
        <v>Error?</v>
      </c>
    </row>
    <row r="4269" spans="1:5" x14ac:dyDescent="0.2">
      <c r="A4269" s="12">
        <v>4208</v>
      </c>
      <c r="B4269" s="138">
        <f>'FP Info 3'!J16</f>
        <v>105417532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29999</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232986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275060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29999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47123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353499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34.5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77065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457963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7463311883</v>
      </c>
      <c r="D4995" s="2" t="str">
        <f t="shared" si="77"/>
        <v>Error?</v>
      </c>
    </row>
    <row r="4996" spans="1:4" x14ac:dyDescent="0.2">
      <c r="A4996" s="12">
        <v>4935</v>
      </c>
      <c r="B4996" s="138">
        <f>'FP Info 3'!H31</f>
        <v>514968519.92700005</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170540072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170540072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1501834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1501834</v>
      </c>
      <c r="C5071" s="2" t="s">
        <v>573</v>
      </c>
      <c r="D5071" s="2" t="str">
        <f t="shared" si="78"/>
        <v>Error?</v>
      </c>
    </row>
    <row r="5072" spans="1:4" x14ac:dyDescent="0.2">
      <c r="A5072" s="5">
        <v>5011</v>
      </c>
      <c r="B5072" s="138">
        <f>'Revenues 9-14'!C20</f>
        <v>80535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687151</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84237</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851923</v>
      </c>
      <c r="C5087" s="2" t="s">
        <v>573</v>
      </c>
      <c r="D5087" s="2" t="str">
        <f t="shared" si="78"/>
        <v>Error?</v>
      </c>
    </row>
    <row r="5088" spans="1:4" x14ac:dyDescent="0.2">
      <c r="A5088" s="5">
        <v>5027</v>
      </c>
      <c r="B5088" s="138">
        <f>'Revenues 9-14'!C65</f>
        <v>2115403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2115403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388565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232993</v>
      </c>
      <c r="D5094" s="2" t="str">
        <f t="shared" si="78"/>
        <v>Error?</v>
      </c>
    </row>
    <row r="5095" spans="1:4" x14ac:dyDescent="0.2">
      <c r="A5095" s="5">
        <v>5034</v>
      </c>
      <c r="B5095" s="138">
        <f>'Revenues 9-14'!C74</f>
        <v>504315</v>
      </c>
      <c r="D5095" s="2" t="str">
        <f t="shared" si="78"/>
        <v>Error?</v>
      </c>
    </row>
    <row r="5096" spans="1:4" x14ac:dyDescent="0.2">
      <c r="A5096" s="5">
        <v>5035</v>
      </c>
      <c r="B5096" s="138">
        <f>'Revenues 9-14'!C75</f>
        <v>3062694</v>
      </c>
      <c r="C5096" s="2" t="s">
        <v>573</v>
      </c>
      <c r="D5096" s="2" t="str">
        <f t="shared" si="78"/>
        <v>Error?</v>
      </c>
    </row>
    <row r="5097" spans="1:4" x14ac:dyDescent="0.2">
      <c r="A5097" s="5">
        <v>5036</v>
      </c>
      <c r="B5097" s="138">
        <f>'Revenues 9-14'!C77</f>
        <v>89830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694920</v>
      </c>
      <c r="D5101" s="2" t="str">
        <f t="shared" si="78"/>
        <v>Error?</v>
      </c>
    </row>
    <row r="5102" spans="1:4" x14ac:dyDescent="0.2">
      <c r="A5102" s="5">
        <v>5041</v>
      </c>
      <c r="B5102" s="138">
        <f>'Revenues 9-14'!C82</f>
        <v>784750</v>
      </c>
      <c r="C5102" s="2" t="s">
        <v>573</v>
      </c>
      <c r="D5102" s="2" t="str">
        <f t="shared" si="78"/>
        <v>Error?</v>
      </c>
    </row>
    <row r="5103" spans="1:4" x14ac:dyDescent="0.2">
      <c r="A5103" s="5">
        <v>5042</v>
      </c>
      <c r="B5103" s="138">
        <f>'Revenues 9-14'!C84</f>
        <v>1351173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5200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1356373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206550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374233</v>
      </c>
      <c r="D5116" s="2" t="str">
        <f t="shared" si="78"/>
        <v>Error?</v>
      </c>
    </row>
    <row r="5117" spans="1:4" x14ac:dyDescent="0.2">
      <c r="A5117" s="5">
        <v>5056</v>
      </c>
      <c r="B5117" s="138">
        <f>'Revenues 9-14'!C105</f>
        <v>27390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500792</v>
      </c>
      <c r="D5119" s="2" t="str">
        <f t="shared" ref="D5119:D5182" si="79">IF(ISBLANK(B5119),"OK",IF(A5119-B5119=0,"OK","Error?"))</f>
        <v>Error?</v>
      </c>
    </row>
    <row r="5120" spans="1:4" x14ac:dyDescent="0.2">
      <c r="A5120" s="5">
        <v>5059</v>
      </c>
      <c r="B5120" s="138">
        <f>'Revenues 9-14'!C108</f>
        <v>1396312</v>
      </c>
      <c r="C5120" s="2" t="s">
        <v>573</v>
      </c>
      <c r="D5120" s="2" t="str">
        <f t="shared" si="79"/>
        <v>Error?</v>
      </c>
    </row>
    <row r="5121" spans="1:4" x14ac:dyDescent="0.2">
      <c r="A5121" s="5">
        <v>5060</v>
      </c>
      <c r="B5121" s="138">
        <f>'Revenues 9-14'!C109</f>
        <v>181609361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12137281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12137281</v>
      </c>
      <c r="C5132" s="2" t="s">
        <v>573</v>
      </c>
      <c r="D5132" s="2" t="str">
        <f t="shared" si="79"/>
        <v>Error?</v>
      </c>
    </row>
    <row r="5133" spans="1:4" x14ac:dyDescent="0.2">
      <c r="A5133" s="5">
        <v>5072</v>
      </c>
      <c r="B5133" s="138">
        <f>'Revenues 9-14'!C125</f>
        <v>861064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817755</v>
      </c>
      <c r="D5137" s="2" t="str">
        <f t="shared" si="79"/>
        <v>Error?</v>
      </c>
    </row>
    <row r="5138" spans="1:4" x14ac:dyDescent="0.2">
      <c r="A5138" s="10">
        <v>5077</v>
      </c>
      <c r="D5138" s="2" t="str">
        <f t="shared" si="79"/>
        <v>OK</v>
      </c>
    </row>
    <row r="5139" spans="1:4" x14ac:dyDescent="0.2">
      <c r="A5139" s="5">
        <v>5078</v>
      </c>
      <c r="B5139" s="138">
        <f>'Revenues 9-14'!C129</f>
        <v>44395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1723214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330947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330947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35006</v>
      </c>
      <c r="D5167" s="2" t="str">
        <f t="shared" si="79"/>
        <v>Error?</v>
      </c>
    </row>
    <row r="5168" spans="1:4" x14ac:dyDescent="0.2">
      <c r="A5168" s="5">
        <v>5107</v>
      </c>
      <c r="B5168" s="138">
        <f>'Revenues 9-14'!C148</f>
        <v>153998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214030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2534260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14671541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1630207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412332</v>
      </c>
      <c r="D5241" s="2" t="str">
        <f t="shared" si="80"/>
        <v>Error?</v>
      </c>
    </row>
    <row r="5242" spans="1:4" x14ac:dyDescent="0.2">
      <c r="A5242" s="5">
        <v>5181</v>
      </c>
      <c r="B5242" s="138">
        <f>'Revenues 9-14'!C194</f>
        <v>97421</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2139960</v>
      </c>
      <c r="C5246" s="2" t="s">
        <v>573</v>
      </c>
      <c r="D5246" s="2" t="str">
        <f t="shared" si="80"/>
        <v>Error?</v>
      </c>
    </row>
    <row r="5247" spans="1:4" x14ac:dyDescent="0.2">
      <c r="A5247" s="5">
        <v>5186</v>
      </c>
      <c r="B5247" s="138">
        <f>'Revenues 9-14'!C200</f>
        <v>1171869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1171869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2002651</v>
      </c>
      <c r="D5278" s="2" t="str">
        <f t="shared" si="81"/>
        <v>Error?</v>
      </c>
    </row>
    <row r="5279" spans="1:4" x14ac:dyDescent="0.2">
      <c r="A5279" s="5">
        <v>5218</v>
      </c>
      <c r="B5279" s="138">
        <f>'Revenues 9-14'!C214</f>
        <v>1078855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3081506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255979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255979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93852</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51900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8191696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8191696</v>
      </c>
      <c r="C5326" s="2" t="s">
        <v>573</v>
      </c>
      <c r="D5326" s="2" t="str">
        <f t="shared" si="82"/>
        <v>Error?</v>
      </c>
    </row>
    <row r="5327" spans="1:5" x14ac:dyDescent="0.2">
      <c r="A5327" s="5">
        <v>5266</v>
      </c>
      <c r="B5327" s="138">
        <f>'Revenues 9-14'!C268</f>
        <v>204472598</v>
      </c>
      <c r="C5327" s="2" t="s">
        <v>573</v>
      </c>
      <c r="D5327" s="2" t="str">
        <f t="shared" si="82"/>
        <v>Error?</v>
      </c>
    </row>
    <row r="5328" spans="1:5" x14ac:dyDescent="0.2">
      <c r="A5328" s="5">
        <v>5267</v>
      </c>
      <c r="B5328" s="138">
        <f>'Revenues 9-14'!D5</f>
        <v>29965260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29965260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1000000</v>
      </c>
      <c r="C5339" s="2" t="s">
        <v>573</v>
      </c>
      <c r="D5339" s="2" t="str">
        <f t="shared" si="82"/>
        <v>Error?</v>
      </c>
    </row>
    <row r="5340" spans="1:4" x14ac:dyDescent="0.2">
      <c r="A5340" s="5">
        <v>5279</v>
      </c>
      <c r="B5340" s="138">
        <f>'Revenues 9-14'!D65</f>
        <v>422324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422324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198425</v>
      </c>
      <c r="D5347" s="2" t="str">
        <f t="shared" si="82"/>
        <v>Error?</v>
      </c>
    </row>
    <row r="5348" spans="1:4" x14ac:dyDescent="0.2">
      <c r="A5348" s="5">
        <v>5287</v>
      </c>
      <c r="B5348" s="138">
        <f>'Revenues 9-14'!D82</f>
        <v>198425</v>
      </c>
      <c r="C5348" s="2" t="s">
        <v>573</v>
      </c>
      <c r="D5348" s="2" t="str">
        <f t="shared" si="82"/>
        <v>Error?</v>
      </c>
    </row>
    <row r="5349" spans="1:4" x14ac:dyDescent="0.2">
      <c r="A5349" s="5">
        <v>5288</v>
      </c>
      <c r="B5349" s="138">
        <f>'Revenues 9-14'!D95</f>
        <v>429121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23918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706268</v>
      </c>
      <c r="D5354" s="2" t="str">
        <f t="shared" si="82"/>
        <v>Error?</v>
      </c>
    </row>
    <row r="5355" spans="1:4" x14ac:dyDescent="0.2">
      <c r="A5355" s="5">
        <v>5294</v>
      </c>
      <c r="B5355" s="138">
        <f>'Revenues 9-14'!D108</f>
        <v>1850000</v>
      </c>
      <c r="C5355" s="2" t="s">
        <v>573</v>
      </c>
      <c r="D5355" s="2" t="str">
        <f t="shared" si="82"/>
        <v>Error?</v>
      </c>
    </row>
    <row r="5356" spans="1:4" x14ac:dyDescent="0.2">
      <c r="A5356" s="5">
        <v>5295</v>
      </c>
      <c r="B5356" s="138">
        <f>'Revenues 9-14'!D109</f>
        <v>33436009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33436009</v>
      </c>
      <c r="C5508" s="2" t="s">
        <v>573</v>
      </c>
      <c r="D5508" s="2" t="str">
        <f t="shared" si="85"/>
        <v>Error?</v>
      </c>
    </row>
    <row r="5509" spans="1:4" x14ac:dyDescent="0.2">
      <c r="A5509" s="5">
        <v>5448</v>
      </c>
      <c r="B5509" s="138">
        <f>'Revenues 9-14'!E5</f>
        <v>-42480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-42480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35000</v>
      </c>
      <c r="C5526" s="2" t="s">
        <v>573</v>
      </c>
      <c r="D5526" s="2" t="str">
        <f t="shared" si="85"/>
        <v>Error?</v>
      </c>
    </row>
    <row r="5527" spans="1:4" x14ac:dyDescent="0.2">
      <c r="A5527" s="5">
        <v>5466</v>
      </c>
      <c r="B5527" s="138">
        <f>'Revenues 9-14'!E109</f>
        <v>-7359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-7359</v>
      </c>
      <c r="C5552" s="2" t="s">
        <v>573</v>
      </c>
      <c r="D5552" s="2" t="str">
        <f t="shared" si="85"/>
        <v>Error?</v>
      </c>
    </row>
    <row r="5553" spans="1:4" x14ac:dyDescent="0.2">
      <c r="A5553" s="5">
        <v>5492</v>
      </c>
      <c r="B5553" s="138">
        <f>'Revenues 9-14'!F5</f>
        <v>8507058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8507058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105724</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54520</v>
      </c>
      <c r="D5566" s="2" t="str">
        <f t="shared" si="85"/>
        <v>Error?</v>
      </c>
    </row>
    <row r="5567" spans="1:4" x14ac:dyDescent="0.2">
      <c r="A5567" s="5">
        <v>5506</v>
      </c>
      <c r="B5567" s="138">
        <f>'Revenues 9-14'!F47</f>
        <v>65780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226024</v>
      </c>
      <c r="C5579" s="2" t="s">
        <v>573</v>
      </c>
      <c r="D5579" s="2" t="str">
        <f t="shared" si="86"/>
        <v>Error?</v>
      </c>
    </row>
    <row r="5580" spans="1:4" x14ac:dyDescent="0.2">
      <c r="A5580" s="5">
        <v>5519</v>
      </c>
      <c r="B5580" s="138">
        <f>'Revenues 9-14'!F65</f>
        <v>118213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118213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297</v>
      </c>
      <c r="D5585" s="2" t="str">
        <f t="shared" si="86"/>
        <v>Error?</v>
      </c>
    </row>
    <row r="5586" spans="1:4" x14ac:dyDescent="0.2">
      <c r="A5586" s="5">
        <v>5525</v>
      </c>
      <c r="B5586" s="138">
        <f>'Revenues 9-14'!F107</f>
        <v>78632</v>
      </c>
      <c r="D5586" s="2" t="str">
        <f t="shared" si="86"/>
        <v>Error?</v>
      </c>
    </row>
    <row r="5587" spans="1:4" x14ac:dyDescent="0.2">
      <c r="A5587" s="5">
        <v>5526</v>
      </c>
      <c r="B5587" s="138">
        <f>'Revenues 9-14'!F108</f>
        <v>78929</v>
      </c>
      <c r="C5587" s="2" t="s">
        <v>573</v>
      </c>
      <c r="D5587" s="2" t="str">
        <f t="shared" si="86"/>
        <v>Error?</v>
      </c>
    </row>
    <row r="5588" spans="1:4" x14ac:dyDescent="0.2">
      <c r="A5588" s="5">
        <v>5527</v>
      </c>
      <c r="B5588" s="138">
        <f>'Revenues 9-14'!F109</f>
        <v>8930224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349064</v>
      </c>
      <c r="D5615" s="2" t="str">
        <f t="shared" si="86"/>
        <v>Error?</v>
      </c>
    </row>
    <row r="5616" spans="1:4" x14ac:dyDescent="0.2">
      <c r="A5616" s="10">
        <v>5555</v>
      </c>
      <c r="D5616" s="2" t="str">
        <f t="shared" si="86"/>
        <v>OK</v>
      </c>
    </row>
    <row r="5617" spans="1:5" x14ac:dyDescent="0.2">
      <c r="A5617" s="5">
        <v>5556</v>
      </c>
      <c r="B5617" s="138">
        <f>'Revenues 9-14'!F153</f>
        <v>5137877</v>
      </c>
      <c r="D5617" s="2" t="str">
        <f t="shared" si="86"/>
        <v>Error?</v>
      </c>
    </row>
    <row r="5618" spans="1:5" x14ac:dyDescent="0.2">
      <c r="A5618" s="5">
        <v>5557</v>
      </c>
      <c r="B5618" s="138">
        <f>'Revenues 9-14'!F155</f>
        <v>5486941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5486941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5486941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14417165</v>
      </c>
      <c r="C5720" s="2" t="s">
        <v>573</v>
      </c>
      <c r="D5720" s="2" t="str">
        <f t="shared" si="88"/>
        <v>Error?</v>
      </c>
    </row>
    <row r="5721" spans="1:4" x14ac:dyDescent="0.2">
      <c r="A5721" s="5">
        <v>5660</v>
      </c>
      <c r="B5721" s="138">
        <f>'Revenues 9-14'!G5</f>
        <v>4788029</v>
      </c>
      <c r="D5721" s="2" t="str">
        <f t="shared" si="88"/>
        <v>Error?</v>
      </c>
    </row>
    <row r="5722" spans="1:4" x14ac:dyDescent="0.2">
      <c r="A5722" s="5">
        <v>5661</v>
      </c>
      <c r="B5722" s="138">
        <f>'Revenues 9-14'!G7</f>
        <v>0</v>
      </c>
      <c r="D5722" s="2" t="str">
        <f t="shared" si="88"/>
        <v>Error?</v>
      </c>
    </row>
    <row r="5723" spans="1:4" x14ac:dyDescent="0.2">
      <c r="A5723" s="5">
        <v>5662</v>
      </c>
      <c r="B5723" s="138">
        <f>'Revenues 9-14'!G8</f>
        <v>4937355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9725384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520793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520793</v>
      </c>
      <c r="C5730" s="2" t="s">
        <v>573</v>
      </c>
      <c r="D5730" s="2" t="str">
        <f t="shared" si="88"/>
        <v>Error?</v>
      </c>
    </row>
    <row r="5731" spans="1:4" x14ac:dyDescent="0.2">
      <c r="A5731" s="5">
        <v>5670</v>
      </c>
      <c r="B5731" s="138">
        <f>'Revenues 9-14'!G65</f>
        <v>121638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121638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149</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149</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10367964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131643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131643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131643</v>
      </c>
      <c r="C5915" s="2" t="s">
        <v>573</v>
      </c>
      <c r="D5915" s="2" t="str">
        <f t="shared" si="91"/>
        <v>Error?</v>
      </c>
    </row>
    <row r="5916" spans="1:4" x14ac:dyDescent="0.2">
      <c r="A5916" s="5">
        <v>5855</v>
      </c>
      <c r="B5916" s="138">
        <f>'Revenues 9-14'!I5</f>
        <v>2527547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2527547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72466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72466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2600013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37988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37988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37988</v>
      </c>
      <c r="C6023" s="2" t="s">
        <v>573</v>
      </c>
      <c r="D6023" s="2" t="str">
        <f t="shared" si="93"/>
        <v>Error?</v>
      </c>
    </row>
    <row r="6024" spans="1:5" x14ac:dyDescent="0.2">
      <c r="A6024" s="5">
        <v>5963</v>
      </c>
      <c r="B6024" s="138">
        <f>'Revenues 9-14'!G109</f>
        <v>10367964</v>
      </c>
      <c r="C6024" s="2" t="s">
        <v>573</v>
      </c>
      <c r="D6024" s="2" t="str">
        <f t="shared" si="93"/>
        <v>Error?</v>
      </c>
    </row>
    <row r="6025" spans="1:5" x14ac:dyDescent="0.2">
      <c r="A6025" s="5">
        <v>5964</v>
      </c>
      <c r="B6025" s="138">
        <f>'Revenues 9-14'!H109</f>
        <v>131643</v>
      </c>
      <c r="C6025" s="2" t="s">
        <v>573</v>
      </c>
      <c r="D6025" s="2" t="str">
        <f t="shared" si="93"/>
        <v>Error?</v>
      </c>
    </row>
    <row r="6026" spans="1:5" x14ac:dyDescent="0.2">
      <c r="A6026" s="5">
        <v>5965</v>
      </c>
      <c r="B6026" s="138">
        <f>'Revenues 9-14'!I109</f>
        <v>2600013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37988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1936821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300388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11410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2505346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1077342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568611</v>
      </c>
      <c r="D6099" s="2" t="str">
        <f t="shared" si="94"/>
        <v>Error?</v>
      </c>
      <c r="E6099" s="2" t="s">
        <v>190</v>
      </c>
    </row>
    <row r="6100" spans="1:5" x14ac:dyDescent="0.2">
      <c r="A6100">
        <v>6039</v>
      </c>
      <c r="B6100" s="138">
        <f>'Assets-Liab 5-6'!D9</f>
        <v>165725</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46483</v>
      </c>
      <c r="D6102" s="2" t="str">
        <f t="shared" si="94"/>
        <v>Error?</v>
      </c>
      <c r="E6102" s="2" t="s">
        <v>190</v>
      </c>
    </row>
    <row r="6103" spans="1:5" x14ac:dyDescent="0.2">
      <c r="A6103">
        <f>A6102+1</f>
        <v>6042</v>
      </c>
      <c r="B6103" s="138">
        <f>'Assets-Liab 5-6'!G9</f>
        <v>30950</v>
      </c>
      <c r="D6103" s="2" t="str">
        <f t="shared" si="94"/>
        <v>Error?</v>
      </c>
      <c r="E6103" s="2" t="s">
        <v>190</v>
      </c>
    </row>
    <row r="6104" spans="1:5" x14ac:dyDescent="0.2">
      <c r="A6104">
        <v>6043</v>
      </c>
      <c r="B6104" s="138">
        <f>'Assets-Liab 5-6'!H9</f>
        <v>18179</v>
      </c>
      <c r="D6104" s="2" t="str">
        <f t="shared" si="94"/>
        <v>Error?</v>
      </c>
      <c r="E6104" s="2" t="s">
        <v>190</v>
      </c>
    </row>
    <row r="6105" spans="1:5" x14ac:dyDescent="0.2">
      <c r="A6105">
        <v>6044</v>
      </c>
      <c r="B6105" s="138">
        <f>'Assets-Liab 5-6'!I9</f>
        <v>30474</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8467</v>
      </c>
      <c r="D6107" s="2" t="str">
        <f t="shared" si="94"/>
        <v>Error?</v>
      </c>
      <c r="E6107" s="2" t="s">
        <v>190</v>
      </c>
    </row>
    <row r="6108" spans="1:5" x14ac:dyDescent="0.2">
      <c r="A6108">
        <v>6047</v>
      </c>
      <c r="B6108" s="138">
        <f>'Assets-Liab 5-6'!L9</f>
        <v>-8132</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64000</v>
      </c>
      <c r="D6113" s="2" t="str">
        <f t="shared" si="94"/>
        <v>Error?</v>
      </c>
      <c r="E6113" s="2" t="s">
        <v>190</v>
      </c>
    </row>
    <row r="6114" spans="1:5" x14ac:dyDescent="0.2">
      <c r="A6114">
        <v>6053</v>
      </c>
      <c r="B6114" s="138">
        <f>'Assets-Liab 5-6'!D11</f>
        <v>345864</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78963</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5916080</v>
      </c>
      <c r="D6142" s="2" t="str">
        <f t="shared" si="94"/>
        <v>Error?</v>
      </c>
      <c r="E6142" s="2" t="s">
        <v>190</v>
      </c>
    </row>
    <row r="6143" spans="1:5" x14ac:dyDescent="0.2">
      <c r="A6143">
        <v>6082</v>
      </c>
      <c r="B6143" s="138">
        <f>'Assets-Liab 5-6'!D27</f>
        <v>544289</v>
      </c>
      <c r="D6143" s="2" t="str">
        <f t="shared" ref="D6143:D6206" si="95">IF(ISBLANK(B6143),"OK",IF(A6143-B6143=0,"OK","Error?"))</f>
        <v>Error?</v>
      </c>
      <c r="E6143" s="2" t="s">
        <v>190</v>
      </c>
    </row>
    <row r="6144" spans="1:5" x14ac:dyDescent="0.2">
      <c r="A6144">
        <v>6083</v>
      </c>
      <c r="B6144" s="138">
        <f>'Assets-Liab 5-6'!E27</f>
        <v>1902</v>
      </c>
      <c r="D6144" s="2" t="str">
        <f t="shared" si="95"/>
        <v>Error?</v>
      </c>
      <c r="E6144" s="2" t="s">
        <v>190</v>
      </c>
    </row>
    <row r="6145" spans="1:5" x14ac:dyDescent="0.2">
      <c r="A6145">
        <v>6084</v>
      </c>
      <c r="B6145" s="138">
        <f>'Assets-Liab 5-6'!F27</f>
        <v>104525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1197544</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46235</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1038608</v>
      </c>
      <c r="D6169" s="2" t="str">
        <f t="shared" si="95"/>
        <v>Error?</v>
      </c>
      <c r="E6169" s="2" t="s">
        <v>190</v>
      </c>
    </row>
    <row r="6170" spans="1:5" x14ac:dyDescent="0.2">
      <c r="A6170">
        <v>6109</v>
      </c>
      <c r="B6170" s="138">
        <f>'Assets-Liab 5-6'!D30</f>
        <v>106238</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142638</v>
      </c>
      <c r="D6172" s="2" t="str">
        <f t="shared" si="95"/>
        <v>Error?</v>
      </c>
      <c r="E6172" s="2" t="s">
        <v>190</v>
      </c>
    </row>
    <row r="6173" spans="1:5" x14ac:dyDescent="0.2">
      <c r="A6173">
        <v>6112</v>
      </c>
      <c r="B6173" s="138">
        <f>'Assets-Liab 5-6'!G30</f>
        <v>285101</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3650016</v>
      </c>
      <c r="D6267" s="2" t="str">
        <f t="shared" si="96"/>
        <v>Error?</v>
      </c>
      <c r="E6267" s="2" t="s">
        <v>190</v>
      </c>
    </row>
    <row r="6268" spans="1:5" x14ac:dyDescent="0.2">
      <c r="A6268">
        <v>6207</v>
      </c>
      <c r="B6268" s="138">
        <f>'Acct Summary 7-8'!D82</f>
        <v>3881263</v>
      </c>
      <c r="D6268" s="2" t="str">
        <f t="shared" si="96"/>
        <v>Error?</v>
      </c>
      <c r="E6268" s="2" t="s">
        <v>190</v>
      </c>
    </row>
    <row r="6269" spans="1:5" x14ac:dyDescent="0.2">
      <c r="A6269">
        <v>6208</v>
      </c>
      <c r="B6269" s="138">
        <f>'Acct Summary 7-8'!E82</f>
        <v>-7359</v>
      </c>
      <c r="D6269" s="2" t="str">
        <f t="shared" si="96"/>
        <v>Error?</v>
      </c>
      <c r="E6269" s="2" t="s">
        <v>190</v>
      </c>
    </row>
    <row r="6270" spans="1:5" x14ac:dyDescent="0.2">
      <c r="A6270">
        <v>6209</v>
      </c>
      <c r="B6270" s="138">
        <f>'Acct Summary 7-8'!F82</f>
        <v>444343</v>
      </c>
      <c r="D6270" s="2" t="str">
        <f t="shared" si="96"/>
        <v>Error?</v>
      </c>
      <c r="E6270" s="2" t="s">
        <v>190</v>
      </c>
    </row>
    <row r="6271" spans="1:5" x14ac:dyDescent="0.2">
      <c r="A6271">
        <v>6210</v>
      </c>
      <c r="B6271" s="138">
        <f>'Acct Summary 7-8'!G82</f>
        <v>-430346</v>
      </c>
      <c r="D6271" s="2" t="str">
        <f t="shared" ref="D6271:D6334" si="97">IF(ISBLANK(B6271),"OK",IF(A6271-B6271=0,"OK","Error?"))</f>
        <v>Error?</v>
      </c>
      <c r="E6271" s="2" t="s">
        <v>190</v>
      </c>
    </row>
    <row r="6272" spans="1:5" x14ac:dyDescent="0.2">
      <c r="A6272">
        <v>6211</v>
      </c>
      <c r="B6272" s="138">
        <f>'Acct Summary 7-8'!H82</f>
        <v>-11493588</v>
      </c>
      <c r="D6272" s="2" t="str">
        <f t="shared" si="97"/>
        <v>Error?</v>
      </c>
      <c r="E6272" s="2" t="s">
        <v>190</v>
      </c>
    </row>
    <row r="6273" spans="1:5" x14ac:dyDescent="0.2">
      <c r="A6273">
        <v>6212</v>
      </c>
      <c r="B6273" s="138">
        <f>'Acct Summary 7-8'!I82</f>
        <v>2600013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-1045305</v>
      </c>
      <c r="D6275" s="2" t="str">
        <f t="shared" si="97"/>
        <v>Error?</v>
      </c>
      <c r="E6275" s="2" t="s">
        <v>190</v>
      </c>
    </row>
    <row r="6276" spans="1:5" x14ac:dyDescent="0.2">
      <c r="A6276">
        <v>6215</v>
      </c>
      <c r="B6276" s="138">
        <f>'Acct Summary 7-8'!C83</f>
        <v>4.7969841111966005E-2</v>
      </c>
      <c r="D6276" s="2" t="str">
        <f t="shared" si="97"/>
        <v>Error?</v>
      </c>
      <c r="E6276" s="2" t="s">
        <v>190</v>
      </c>
    </row>
    <row r="6277" spans="1:5" x14ac:dyDescent="0.2">
      <c r="A6277">
        <v>6216</v>
      </c>
      <c r="B6277" s="138">
        <f>'Acct Summary 7-8'!D83</f>
        <v>0.20998371640907487</v>
      </c>
      <c r="D6277" s="2" t="str">
        <f t="shared" si="97"/>
        <v>Error?</v>
      </c>
      <c r="E6277" s="2" t="s">
        <v>190</v>
      </c>
    </row>
    <row r="6278" spans="1:5" x14ac:dyDescent="0.2">
      <c r="A6278">
        <v>6217</v>
      </c>
      <c r="B6278" s="138">
        <f>'Acct Summary 7-8'!E83</f>
        <v>-1.5366464815201504</v>
      </c>
      <c r="D6278" s="2" t="str">
        <f t="shared" si="97"/>
        <v>Error?</v>
      </c>
      <c r="E6278" s="2" t="s">
        <v>190</v>
      </c>
    </row>
    <row r="6279" spans="1:5" x14ac:dyDescent="0.2">
      <c r="A6279">
        <v>6218</v>
      </c>
      <c r="B6279" s="138">
        <f>'Acct Summary 7-8'!F83</f>
        <v>7.1808623246935377E-2</v>
      </c>
      <c r="D6279" s="2" t="str">
        <f t="shared" si="97"/>
        <v>Error?</v>
      </c>
      <c r="E6279" s="2" t="s">
        <v>190</v>
      </c>
    </row>
    <row r="6280" spans="1:5" x14ac:dyDescent="0.2">
      <c r="A6280">
        <v>6219</v>
      </c>
      <c r="B6280" s="138">
        <f>'Acct Summary 7-8'!G83</f>
        <v>-9.44718058255411E-2</v>
      </c>
      <c r="D6280" s="2" t="str">
        <f t="shared" si="97"/>
        <v>Error?</v>
      </c>
      <c r="E6280" s="2" t="s">
        <v>190</v>
      </c>
    </row>
    <row r="6281" spans="1:5" x14ac:dyDescent="0.2">
      <c r="A6281">
        <v>6220</v>
      </c>
      <c r="B6281" s="138">
        <f>'Acct Summary 7-8'!H83</f>
        <v>11.234849417905632</v>
      </c>
      <c r="D6281" s="2" t="str">
        <f t="shared" si="97"/>
        <v>Error?</v>
      </c>
      <c r="E6281" s="2" t="s">
        <v>190</v>
      </c>
    </row>
    <row r="6282" spans="1:5" x14ac:dyDescent="0.2">
      <c r="A6282">
        <v>6221</v>
      </c>
      <c r="B6282" s="138">
        <f>'Acct Summary 7-8'!I83</f>
        <v>0.55839709050798414</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-0.95294986393658576</v>
      </c>
      <c r="D6284" s="2" t="str">
        <f t="shared" si="97"/>
        <v>Error?</v>
      </c>
      <c r="E6284" s="2" t="s">
        <v>190</v>
      </c>
    </row>
    <row r="6285" spans="1:5" x14ac:dyDescent="0.2">
      <c r="A6285">
        <v>6224</v>
      </c>
      <c r="B6285" s="138">
        <f>'Acct Summary 7-8'!E37</f>
        <v>433118</v>
      </c>
      <c r="D6285" s="2" t="str">
        <f t="shared" si="97"/>
        <v>Error?</v>
      </c>
      <c r="E6285" s="2" t="s">
        <v>190</v>
      </c>
    </row>
    <row r="6286" spans="1:5" x14ac:dyDescent="0.2">
      <c r="A6286">
        <v>6225</v>
      </c>
      <c r="B6286" s="138">
        <f>'Acct Summary 7-8'!E38</f>
        <v>3985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185447</v>
      </c>
      <c r="D6330" s="2" t="str">
        <f t="shared" si="97"/>
        <v>Error?</v>
      </c>
      <c r="E6330" s="2" t="s">
        <v>190</v>
      </c>
    </row>
    <row r="6331" spans="1:5" x14ac:dyDescent="0.2">
      <c r="A6331">
        <v>6270</v>
      </c>
      <c r="B6331" s="138">
        <f>'Revenues 9-14'!D100</f>
        <v>690693</v>
      </c>
      <c r="D6331" s="2" t="str">
        <f t="shared" si="97"/>
        <v>Error?</v>
      </c>
      <c r="E6331" s="2" t="s">
        <v>190</v>
      </c>
    </row>
    <row r="6332" spans="1:5" x14ac:dyDescent="0.2">
      <c r="A6332">
        <v>6271</v>
      </c>
      <c r="B6332" s="138">
        <f>'Revenues 9-14'!E100</f>
        <v>35000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101900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2830086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20160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351575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106169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16140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785</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965664</v>
      </c>
      <c r="D6871" s="2" t="str">
        <f t="shared" si="106"/>
        <v>Error?</v>
      </c>
    </row>
    <row r="6872" spans="1:4" x14ac:dyDescent="0.2">
      <c r="A6872">
        <v>6811</v>
      </c>
      <c r="B6872" s="138">
        <f>'Expenditures 15-22'!I18</f>
        <v>1612</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3310387</v>
      </c>
      <c r="D6902" s="2" t="str">
        <f t="shared" si="106"/>
        <v>Error?</v>
      </c>
    </row>
    <row r="6903" spans="1:4" x14ac:dyDescent="0.2">
      <c r="A6903">
        <v>6842</v>
      </c>
      <c r="B6903" s="138">
        <f>'Expenditures 15-22'!J33</f>
        <v>16140</v>
      </c>
      <c r="D6903" s="2" t="str">
        <f t="shared" si="106"/>
        <v>Error?</v>
      </c>
    </row>
    <row r="6904" spans="1:4" x14ac:dyDescent="0.2">
      <c r="A6904">
        <v>6843</v>
      </c>
      <c r="B6904" s="138">
        <f>'Expenditures 15-22'!I36</f>
        <v>920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520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203</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1643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10118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10118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68758</v>
      </c>
      <c r="D6944" s="2" t="str">
        <f t="shared" si="107"/>
        <v>Error?</v>
      </c>
    </row>
    <row r="6945" spans="1:4" x14ac:dyDescent="0.2">
      <c r="A6945">
        <v>6884</v>
      </c>
      <c r="B6945" s="138">
        <f>'Expenditures 15-22'!J55</f>
        <v>46748</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68758</v>
      </c>
      <c r="D6948" s="2" t="str">
        <f t="shared" si="107"/>
        <v>Error?</v>
      </c>
    </row>
    <row r="6949" spans="1:4" x14ac:dyDescent="0.2">
      <c r="A6949">
        <v>6888</v>
      </c>
      <c r="B6949" s="138">
        <f>'Expenditures 15-22'!J57</f>
        <v>46748</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33344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33344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17867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17867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131730</v>
      </c>
      <c r="D6977" s="2" t="str">
        <f t="shared" si="108"/>
        <v>Error?</v>
      </c>
    </row>
    <row r="6978" spans="1:4" x14ac:dyDescent="0.2">
      <c r="A6978">
        <v>6917</v>
      </c>
      <c r="B6978" s="138">
        <f>'Expenditures 15-22'!J74</f>
        <v>46748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221764</v>
      </c>
      <c r="D6981" s="2" t="str">
        <f t="shared" si="108"/>
        <v>Error?</v>
      </c>
    </row>
    <row r="6982" spans="1:4" x14ac:dyDescent="0.2">
      <c r="A6982">
        <v>6921</v>
      </c>
      <c r="B6982" s="138">
        <f>'Expenditures 15-22'!K85</f>
        <v>221764</v>
      </c>
      <c r="D6982" s="2" t="str">
        <f t="shared" si="108"/>
        <v>Error?</v>
      </c>
    </row>
    <row r="6983" spans="1:4" x14ac:dyDescent="0.2">
      <c r="A6983">
        <v>6922</v>
      </c>
      <c r="B6983" s="138">
        <f>'Expenditures 15-22'!H86</f>
        <v>7764573</v>
      </c>
      <c r="D6983" s="2" t="str">
        <f t="shared" si="108"/>
        <v>Error?</v>
      </c>
    </row>
    <row r="6984" spans="1:4" x14ac:dyDescent="0.2">
      <c r="A6984">
        <v>6923</v>
      </c>
      <c r="B6984" s="138">
        <f>'Expenditures 15-22'!K86</f>
        <v>7764573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4372</v>
      </c>
      <c r="D6987" s="2" t="str">
        <f t="shared" si="108"/>
        <v>Error?</v>
      </c>
    </row>
    <row r="6988" spans="1:4" x14ac:dyDescent="0.2">
      <c r="A6988">
        <v>6927</v>
      </c>
      <c r="B6988" s="138">
        <f>'Expenditures 15-22'!K88</f>
        <v>4372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7990709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3442117</v>
      </c>
      <c r="D7020" s="2" t="str">
        <f t="shared" si="108"/>
        <v>Error?</v>
      </c>
    </row>
    <row r="7021" spans="1:4" x14ac:dyDescent="0.2">
      <c r="A7021">
        <v>6960</v>
      </c>
      <c r="B7021" s="138">
        <f>'Expenditures 15-22'!J114</f>
        <v>62888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692959</v>
      </c>
      <c r="D7028" s="2" t="str">
        <f t="shared" si="108"/>
        <v>Error?</v>
      </c>
    </row>
    <row r="7029" spans="1:4" x14ac:dyDescent="0.2">
      <c r="A7029">
        <v>6968</v>
      </c>
      <c r="B7029" s="138">
        <f>'Expenditures 15-22'!J124</f>
        <v>70090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692959</v>
      </c>
      <c r="D7033" s="2" t="str">
        <f t="shared" si="108"/>
        <v>Error?</v>
      </c>
    </row>
    <row r="7034" spans="1:4" x14ac:dyDescent="0.2">
      <c r="A7034">
        <v>6973</v>
      </c>
      <c r="B7034" s="138">
        <f>'Expenditures 15-22'!J127</f>
        <v>70090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692959</v>
      </c>
      <c r="D7037" s="2" t="str">
        <f t="shared" si="108"/>
        <v>Error?</v>
      </c>
    </row>
    <row r="7038" spans="1:4" x14ac:dyDescent="0.2">
      <c r="A7038">
        <v>6977</v>
      </c>
      <c r="B7038" s="138">
        <f>'Expenditures 15-22'!J129</f>
        <v>70090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692959</v>
      </c>
      <c r="D7051" s="2" t="str">
        <f t="shared" si="109"/>
        <v>Error?</v>
      </c>
    </row>
    <row r="7052" spans="1:5" x14ac:dyDescent="0.2">
      <c r="A7052">
        <v>6991</v>
      </c>
      <c r="B7052" s="138">
        <f>'Expenditures 15-22'!J151</f>
        <v>70090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64507</v>
      </c>
      <c r="D7059" s="2" t="str">
        <f t="shared" si="109"/>
        <v>Error?</v>
      </c>
    </row>
    <row r="7060" spans="1:4" x14ac:dyDescent="0.2">
      <c r="A7060">
        <v>6999</v>
      </c>
      <c r="B7060" s="138">
        <f>'Expenditures 15-22'!J182</f>
        <v>24466</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64507</v>
      </c>
      <c r="D7063" s="2" t="str">
        <f t="shared" si="109"/>
        <v>Error?</v>
      </c>
    </row>
    <row r="7064" spans="1:4" x14ac:dyDescent="0.2">
      <c r="A7064">
        <v>7003</v>
      </c>
      <c r="B7064" s="138">
        <f>'Expenditures 15-22'!J184</f>
        <v>24466</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64507</v>
      </c>
      <c r="D7071" s="2" t="str">
        <f t="shared" si="109"/>
        <v>Error?</v>
      </c>
    </row>
    <row r="7072" spans="1:4" x14ac:dyDescent="0.2">
      <c r="A7072">
        <v>7011</v>
      </c>
      <c r="B7072" s="138">
        <f>'Expenditures 15-22'!J210</f>
        <v>24466</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5551</v>
      </c>
      <c r="D7079" s="2" t="str">
        <f t="shared" si="109"/>
        <v>Error?</v>
      </c>
    </row>
    <row r="7080" spans="1:4" x14ac:dyDescent="0.2">
      <c r="A7080">
        <v>7019</v>
      </c>
      <c r="B7080" s="138">
        <f>'Expenditures 15-22'!K226</f>
        <v>5551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391078</v>
      </c>
      <c r="D7263" s="2" t="str">
        <f t="shared" si="112"/>
        <v>Error?</v>
      </c>
    </row>
    <row r="7264" spans="1:4" x14ac:dyDescent="0.2">
      <c r="A7264">
        <f t="shared" si="113"/>
        <v>7203</v>
      </c>
      <c r="B7264" s="138">
        <f>'Expenditures 15-22'!D17</f>
        <v>69634</v>
      </c>
      <c r="D7264" s="2" t="str">
        <f t="shared" si="112"/>
        <v>Error?</v>
      </c>
    </row>
    <row r="7265" spans="1:5" x14ac:dyDescent="0.2">
      <c r="A7265">
        <f t="shared" si="113"/>
        <v>7204</v>
      </c>
      <c r="B7265" s="138">
        <f>'Expenditures 15-22'!E17</f>
        <v>503667</v>
      </c>
      <c r="D7265" s="2" t="str">
        <f t="shared" si="112"/>
        <v>Error?</v>
      </c>
    </row>
    <row r="7266" spans="1:5" x14ac:dyDescent="0.2">
      <c r="A7266">
        <f t="shared" si="113"/>
        <v>7205</v>
      </c>
      <c r="B7266" s="138">
        <f>'Expenditures 15-22'!F17</f>
        <v>405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95</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12461000</v>
      </c>
      <c r="D7615" s="2" t="str">
        <f t="shared" ref="D7615:D7678" si="124">IF(ISBLANK(B7615),"OK",IF(A7615-B7615=0,"OK","Error?"))</f>
        <v>Error?</v>
      </c>
      <c r="E7615" s="2" t="s">
        <v>19</v>
      </c>
    </row>
    <row r="7616" spans="1:5" x14ac:dyDescent="0.2">
      <c r="A7616">
        <f t="shared" si="123"/>
        <v>7555</v>
      </c>
      <c r="B7616" s="138">
        <f>'Cap Outlay Deprec 26'!D14</f>
        <v>2176046</v>
      </c>
      <c r="D7616" s="2" t="str">
        <f t="shared" si="124"/>
        <v>Error?</v>
      </c>
      <c r="E7616" s="2" t="s">
        <v>19</v>
      </c>
    </row>
    <row r="7617" spans="1:5" x14ac:dyDescent="0.2">
      <c r="A7617">
        <f t="shared" si="123"/>
        <v>7556</v>
      </c>
      <c r="B7617" s="138">
        <f>'Cap Outlay Deprec 26'!E14</f>
        <v>1520051</v>
      </c>
      <c r="D7617" s="2" t="str">
        <f t="shared" si="124"/>
        <v>Error?</v>
      </c>
      <c r="E7617" s="2" t="s">
        <v>19</v>
      </c>
    </row>
    <row r="7618" spans="1:5" x14ac:dyDescent="0.2">
      <c r="A7618">
        <f t="shared" si="123"/>
        <v>7557</v>
      </c>
      <c r="B7618" s="138">
        <f>'Cap Outlay Deprec 26'!F14</f>
        <v>13116995</v>
      </c>
      <c r="D7618" s="2" t="str">
        <f t="shared" si="124"/>
        <v>Error?</v>
      </c>
      <c r="E7618" s="2" t="s">
        <v>19</v>
      </c>
    </row>
    <row r="7619" spans="1:5" x14ac:dyDescent="0.2">
      <c r="A7619">
        <f t="shared" si="123"/>
        <v>7558</v>
      </c>
      <c r="B7619" s="138">
        <f>'Cap Outlay Deprec 26'!H14</f>
        <v>10640542</v>
      </c>
      <c r="D7619" s="2" t="str">
        <f t="shared" si="124"/>
        <v>Error?</v>
      </c>
      <c r="E7619" s="2" t="s">
        <v>19</v>
      </c>
    </row>
    <row r="7620" spans="1:5" x14ac:dyDescent="0.2">
      <c r="A7620">
        <f t="shared" si="123"/>
        <v>7559</v>
      </c>
      <c r="B7620" s="138">
        <f>'Cap Outlay Deprec 26'!I14</f>
        <v>1178899</v>
      </c>
      <c r="D7620" s="2" t="str">
        <f t="shared" si="124"/>
        <v>Error?</v>
      </c>
      <c r="E7620" s="2" t="s">
        <v>19</v>
      </c>
    </row>
    <row r="7621" spans="1:5" x14ac:dyDescent="0.2">
      <c r="A7621">
        <f t="shared" si="123"/>
        <v>7560</v>
      </c>
      <c r="B7621" s="138">
        <f>'Cap Outlay Deprec 26'!J14</f>
        <v>1487267</v>
      </c>
      <c r="D7621" s="2" t="str">
        <f t="shared" si="124"/>
        <v>Error?</v>
      </c>
      <c r="E7621" s="2" t="s">
        <v>19</v>
      </c>
    </row>
    <row r="7622" spans="1:5" x14ac:dyDescent="0.2">
      <c r="A7622">
        <f t="shared" si="123"/>
        <v>7561</v>
      </c>
      <c r="B7622" s="138">
        <f>'Cap Outlay Deprec 26'!K14</f>
        <v>10332174</v>
      </c>
      <c r="D7622" s="2" t="str">
        <f t="shared" si="124"/>
        <v>Error?</v>
      </c>
      <c r="E7622" s="2" t="s">
        <v>19</v>
      </c>
    </row>
    <row r="7623" spans="1:5" x14ac:dyDescent="0.2">
      <c r="A7623">
        <f t="shared" si="123"/>
        <v>7562</v>
      </c>
      <c r="B7623" s="138">
        <f>'Cap Outlay Deprec 26'!L14</f>
        <v>2784821</v>
      </c>
      <c r="D7623" s="2" t="str">
        <f t="shared" si="124"/>
        <v>Error?</v>
      </c>
      <c r="E7623" s="2" t="s">
        <v>19</v>
      </c>
    </row>
    <row r="7624" spans="1:5" x14ac:dyDescent="0.2">
      <c r="A7624">
        <f t="shared" si="123"/>
        <v>7563</v>
      </c>
      <c r="B7624" s="138">
        <f>'Cap Outlay Deprec 26'!F17</f>
        <v>4199583</v>
      </c>
      <c r="D7624" s="2" t="str">
        <f t="shared" si="124"/>
        <v>Error?</v>
      </c>
      <c r="E7624" s="2" t="s">
        <v>19</v>
      </c>
    </row>
    <row r="7625" spans="1:5" x14ac:dyDescent="0.2">
      <c r="A7625">
        <f t="shared" si="123"/>
        <v>7564</v>
      </c>
      <c r="B7625" s="138">
        <f>'Cap Outlay Deprec 26'!I17</f>
        <v>419958.3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16028059.300000001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433118</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3985</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101900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153998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255898</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255898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3051456</v>
      </c>
      <c r="D7797" s="2" t="str">
        <f t="shared" si="127"/>
        <v>Error?</v>
      </c>
      <c r="E7797" s="4" t="s">
        <v>1901</v>
      </c>
    </row>
    <row r="7798" spans="1:5" x14ac:dyDescent="0.2">
      <c r="A7798">
        <v>7737</v>
      </c>
      <c r="B7798" s="138">
        <f>'Contracts Paid in CY 29'!F142</f>
        <v>355255</v>
      </c>
      <c r="D7798" s="2" t="str">
        <f t="shared" si="127"/>
        <v>Error?</v>
      </c>
      <c r="E7798" s="4" t="s">
        <v>1901</v>
      </c>
    </row>
    <row r="7799" spans="1:5" x14ac:dyDescent="0.2">
      <c r="A7799">
        <v>7738</v>
      </c>
      <c r="B7799" s="138">
        <f>'Contracts Paid in CY 29'!G142</f>
        <v>2696201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5" t="s">
        <v>1191</v>
      </c>
      <c r="B2" s="2445"/>
      <c r="C2" s="2445"/>
      <c r="D2" s="2445"/>
      <c r="E2" s="2445"/>
      <c r="F2" s="2445"/>
      <c r="G2" s="2445"/>
      <c r="H2" s="2445"/>
      <c r="I2" s="2445"/>
      <c r="J2" s="2445"/>
      <c r="K2" s="2445"/>
      <c r="L2" s="2445"/>
    </row>
    <row r="3" spans="1:29" ht="13.5" customHeight="1" x14ac:dyDescent="0.2">
      <c r="A3" s="2431" t="s">
        <v>1190</v>
      </c>
      <c r="B3" s="2431"/>
      <c r="C3" s="2431"/>
      <c r="D3" s="2431"/>
      <c r="E3" s="2431"/>
      <c r="F3" s="2431"/>
      <c r="G3" s="2431"/>
      <c r="H3" s="2431"/>
      <c r="I3" s="2431"/>
      <c r="J3" s="2431"/>
      <c r="K3" s="2431"/>
      <c r="L3" s="2431"/>
    </row>
    <row r="4" spans="1:29" ht="13.5" customHeight="1" x14ac:dyDescent="0.2">
      <c r="A4" s="2445" t="s">
        <v>1985</v>
      </c>
      <c r="B4" s="2462"/>
      <c r="C4" s="2462"/>
      <c r="D4" s="2462"/>
      <c r="E4" s="2462"/>
      <c r="F4" s="2462"/>
      <c r="G4" s="2462"/>
      <c r="H4" s="2462"/>
      <c r="I4" s="2462"/>
      <c r="J4" s="2462"/>
      <c r="K4" s="2462"/>
      <c r="L4" s="246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5" t="str">
        <f>COVER!A17</f>
        <v>Township HSD 211</v>
      </c>
      <c r="B7" s="2426"/>
      <c r="C7" s="2426"/>
      <c r="D7" s="2463"/>
      <c r="E7" s="2464">
        <f>COVER!A13</f>
        <v>5016211017</v>
      </c>
      <c r="F7" s="2465"/>
      <c r="G7" s="2432" t="str">
        <f>COVER!T23</f>
        <v>066-0104260</v>
      </c>
      <c r="H7" s="2433"/>
      <c r="I7" s="2433"/>
      <c r="J7" s="2433"/>
      <c r="K7" s="2433"/>
      <c r="L7" s="243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5"/>
      <c r="B9" s="2436"/>
      <c r="C9" s="2436"/>
      <c r="D9" s="2436"/>
      <c r="E9" s="2436"/>
      <c r="F9" s="2437"/>
      <c r="G9" s="2438" t="str">
        <f>COVER!T13</f>
        <v>Baker Tilly Virchow Krause, LLP</v>
      </c>
      <c r="H9" s="2439"/>
      <c r="I9" s="2439"/>
      <c r="J9" s="2439"/>
      <c r="K9" s="2439"/>
      <c r="L9" s="2440"/>
    </row>
    <row r="10" spans="1:29" ht="13.5" customHeight="1" x14ac:dyDescent="0.2">
      <c r="A10" s="2422" t="str">
        <f>COVER!A38</f>
        <v>Lauren C. Hummel</v>
      </c>
      <c r="B10" s="2423"/>
      <c r="C10" s="2423"/>
      <c r="D10" s="2423"/>
      <c r="E10" s="2423"/>
      <c r="F10" s="2424"/>
      <c r="G10" s="2438" t="str">
        <f>COVER!T17</f>
        <v>1301 W. 22nd Street, Suite 400</v>
      </c>
      <c r="H10" s="2451"/>
      <c r="I10" s="2451"/>
      <c r="J10" s="2451"/>
      <c r="K10" s="2451"/>
      <c r="L10" s="2452"/>
    </row>
    <row r="11" spans="1:29" ht="13.5" customHeight="1" x14ac:dyDescent="0.2">
      <c r="A11" s="1184" t="s">
        <v>1519</v>
      </c>
      <c r="B11" s="1185"/>
      <c r="C11" s="1186"/>
      <c r="D11" s="1191"/>
      <c r="E11" s="1186"/>
      <c r="F11" s="1190"/>
      <c r="G11" s="2438" t="str">
        <f>COVER!T19</f>
        <v>Oak Brook</v>
      </c>
      <c r="H11" s="2451"/>
      <c r="I11" s="2451"/>
      <c r="J11" s="2451"/>
      <c r="K11" s="2451"/>
      <c r="L11" s="2452"/>
    </row>
    <row r="12" spans="1:29" ht="13.5" customHeight="1" x14ac:dyDescent="0.2">
      <c r="A12" s="2456" t="s">
        <v>1518</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1520</v>
      </c>
      <c r="H13" s="2447"/>
      <c r="I13" s="2459">
        <f>COVER!T25</f>
        <v>0</v>
      </c>
      <c r="J13" s="2460"/>
      <c r="K13" s="2460"/>
      <c r="L13" s="2461"/>
    </row>
    <row r="14" spans="1:29" ht="13.5" customHeight="1" x14ac:dyDescent="0.2">
      <c r="A14" s="2438" t="str">
        <f>COVER!A19</f>
        <v>1750 South Roselle Road</v>
      </c>
      <c r="B14" s="2451"/>
      <c r="C14" s="2451"/>
      <c r="D14" s="2451"/>
      <c r="E14" s="2451"/>
      <c r="F14" s="2452"/>
      <c r="G14" s="1195" t="s">
        <v>1185</v>
      </c>
      <c r="H14" s="1193"/>
      <c r="I14" s="1193"/>
      <c r="J14" s="1193"/>
      <c r="K14" s="1193"/>
      <c r="L14" s="1194"/>
    </row>
    <row r="15" spans="1:29" ht="13.5" customHeight="1" x14ac:dyDescent="0.2">
      <c r="A15" s="2438" t="str">
        <f>COVER!A21</f>
        <v>Palatine</v>
      </c>
      <c r="B15" s="2451"/>
      <c r="C15" s="2451"/>
      <c r="D15" s="2451"/>
      <c r="E15" s="2451"/>
      <c r="F15" s="2452"/>
      <c r="G15" s="2448" t="str">
        <f>COVER!T15</f>
        <v>Michael Malatt</v>
      </c>
      <c r="H15" s="2449"/>
      <c r="I15" s="2449"/>
      <c r="J15" s="2449"/>
      <c r="K15" s="2449"/>
      <c r="L15" s="2450"/>
    </row>
    <row r="16" spans="1:29" ht="12.2" customHeight="1" x14ac:dyDescent="0.2">
      <c r="A16" s="2428">
        <f>COVER!A25</f>
        <v>60067</v>
      </c>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95" t="s">
        <v>1184</v>
      </c>
      <c r="H17" s="1193"/>
      <c r="I17" s="1193"/>
      <c r="J17" s="1193"/>
      <c r="K17" s="1197" t="s">
        <v>1183</v>
      </c>
      <c r="L17" s="1190"/>
      <c r="M17" s="1183"/>
    </row>
    <row r="18" spans="1:13" ht="12.2" customHeight="1" x14ac:dyDescent="0.2">
      <c r="A18" s="2422"/>
      <c r="B18" s="2423"/>
      <c r="C18" s="2423"/>
      <c r="D18" s="2423"/>
      <c r="E18" s="2423"/>
      <c r="F18" s="2424"/>
      <c r="G18" s="2425" t="str">
        <f>COVER!T21</f>
        <v>630-990-3131</v>
      </c>
      <c r="H18" s="2426"/>
      <c r="I18" s="2426"/>
      <c r="J18" s="2426"/>
      <c r="K18" s="2425" t="str">
        <f>COVER!X21</f>
        <v>630-990-0039</v>
      </c>
      <c r="L18" s="242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2067</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2067</v>
      </c>
      <c r="C26" s="1202" t="s">
        <v>1699</v>
      </c>
    </row>
    <row r="27" spans="1:13" s="1198" customFormat="1" ht="9" customHeight="1" x14ac:dyDescent="0.2">
      <c r="B27" s="1203"/>
      <c r="C27" s="1202"/>
    </row>
    <row r="28" spans="1:13" s="1198" customFormat="1" ht="12.2" customHeight="1" x14ac:dyDescent="0.2">
      <c r="A28" s="1205"/>
      <c r="B28" s="1201" t="s">
        <v>2067</v>
      </c>
      <c r="C28" s="1202" t="s">
        <v>1700</v>
      </c>
    </row>
    <row r="29" spans="1:13" s="1198" customFormat="1" ht="9" customHeight="1" x14ac:dyDescent="0.2">
      <c r="A29" s="1205"/>
      <c r="B29" s="1203"/>
      <c r="C29" s="1202"/>
    </row>
    <row r="30" spans="1:13" s="1198" customFormat="1" ht="12.2" customHeight="1" x14ac:dyDescent="0.2">
      <c r="B30" s="1201" t="s">
        <v>2067</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2067</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2067</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2067</v>
      </c>
      <c r="C38" s="1202" t="s">
        <v>1566</v>
      </c>
    </row>
    <row r="39" spans="1:8" ht="9" customHeight="1" x14ac:dyDescent="0.2">
      <c r="B39" s="1203"/>
      <c r="C39" s="1206"/>
    </row>
    <row r="40" spans="1:8" s="1198" customFormat="1" ht="13.5" customHeight="1" x14ac:dyDescent="0.2">
      <c r="B40" s="1201" t="s">
        <v>2067</v>
      </c>
      <c r="C40" s="1202" t="s">
        <v>1567</v>
      </c>
    </row>
    <row r="41" spans="1:8" ht="9" customHeight="1" x14ac:dyDescent="0.2">
      <c r="A41" s="1207"/>
      <c r="B41" s="1203"/>
      <c r="C41" s="1206"/>
    </row>
    <row r="42" spans="1:8" s="1198" customFormat="1" ht="13.5" customHeight="1" x14ac:dyDescent="0.2">
      <c r="B42" s="1201" t="s">
        <v>2067</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6" t="str">
        <f>'Single Audit Cover'!A7</f>
        <v>Township HSD 211</v>
      </c>
      <c r="B1" s="2462"/>
      <c r="C1" s="2462"/>
      <c r="D1" s="2462"/>
    </row>
    <row r="2" spans="1:11" s="1212" customFormat="1" ht="12.75" x14ac:dyDescent="0.2">
      <c r="A2" s="2467">
        <f>'Single Audit Cover'!E7</f>
        <v>5016211017</v>
      </c>
      <c r="B2" s="2468"/>
      <c r="C2" s="2468"/>
      <c r="D2" s="2468"/>
    </row>
    <row r="3" spans="1:11" s="1212" customFormat="1" ht="12.75" x14ac:dyDescent="0.2">
      <c r="A3" s="2466" t="s">
        <v>1513</v>
      </c>
      <c r="B3" s="2462"/>
      <c r="C3" s="2462"/>
      <c r="D3" s="246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70" t="str">
        <f>'Single Audit Cover'!A7</f>
        <v>Township HSD 211</v>
      </c>
      <c r="B1" s="2470"/>
      <c r="C1" s="2470"/>
      <c r="D1" s="2470"/>
      <c r="E1" s="2470"/>
    </row>
    <row r="2" spans="1:5" x14ac:dyDescent="0.2">
      <c r="A2" s="2471">
        <f>'Single Audit Cover'!E7</f>
        <v>5016211017</v>
      </c>
      <c r="B2" s="2471"/>
      <c r="C2" s="2471"/>
      <c r="D2" s="2471"/>
      <c r="E2" s="2471"/>
    </row>
    <row r="3" spans="1:5" ht="4.5" customHeight="1" x14ac:dyDescent="0.2"/>
    <row r="4" spans="1:5" x14ac:dyDescent="0.2">
      <c r="A4" s="2470" t="s">
        <v>1245</v>
      </c>
      <c r="B4" s="2470"/>
      <c r="C4" s="2470"/>
      <c r="D4" s="2470"/>
      <c r="E4" s="2470"/>
    </row>
    <row r="5" spans="1:5" x14ac:dyDescent="0.2">
      <c r="A5" s="2472" t="str">
        <f>'Single Audit Cover'!A4</f>
        <v>Year Ending June 30, 2019</v>
      </c>
      <c r="B5" s="2472"/>
      <c r="C5" s="2472"/>
      <c r="D5" s="2472"/>
      <c r="E5" s="2472"/>
    </row>
    <row r="6" spans="1:5" x14ac:dyDescent="0.2">
      <c r="A6" s="2470" t="s">
        <v>1244</v>
      </c>
      <c r="B6" s="2470"/>
      <c r="C6" s="2470"/>
      <c r="D6" s="2470"/>
      <c r="E6" s="2470"/>
    </row>
    <row r="8" spans="1:5" x14ac:dyDescent="0.2">
      <c r="A8" s="1257" t="s">
        <v>1243</v>
      </c>
    </row>
    <row r="10" spans="1:5" x14ac:dyDescent="0.2">
      <c r="A10" s="1258" t="s">
        <v>1242</v>
      </c>
      <c r="B10" s="1259" t="s">
        <v>1241</v>
      </c>
      <c r="C10" s="1259"/>
      <c r="D10" s="1260">
        <f>SUM('Acct Summary 7-8'!C7:K7)</f>
        <v>8191696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300388</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-275060</v>
      </c>
    </row>
    <row r="19" spans="1:4" ht="13.5" thickBot="1" x14ac:dyDescent="0.25">
      <c r="A19" s="1262" t="s">
        <v>1235</v>
      </c>
      <c r="D19" s="1263">
        <f>SUM(D10:D17)</f>
        <v>8217024</v>
      </c>
    </row>
    <row r="20" spans="1:4" ht="21.75" customHeight="1" thickTop="1" x14ac:dyDescent="0.2"/>
    <row r="21" spans="1:4" x14ac:dyDescent="0.2">
      <c r="A21" s="1257" t="s">
        <v>1234</v>
      </c>
    </row>
    <row r="22" spans="1:4" ht="8.25" customHeight="1" x14ac:dyDescent="0.2"/>
    <row r="23" spans="1:4" x14ac:dyDescent="0.2">
      <c r="A23" s="1264" t="s">
        <v>1228</v>
      </c>
    </row>
    <row r="24" spans="1:4" ht="25.5" customHeight="1" x14ac:dyDescent="0.2">
      <c r="A24" s="2473" t="s">
        <v>2152</v>
      </c>
      <c r="B24" s="2473"/>
      <c r="D24" s="1265">
        <v>-861</v>
      </c>
    </row>
    <row r="25" spans="1:4" x14ac:dyDescent="0.2">
      <c r="A25" s="2469" t="s">
        <v>2153</v>
      </c>
      <c r="B25" s="2469"/>
      <c r="D25" s="1265">
        <v>-300388</v>
      </c>
    </row>
    <row r="26" spans="1:4" x14ac:dyDescent="0.2">
      <c r="A26" s="2469"/>
      <c r="B26" s="2469"/>
      <c r="D26" s="1265"/>
    </row>
    <row r="27" spans="1:4" x14ac:dyDescent="0.2">
      <c r="A27" s="2469"/>
      <c r="B27" s="2469"/>
      <c r="D27" s="1265"/>
    </row>
    <row r="28" spans="1:4" x14ac:dyDescent="0.2">
      <c r="A28" s="2469"/>
      <c r="B28" s="2469"/>
      <c r="D28" s="1265"/>
    </row>
    <row r="29" spans="1:4" x14ac:dyDescent="0.2">
      <c r="A29" s="2469"/>
      <c r="B29" s="2469"/>
      <c r="D29" s="1265"/>
    </row>
    <row r="30" spans="1:4" x14ac:dyDescent="0.2">
      <c r="A30" s="2469"/>
      <c r="B30" s="2469"/>
      <c r="D30" s="1265"/>
    </row>
    <row r="32" spans="1:4" x14ac:dyDescent="0.2">
      <c r="A32" s="1257" t="s">
        <v>1233</v>
      </c>
      <c r="D32" s="1260">
        <f>SUM(D19:D30)</f>
        <v>7915775</v>
      </c>
    </row>
    <row r="33" spans="1:4" x14ac:dyDescent="0.2">
      <c r="D33" s="1266"/>
    </row>
    <row r="34" spans="1:4" x14ac:dyDescent="0.2">
      <c r="A34" s="317" t="s">
        <v>1232</v>
      </c>
    </row>
    <row r="35" spans="1:4" x14ac:dyDescent="0.2">
      <c r="A35" s="317" t="s">
        <v>1231</v>
      </c>
      <c r="B35" s="1255" t="s">
        <v>1230</v>
      </c>
      <c r="D35" s="1267">
        <v>7915775</v>
      </c>
    </row>
    <row r="37" spans="1:4" x14ac:dyDescent="0.2">
      <c r="A37" s="1257" t="s">
        <v>1229</v>
      </c>
    </row>
    <row r="39" spans="1:4" ht="13.35" customHeight="1" x14ac:dyDescent="0.2">
      <c r="A39" s="1264" t="s">
        <v>1228</v>
      </c>
    </row>
    <row r="40" spans="1:4" x14ac:dyDescent="0.2">
      <c r="A40" s="2469"/>
      <c r="B40" s="2469"/>
      <c r="D40" s="1265"/>
    </row>
    <row r="41" spans="1:4" x14ac:dyDescent="0.2">
      <c r="A41" s="2469"/>
      <c r="B41" s="2469"/>
      <c r="D41" s="1268"/>
    </row>
    <row r="42" spans="1:4" x14ac:dyDescent="0.2">
      <c r="A42" s="2469"/>
      <c r="B42" s="2469"/>
      <c r="D42" s="1268"/>
    </row>
    <row r="43" spans="1:4" x14ac:dyDescent="0.2">
      <c r="A43" s="2469"/>
      <c r="B43" s="2469"/>
      <c r="D43" s="1268"/>
    </row>
    <row r="44" spans="1:4" x14ac:dyDescent="0.2">
      <c r="A44" s="2469"/>
      <c r="B44" s="2469"/>
      <c r="D44" s="1268"/>
    </row>
    <row r="45" spans="1:4" x14ac:dyDescent="0.2">
      <c r="A45" s="2469"/>
      <c r="B45" s="2469"/>
      <c r="D45" s="1268"/>
    </row>
    <row r="47" spans="1:4" x14ac:dyDescent="0.2">
      <c r="B47" s="1269" t="s">
        <v>1227</v>
      </c>
      <c r="C47" s="1269"/>
      <c r="D47" s="1270">
        <f>SUM(D35:D45)</f>
        <v>7915775</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6:B26"/>
    <mergeCell ref="A4:E4"/>
    <mergeCell ref="A5:E5"/>
    <mergeCell ref="A6:E6"/>
    <mergeCell ref="A24:B24"/>
    <mergeCell ref="A25:B25"/>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5"/>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1" t="str">
        <f>'Single Audit Cover'!A7</f>
        <v>Township HSD 211</v>
      </c>
      <c r="C1" s="2474"/>
      <c r="D1" s="2474"/>
      <c r="E1" s="2474"/>
      <c r="F1" s="2474"/>
      <c r="G1" s="2474"/>
      <c r="H1" s="2474"/>
      <c r="I1" s="2474"/>
      <c r="J1" s="2474"/>
      <c r="K1" s="2474"/>
      <c r="L1" s="2474"/>
      <c r="M1" s="2474"/>
    </row>
    <row r="2" spans="2:14" ht="15" x14ac:dyDescent="0.2">
      <c r="B2" s="2475">
        <f>'Single Audit Cover'!E7</f>
        <v>5016211017</v>
      </c>
      <c r="C2" s="2475"/>
      <c r="D2" s="2475"/>
      <c r="E2" s="2475"/>
      <c r="F2" s="2475"/>
      <c r="G2" s="2475"/>
      <c r="H2" s="2475"/>
      <c r="I2" s="2475"/>
      <c r="J2" s="2475"/>
      <c r="K2" s="2475"/>
      <c r="L2" s="2475"/>
      <c r="M2" s="2475"/>
      <c r="N2" s="1299"/>
    </row>
    <row r="3" spans="2:14" ht="15" x14ac:dyDescent="0.2">
      <c r="B3" s="2476" t="s">
        <v>1219</v>
      </c>
      <c r="C3" s="2476"/>
      <c r="D3" s="2476"/>
      <c r="E3" s="2476"/>
      <c r="F3" s="2476"/>
      <c r="G3" s="2476"/>
      <c r="H3" s="2476"/>
      <c r="I3" s="2476"/>
      <c r="J3" s="2476"/>
      <c r="K3" s="2476"/>
      <c r="L3" s="2476"/>
      <c r="M3" s="2476"/>
      <c r="N3" s="1299"/>
    </row>
    <row r="4" spans="2:14" ht="15" x14ac:dyDescent="0.2">
      <c r="B4" s="2477" t="str">
        <f>'Single Audit Cover'!A4</f>
        <v>Year Ending June 30, 2019</v>
      </c>
      <c r="C4" s="2477"/>
      <c r="D4" s="2477"/>
      <c r="E4" s="2477"/>
      <c r="F4" s="2477"/>
      <c r="G4" s="2477"/>
      <c r="H4" s="2477"/>
      <c r="I4" s="2477"/>
      <c r="J4" s="2477"/>
      <c r="K4" s="2477"/>
      <c r="L4" s="2477"/>
      <c r="M4" s="247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4" t="s">
        <v>2161</v>
      </c>
      <c r="C11" s="1945"/>
      <c r="D11" s="1946"/>
      <c r="E11" s="1947"/>
      <c r="F11" s="1947"/>
      <c r="G11" s="1947"/>
      <c r="H11" s="1335"/>
      <c r="I11" s="1335"/>
      <c r="J11" s="1335"/>
      <c r="K11" s="1335"/>
      <c r="L11" s="1335"/>
      <c r="M11" s="1335"/>
    </row>
    <row r="12" spans="2:14" ht="20.100000000000001" customHeight="1" x14ac:dyDescent="0.2">
      <c r="B12" s="1944" t="s">
        <v>2162</v>
      </c>
      <c r="C12" s="1945"/>
      <c r="D12" s="1946"/>
      <c r="E12" s="1947"/>
      <c r="F12" s="1947"/>
      <c r="G12" s="1947"/>
      <c r="H12" s="1338"/>
      <c r="I12" s="1338"/>
      <c r="J12" s="1338"/>
      <c r="K12" s="1338"/>
      <c r="L12" s="1335"/>
      <c r="M12" s="1338"/>
    </row>
    <row r="13" spans="2:14" ht="20.100000000000001" customHeight="1" x14ac:dyDescent="0.2">
      <c r="B13" s="1948" t="s">
        <v>2163</v>
      </c>
      <c r="C13" s="1945">
        <v>84.01</v>
      </c>
      <c r="D13" s="1946" t="s">
        <v>2164</v>
      </c>
      <c r="E13" s="1947">
        <v>904358</v>
      </c>
      <c r="F13" s="1947">
        <v>0</v>
      </c>
      <c r="G13" s="1947">
        <v>904358</v>
      </c>
      <c r="H13" s="1980">
        <v>0</v>
      </c>
      <c r="I13" s="1970">
        <v>0</v>
      </c>
      <c r="J13" s="1978">
        <v>0</v>
      </c>
      <c r="K13" s="1972">
        <v>0</v>
      </c>
      <c r="L13" s="1974">
        <v>904358</v>
      </c>
      <c r="M13" s="1976">
        <v>2063091</v>
      </c>
    </row>
    <row r="14" spans="2:14" ht="20.100000000000001" customHeight="1" x14ac:dyDescent="0.2">
      <c r="B14" s="1949" t="s">
        <v>2165</v>
      </c>
      <c r="C14" s="1945">
        <v>84.01</v>
      </c>
      <c r="D14" s="1946" t="s">
        <v>2166</v>
      </c>
      <c r="E14" s="1947">
        <v>0</v>
      </c>
      <c r="F14" s="1947">
        <v>1171869</v>
      </c>
      <c r="G14" s="1947">
        <v>0</v>
      </c>
      <c r="H14" s="1980">
        <v>0</v>
      </c>
      <c r="I14" s="1970">
        <v>1171869</v>
      </c>
      <c r="J14" s="1978">
        <v>0</v>
      </c>
      <c r="K14" s="1972">
        <v>0</v>
      </c>
      <c r="L14" s="1974">
        <v>1171869</v>
      </c>
      <c r="M14" s="1976">
        <v>1902354</v>
      </c>
    </row>
    <row r="15" spans="2:14" ht="20.100000000000001" customHeight="1" x14ac:dyDescent="0.2">
      <c r="B15" s="1950" t="s">
        <v>2167</v>
      </c>
      <c r="C15" s="1951"/>
      <c r="D15" s="1952"/>
      <c r="E15" s="1953">
        <v>904358</v>
      </c>
      <c r="F15" s="1953">
        <v>1171869</v>
      </c>
      <c r="G15" s="1953">
        <v>904358</v>
      </c>
      <c r="H15" s="1981">
        <v>0</v>
      </c>
      <c r="I15" s="1971">
        <v>1171869</v>
      </c>
      <c r="J15" s="1979">
        <v>0</v>
      </c>
      <c r="K15" s="1973">
        <v>0</v>
      </c>
      <c r="L15" s="1975">
        <v>2076227</v>
      </c>
      <c r="M15" s="1977">
        <v>3965445</v>
      </c>
    </row>
    <row r="16" spans="2:14" ht="20.100000000000001" customHeight="1" x14ac:dyDescent="0.2">
      <c r="B16" s="1334"/>
      <c r="C16" s="1336"/>
      <c r="D16" s="1337"/>
      <c r="E16" s="1338"/>
      <c r="F16" s="1338"/>
      <c r="G16" s="1338"/>
      <c r="H16" s="1980"/>
      <c r="I16" s="1970"/>
      <c r="J16" s="1978"/>
      <c r="K16" s="1972"/>
      <c r="L16" s="1974"/>
      <c r="M16" s="1976"/>
    </row>
    <row r="17" spans="2:13" s="1943" customFormat="1" ht="20.100000000000001" customHeight="1" x14ac:dyDescent="0.2">
      <c r="B17" s="1954" t="s">
        <v>2168</v>
      </c>
      <c r="C17" s="1964"/>
      <c r="D17" s="1965"/>
      <c r="E17" s="1957"/>
      <c r="F17" s="1957"/>
      <c r="G17" s="1957"/>
      <c r="H17" s="1980"/>
      <c r="I17" s="1970"/>
      <c r="J17" s="1978"/>
      <c r="K17" s="1972"/>
      <c r="L17" s="1974"/>
      <c r="M17" s="1976"/>
    </row>
    <row r="18" spans="2:13" s="1943" customFormat="1" ht="20.100000000000001" customHeight="1" x14ac:dyDescent="0.2">
      <c r="B18" s="1962" t="s">
        <v>2169</v>
      </c>
      <c r="C18" s="1966">
        <v>84.424000000000007</v>
      </c>
      <c r="D18" s="1957" t="s">
        <v>2170</v>
      </c>
      <c r="E18" s="1957">
        <v>29900</v>
      </c>
      <c r="F18" s="1957">
        <v>0</v>
      </c>
      <c r="G18" s="1957">
        <v>29900</v>
      </c>
      <c r="H18" s="1980">
        <v>0</v>
      </c>
      <c r="I18" s="1970">
        <v>0</v>
      </c>
      <c r="J18" s="1978">
        <v>0</v>
      </c>
      <c r="K18" s="1972">
        <v>0</v>
      </c>
      <c r="L18" s="1974">
        <v>29900</v>
      </c>
      <c r="M18" s="1976">
        <v>29999</v>
      </c>
    </row>
    <row r="19" spans="2:13" s="1943" customFormat="1" ht="20.100000000000001" customHeight="1" x14ac:dyDescent="0.2">
      <c r="B19" s="1962" t="s">
        <v>2171</v>
      </c>
      <c r="C19" s="1966">
        <v>84.424000000000007</v>
      </c>
      <c r="D19" s="1957" t="s">
        <v>2172</v>
      </c>
      <c r="E19" s="1957">
        <v>0</v>
      </c>
      <c r="F19" s="1957">
        <v>29999</v>
      </c>
      <c r="G19" s="1957">
        <v>0</v>
      </c>
      <c r="H19" s="1980">
        <v>0</v>
      </c>
      <c r="I19" s="1970">
        <v>29999</v>
      </c>
      <c r="J19" s="1978">
        <v>0</v>
      </c>
      <c r="K19" s="1972">
        <v>0</v>
      </c>
      <c r="L19" s="1974">
        <v>29999</v>
      </c>
      <c r="M19" s="1976">
        <v>29999</v>
      </c>
    </row>
    <row r="20" spans="2:13" s="1943" customFormat="1" ht="20.100000000000001" customHeight="1" x14ac:dyDescent="0.2">
      <c r="B20" s="1959" t="s">
        <v>2173</v>
      </c>
      <c r="C20" s="1967"/>
      <c r="D20" s="1960"/>
      <c r="E20" s="1961">
        <v>29900</v>
      </c>
      <c r="F20" s="1961">
        <v>29999</v>
      </c>
      <c r="G20" s="1961">
        <v>29900</v>
      </c>
      <c r="H20" s="1981">
        <v>0</v>
      </c>
      <c r="I20" s="1971">
        <v>29999</v>
      </c>
      <c r="J20" s="1979">
        <v>0</v>
      </c>
      <c r="K20" s="1973">
        <v>0</v>
      </c>
      <c r="L20" s="1975">
        <v>59899</v>
      </c>
      <c r="M20" s="1977">
        <v>59998</v>
      </c>
    </row>
    <row r="21" spans="2:13" s="1943" customFormat="1" ht="20.100000000000001" customHeight="1" x14ac:dyDescent="0.2">
      <c r="B21" s="1957"/>
      <c r="C21" s="1963"/>
      <c r="D21" s="1956"/>
      <c r="E21" s="1957"/>
      <c r="F21" s="1957"/>
      <c r="G21" s="1957"/>
      <c r="H21" s="1980"/>
      <c r="I21" s="1970"/>
      <c r="J21" s="1978"/>
      <c r="K21" s="1972"/>
      <c r="L21" s="1974"/>
      <c r="M21" s="1976"/>
    </row>
    <row r="22" spans="2:13" s="1943" customFormat="1" ht="20.100000000000001" customHeight="1" x14ac:dyDescent="0.2">
      <c r="B22" s="1968" t="s">
        <v>2174</v>
      </c>
      <c r="C22" s="1955"/>
      <c r="D22" s="1956"/>
      <c r="E22" s="1957"/>
      <c r="F22" s="1957"/>
      <c r="G22" s="1957"/>
      <c r="H22" s="1980"/>
      <c r="I22" s="1970"/>
      <c r="J22" s="1978"/>
      <c r="K22" s="1972"/>
      <c r="L22" s="1974"/>
      <c r="M22" s="1976"/>
    </row>
    <row r="23" spans="2:13" s="1943" customFormat="1" ht="20.100000000000001" customHeight="1" x14ac:dyDescent="0.2">
      <c r="B23" s="1958" t="s">
        <v>2175</v>
      </c>
      <c r="C23" s="1955">
        <v>84.364999999999995</v>
      </c>
      <c r="D23" s="1956" t="s">
        <v>2176</v>
      </c>
      <c r="E23" s="1957">
        <v>0</v>
      </c>
      <c r="F23" s="1957">
        <v>51900</v>
      </c>
      <c r="G23" s="1957">
        <v>0</v>
      </c>
      <c r="H23" s="1980">
        <v>0</v>
      </c>
      <c r="I23" s="1970">
        <v>51900</v>
      </c>
      <c r="J23" s="1978">
        <v>0</v>
      </c>
      <c r="K23" s="1972">
        <v>0</v>
      </c>
      <c r="L23" s="1974">
        <v>51900</v>
      </c>
      <c r="M23" s="1976">
        <v>51900</v>
      </c>
    </row>
    <row r="24" spans="2:13" s="1943" customFormat="1" ht="20.100000000000001" customHeight="1" x14ac:dyDescent="0.2">
      <c r="B24" s="1958" t="s">
        <v>2177</v>
      </c>
      <c r="C24" s="1955">
        <v>84.364999999999995</v>
      </c>
      <c r="D24" s="1956" t="s">
        <v>2178</v>
      </c>
      <c r="E24" s="1957">
        <v>62212</v>
      </c>
      <c r="F24" s="1957">
        <v>0</v>
      </c>
      <c r="G24" s="1957">
        <v>62212</v>
      </c>
      <c r="H24" s="1980">
        <v>0</v>
      </c>
      <c r="I24" s="1970">
        <v>0</v>
      </c>
      <c r="J24" s="1978">
        <v>0</v>
      </c>
      <c r="K24" s="1972">
        <v>0</v>
      </c>
      <c r="L24" s="1974">
        <v>62212</v>
      </c>
      <c r="M24" s="1976">
        <v>67626</v>
      </c>
    </row>
    <row r="25" spans="2:13" s="1943" customFormat="1" ht="20.100000000000001" customHeight="1" x14ac:dyDescent="0.2">
      <c r="B25" s="1958" t="s">
        <v>2179</v>
      </c>
      <c r="C25" s="1955">
        <v>84.364999999999995</v>
      </c>
      <c r="D25" s="1956" t="s">
        <v>2180</v>
      </c>
      <c r="E25" s="1957">
        <v>0</v>
      </c>
      <c r="F25" s="1957">
        <v>47123</v>
      </c>
      <c r="G25" s="1957">
        <v>0</v>
      </c>
      <c r="H25" s="1980">
        <v>0</v>
      </c>
      <c r="I25" s="1970">
        <v>47123</v>
      </c>
      <c r="J25" s="1978">
        <v>0</v>
      </c>
      <c r="K25" s="1972">
        <v>0</v>
      </c>
      <c r="L25" s="1974">
        <v>47123</v>
      </c>
      <c r="M25" s="1976">
        <v>73214</v>
      </c>
    </row>
    <row r="26" spans="2:13" s="1943" customFormat="1" ht="20.100000000000001" customHeight="1" x14ac:dyDescent="0.2">
      <c r="B26" s="1959" t="s">
        <v>2181</v>
      </c>
      <c r="C26" s="1969"/>
      <c r="D26" s="1960"/>
      <c r="E26" s="1961">
        <v>62212</v>
      </c>
      <c r="F26" s="1961">
        <v>99023</v>
      </c>
      <c r="G26" s="1961">
        <v>62212</v>
      </c>
      <c r="H26" s="1981">
        <v>0</v>
      </c>
      <c r="I26" s="1971">
        <v>99023</v>
      </c>
      <c r="J26" s="1979">
        <v>0</v>
      </c>
      <c r="K26" s="1973">
        <v>0</v>
      </c>
      <c r="L26" s="1975">
        <v>161235</v>
      </c>
      <c r="M26" s="1977">
        <v>192740</v>
      </c>
    </row>
    <row r="27" spans="2:13" s="1943" customFormat="1" ht="20.100000000000001" customHeight="1" x14ac:dyDescent="0.2">
      <c r="B27" s="1958"/>
      <c r="C27" s="1955"/>
      <c r="D27" s="1956"/>
      <c r="E27" s="1957"/>
      <c r="F27" s="1957"/>
      <c r="G27" s="1957"/>
      <c r="H27" s="1980"/>
      <c r="I27" s="1970"/>
      <c r="J27" s="1978"/>
      <c r="K27" s="1972"/>
      <c r="L27" s="1974"/>
      <c r="M27" s="1976"/>
    </row>
    <row r="28" spans="2:13" s="1943" customFormat="1" ht="20.100000000000001" customHeight="1" x14ac:dyDescent="0.2">
      <c r="B28" s="1954" t="s">
        <v>2182</v>
      </c>
      <c r="C28" s="1955"/>
      <c r="D28" s="1956"/>
      <c r="E28" s="1957"/>
      <c r="F28" s="1957"/>
      <c r="G28" s="1957"/>
      <c r="H28" s="1980"/>
      <c r="I28" s="1970"/>
      <c r="J28" s="1978"/>
      <c r="K28" s="1972"/>
      <c r="L28" s="1974"/>
      <c r="M28" s="1976"/>
    </row>
    <row r="29" spans="2:13" s="1943" customFormat="1" ht="20.100000000000001" customHeight="1" x14ac:dyDescent="0.2">
      <c r="B29" s="1958" t="s">
        <v>2183</v>
      </c>
      <c r="C29" s="1955">
        <v>84.367000000000004</v>
      </c>
      <c r="D29" s="1956" t="s">
        <v>2184</v>
      </c>
      <c r="E29" s="1957">
        <v>278679</v>
      </c>
      <c r="F29" s="1957">
        <v>0</v>
      </c>
      <c r="G29" s="1957">
        <v>278679</v>
      </c>
      <c r="H29" s="1980">
        <v>0</v>
      </c>
      <c r="I29" s="1970">
        <v>0</v>
      </c>
      <c r="J29" s="1978">
        <v>0</v>
      </c>
      <c r="K29" s="1972">
        <v>0</v>
      </c>
      <c r="L29" s="1974">
        <v>278679</v>
      </c>
      <c r="M29" s="1976">
        <v>330443</v>
      </c>
    </row>
    <row r="30" spans="2:13" s="1943" customFormat="1" ht="20.100000000000001" customHeight="1" x14ac:dyDescent="0.2">
      <c r="B30" s="1958" t="s">
        <v>2185</v>
      </c>
      <c r="C30" s="1955">
        <v>84.367000000000004</v>
      </c>
      <c r="D30" s="1956" t="s">
        <v>2186</v>
      </c>
      <c r="E30" s="1957">
        <v>0</v>
      </c>
      <c r="F30" s="1957">
        <v>353499</v>
      </c>
      <c r="G30" s="1957">
        <v>0</v>
      </c>
      <c r="H30" s="1980">
        <v>0</v>
      </c>
      <c r="I30" s="1970">
        <v>353499</v>
      </c>
      <c r="J30" s="1978">
        <v>0</v>
      </c>
      <c r="K30" s="1972">
        <v>0</v>
      </c>
      <c r="L30" s="1974">
        <v>353499</v>
      </c>
      <c r="M30" s="1976">
        <v>386316</v>
      </c>
    </row>
    <row r="31" spans="2:13" s="1943" customFormat="1" ht="20.100000000000001" customHeight="1" x14ac:dyDescent="0.2">
      <c r="B31" s="1959" t="s">
        <v>2187</v>
      </c>
      <c r="C31" s="1969"/>
      <c r="D31" s="1960"/>
      <c r="E31" s="1961">
        <v>278679</v>
      </c>
      <c r="F31" s="1961">
        <v>353499</v>
      </c>
      <c r="G31" s="1961">
        <v>278679</v>
      </c>
      <c r="H31" s="1981">
        <v>0</v>
      </c>
      <c r="I31" s="1971">
        <v>353499</v>
      </c>
      <c r="J31" s="1979">
        <v>0</v>
      </c>
      <c r="K31" s="1973">
        <v>0</v>
      </c>
      <c r="L31" s="1975">
        <v>632178</v>
      </c>
      <c r="M31" s="1977">
        <v>716759</v>
      </c>
    </row>
    <row r="32" spans="2:13" s="1943" customFormat="1" ht="20.100000000000001" customHeight="1" x14ac:dyDescent="0.2">
      <c r="B32" s="1958"/>
      <c r="C32" s="1955"/>
      <c r="D32" s="1956"/>
      <c r="E32" s="1957"/>
      <c r="F32" s="1957"/>
      <c r="G32" s="1957"/>
      <c r="H32" s="1980"/>
      <c r="I32" s="1970"/>
      <c r="J32" s="1978"/>
      <c r="K32" s="1972"/>
      <c r="L32" s="1974"/>
      <c r="M32" s="1976"/>
    </row>
    <row r="33" spans="2:13" s="1943" customFormat="1" ht="20.100000000000001" customHeight="1" x14ac:dyDescent="0.2">
      <c r="B33" s="1954" t="s">
        <v>2188</v>
      </c>
      <c r="C33" s="1955"/>
      <c r="D33" s="1956"/>
      <c r="E33" s="1957"/>
      <c r="F33" s="1957"/>
      <c r="G33" s="1957"/>
      <c r="H33" s="1980"/>
      <c r="I33" s="1970"/>
      <c r="J33" s="1978"/>
      <c r="K33" s="1972"/>
      <c r="L33" s="1974"/>
      <c r="M33" s="1976"/>
    </row>
    <row r="34" spans="2:13" s="1943" customFormat="1" ht="20.100000000000001" customHeight="1" x14ac:dyDescent="0.2">
      <c r="B34" s="1954" t="s">
        <v>2189</v>
      </c>
      <c r="C34" s="1955"/>
      <c r="D34" s="1956"/>
      <c r="E34" s="1957"/>
      <c r="F34" s="1957"/>
      <c r="G34" s="1957"/>
      <c r="H34" s="1980"/>
      <c r="I34" s="1970"/>
      <c r="J34" s="1978"/>
      <c r="K34" s="1972"/>
      <c r="L34" s="1974"/>
      <c r="M34" s="1976"/>
    </row>
    <row r="35" spans="2:13" s="1943" customFormat="1" ht="20.100000000000001" customHeight="1" x14ac:dyDescent="0.2">
      <c r="B35" s="1958" t="s">
        <v>2190</v>
      </c>
      <c r="C35" s="1955">
        <v>84.027000000000001</v>
      </c>
      <c r="D35" s="1956" t="s">
        <v>2191</v>
      </c>
      <c r="E35" s="1957">
        <v>0</v>
      </c>
      <c r="F35" s="1957">
        <v>344765</v>
      </c>
      <c r="G35" s="1957">
        <v>344765</v>
      </c>
      <c r="H35" s="1980">
        <v>0</v>
      </c>
      <c r="I35" s="1970">
        <v>0</v>
      </c>
      <c r="J35" s="1978">
        <v>0</v>
      </c>
      <c r="K35" s="1972">
        <v>0</v>
      </c>
      <c r="L35" s="1974">
        <v>344765</v>
      </c>
      <c r="M35" s="1976" t="s">
        <v>2160</v>
      </c>
    </row>
    <row r="36" spans="2:13" s="1943" customFormat="1" ht="20.100000000000001" customHeight="1" x14ac:dyDescent="0.2">
      <c r="B36" s="1958" t="s">
        <v>2190</v>
      </c>
      <c r="C36" s="1955">
        <v>84.027000000000001</v>
      </c>
      <c r="D36" s="1956" t="s">
        <v>2192</v>
      </c>
      <c r="E36" s="1957">
        <v>379683</v>
      </c>
      <c r="F36" s="1957">
        <v>214988</v>
      </c>
      <c r="G36" s="1957">
        <v>535203</v>
      </c>
      <c r="H36" s="1980">
        <v>0</v>
      </c>
      <c r="I36" s="1970">
        <v>59468</v>
      </c>
      <c r="J36" s="1978">
        <v>0</v>
      </c>
      <c r="K36" s="1972">
        <v>0</v>
      </c>
      <c r="L36" s="1974">
        <v>594671</v>
      </c>
      <c r="M36" s="1976" t="s">
        <v>2160</v>
      </c>
    </row>
    <row r="37" spans="2:13" s="1943" customFormat="1" ht="20.100000000000001" customHeight="1" x14ac:dyDescent="0.2">
      <c r="B37" s="1958" t="s">
        <v>2193</v>
      </c>
      <c r="C37" s="1955">
        <v>84.027000000000001</v>
      </c>
      <c r="D37" s="1956" t="s">
        <v>2194</v>
      </c>
      <c r="E37" s="1957">
        <v>0</v>
      </c>
      <c r="F37" s="1957">
        <v>0</v>
      </c>
      <c r="G37" s="1957">
        <v>0</v>
      </c>
      <c r="H37" s="1980">
        <v>0</v>
      </c>
      <c r="I37" s="1970">
        <v>564011</v>
      </c>
      <c r="J37" s="1978">
        <v>0</v>
      </c>
      <c r="K37" s="1972">
        <v>0</v>
      </c>
      <c r="L37" s="1974">
        <v>564011</v>
      </c>
      <c r="M37" s="1976" t="s">
        <v>2160</v>
      </c>
    </row>
    <row r="38" spans="2:13" s="1943" customFormat="1" ht="20.100000000000001" customHeight="1" x14ac:dyDescent="0.2">
      <c r="B38" s="1958" t="s">
        <v>2193</v>
      </c>
      <c r="C38" s="1955">
        <v>84.027000000000001</v>
      </c>
      <c r="D38" s="1956" t="s">
        <v>2195</v>
      </c>
      <c r="E38" s="1957">
        <v>0</v>
      </c>
      <c r="F38" s="1957">
        <v>519101</v>
      </c>
      <c r="G38" s="1957">
        <v>0</v>
      </c>
      <c r="H38" s="1980">
        <v>0</v>
      </c>
      <c r="I38" s="1970">
        <v>625594</v>
      </c>
      <c r="J38" s="1978">
        <v>0</v>
      </c>
      <c r="K38" s="1972">
        <v>0</v>
      </c>
      <c r="L38" s="1974">
        <v>625595</v>
      </c>
      <c r="M38" s="1976" t="s">
        <v>2160</v>
      </c>
    </row>
    <row r="39" spans="2:13" s="1943" customFormat="1" ht="20.100000000000001" customHeight="1" x14ac:dyDescent="0.2">
      <c r="B39" s="1959" t="s">
        <v>2196</v>
      </c>
      <c r="C39" s="1969"/>
      <c r="D39" s="1960"/>
      <c r="E39" s="1961">
        <v>379683</v>
      </c>
      <c r="F39" s="1961">
        <v>1078854</v>
      </c>
      <c r="G39" s="1961">
        <v>879968</v>
      </c>
      <c r="H39" s="1981">
        <v>0</v>
      </c>
      <c r="I39" s="1971">
        <v>1249073</v>
      </c>
      <c r="J39" s="1979">
        <v>0</v>
      </c>
      <c r="K39" s="1973">
        <v>0</v>
      </c>
      <c r="L39" s="1975">
        <v>2129042</v>
      </c>
      <c r="M39" s="1977">
        <v>0</v>
      </c>
    </row>
    <row r="40" spans="2:13" s="1943" customFormat="1" ht="20.100000000000001" customHeight="1" x14ac:dyDescent="0.2">
      <c r="B40" s="1954"/>
      <c r="C40" s="1969"/>
      <c r="D40" s="1960"/>
      <c r="E40" s="1961"/>
      <c r="F40" s="1961"/>
      <c r="G40" s="1961"/>
      <c r="H40" s="1981"/>
      <c r="I40" s="1971"/>
      <c r="J40" s="1979"/>
      <c r="K40" s="1973"/>
      <c r="L40" s="1975"/>
      <c r="M40" s="1977"/>
    </row>
    <row r="41" spans="2:13" s="1943" customFormat="1" ht="20.100000000000001" customHeight="1" x14ac:dyDescent="0.2">
      <c r="B41" s="1959" t="s">
        <v>2197</v>
      </c>
      <c r="C41" s="1969"/>
      <c r="D41" s="1960"/>
      <c r="E41" s="1961">
        <v>1654832</v>
      </c>
      <c r="F41" s="1961">
        <v>2733244</v>
      </c>
      <c r="G41" s="1961">
        <v>2155117</v>
      </c>
      <c r="H41" s="1981">
        <v>0</v>
      </c>
      <c r="I41" s="1971">
        <v>2903463</v>
      </c>
      <c r="J41" s="1979">
        <v>0</v>
      </c>
      <c r="K41" s="1973">
        <v>0</v>
      </c>
      <c r="L41" s="1975">
        <v>5058581</v>
      </c>
      <c r="M41" s="1977">
        <v>4934942</v>
      </c>
    </row>
    <row r="42" spans="2:13" s="1943" customFormat="1" ht="20.100000000000001" customHeight="1" x14ac:dyDescent="0.2">
      <c r="B42" s="1958"/>
      <c r="C42" s="1955"/>
      <c r="D42" s="1956"/>
      <c r="E42" s="1957"/>
      <c r="F42" s="1957"/>
      <c r="G42" s="1957"/>
      <c r="H42" s="1980"/>
      <c r="I42" s="1970"/>
      <c r="J42" s="1978"/>
      <c r="K42" s="1972"/>
      <c r="L42" s="1974"/>
      <c r="M42" s="1976"/>
    </row>
    <row r="43" spans="2:13" s="1943" customFormat="1" ht="20.100000000000001" customHeight="1" x14ac:dyDescent="0.2">
      <c r="B43" s="1954" t="s">
        <v>2198</v>
      </c>
      <c r="C43" s="1955"/>
      <c r="D43" s="1956"/>
      <c r="E43" s="1957"/>
      <c r="F43" s="1957"/>
      <c r="G43" s="1957"/>
      <c r="H43" s="1980"/>
      <c r="I43" s="1970"/>
      <c r="J43" s="1978"/>
      <c r="K43" s="1972"/>
      <c r="L43" s="1974"/>
      <c r="M43" s="1976"/>
    </row>
    <row r="44" spans="2:13" s="1943" customFormat="1" ht="20.100000000000001" customHeight="1" x14ac:dyDescent="0.2">
      <c r="B44" s="1954" t="s">
        <v>2189</v>
      </c>
      <c r="C44" s="1955"/>
      <c r="D44" s="1956"/>
      <c r="E44" s="1957"/>
      <c r="F44" s="1957"/>
      <c r="G44" s="1957"/>
      <c r="H44" s="1980"/>
      <c r="I44" s="1970"/>
      <c r="J44" s="1978"/>
      <c r="K44" s="1972"/>
      <c r="L44" s="1974"/>
      <c r="M44" s="1976"/>
    </row>
    <row r="45" spans="2:13" s="1943" customFormat="1" ht="20.100000000000001" customHeight="1" x14ac:dyDescent="0.2">
      <c r="B45" s="1958" t="s">
        <v>2199</v>
      </c>
      <c r="C45" s="1955">
        <v>84.027000000000001</v>
      </c>
      <c r="D45" s="1956" t="s">
        <v>2200</v>
      </c>
      <c r="E45" s="1957">
        <v>1986595</v>
      </c>
      <c r="F45" s="1957">
        <v>0</v>
      </c>
      <c r="G45" s="1957">
        <v>1986595</v>
      </c>
      <c r="H45" s="1980">
        <v>0</v>
      </c>
      <c r="I45" s="1970">
        <v>0</v>
      </c>
      <c r="J45" s="1978">
        <v>0</v>
      </c>
      <c r="K45" s="1972">
        <v>0</v>
      </c>
      <c r="L45" s="1974">
        <v>1986595</v>
      </c>
      <c r="M45" s="1976" t="s">
        <v>2160</v>
      </c>
    </row>
    <row r="46" spans="2:13" s="1943" customFormat="1" ht="20.100000000000001" customHeight="1" x14ac:dyDescent="0.2">
      <c r="B46" s="1958" t="s">
        <v>2201</v>
      </c>
      <c r="C46" s="1955">
        <v>84.027000000000001</v>
      </c>
      <c r="D46" s="1956" t="s">
        <v>2202</v>
      </c>
      <c r="E46" s="1957">
        <v>0</v>
      </c>
      <c r="F46" s="1957">
        <v>2002651</v>
      </c>
      <c r="G46" s="1957">
        <v>0</v>
      </c>
      <c r="H46" s="1980">
        <v>0</v>
      </c>
      <c r="I46" s="1970">
        <v>2002651</v>
      </c>
      <c r="J46" s="1978">
        <v>0</v>
      </c>
      <c r="K46" s="1972">
        <v>0</v>
      </c>
      <c r="L46" s="1974">
        <v>2002651</v>
      </c>
      <c r="M46" s="1976" t="s">
        <v>2160</v>
      </c>
    </row>
    <row r="47" spans="2:13" s="1943" customFormat="1" ht="20.100000000000001" customHeight="1" x14ac:dyDescent="0.2">
      <c r="B47" s="1959" t="s">
        <v>2196</v>
      </c>
      <c r="C47" s="1969"/>
      <c r="D47" s="1960"/>
      <c r="E47" s="1961">
        <v>1986595</v>
      </c>
      <c r="F47" s="1961">
        <v>2002651</v>
      </c>
      <c r="G47" s="1961">
        <v>1986595</v>
      </c>
      <c r="H47" s="1981">
        <v>0</v>
      </c>
      <c r="I47" s="1971">
        <v>2002651</v>
      </c>
      <c r="J47" s="1979">
        <v>0</v>
      </c>
      <c r="K47" s="1973">
        <v>0</v>
      </c>
      <c r="L47" s="1975">
        <v>3989246</v>
      </c>
      <c r="M47" s="1977">
        <v>0</v>
      </c>
    </row>
    <row r="48" spans="2:13" s="1943" customFormat="1" ht="20.100000000000001" customHeight="1" x14ac:dyDescent="0.2">
      <c r="B48" s="1959"/>
      <c r="C48" s="1969"/>
      <c r="D48" s="1960"/>
      <c r="E48" s="1961"/>
      <c r="F48" s="1961"/>
      <c r="G48" s="1961"/>
      <c r="H48" s="1981"/>
      <c r="I48" s="1971"/>
      <c r="J48" s="1979"/>
      <c r="K48" s="1973"/>
      <c r="L48" s="1975"/>
      <c r="M48" s="1977"/>
    </row>
    <row r="49" spans="2:13" s="1943" customFormat="1" ht="20.100000000000001" customHeight="1" x14ac:dyDescent="0.2">
      <c r="B49" s="1959" t="s">
        <v>2203</v>
      </c>
      <c r="C49" s="1969"/>
      <c r="D49" s="1960"/>
      <c r="E49" s="1961">
        <v>1986595</v>
      </c>
      <c r="F49" s="1961">
        <v>2002651</v>
      </c>
      <c r="G49" s="1961">
        <v>1986595</v>
      </c>
      <c r="H49" s="1981">
        <v>0</v>
      </c>
      <c r="I49" s="1971">
        <v>2002651</v>
      </c>
      <c r="J49" s="1979">
        <v>0</v>
      </c>
      <c r="K49" s="1973">
        <v>0</v>
      </c>
      <c r="L49" s="1975">
        <v>3989246</v>
      </c>
      <c r="M49" s="1977">
        <v>0</v>
      </c>
    </row>
    <row r="50" spans="2:13" s="1943" customFormat="1" ht="20.100000000000001" customHeight="1" x14ac:dyDescent="0.2">
      <c r="B50" s="1959"/>
      <c r="C50" s="1969"/>
      <c r="D50" s="1960"/>
      <c r="E50" s="1961"/>
      <c r="F50" s="1961"/>
      <c r="G50" s="1961"/>
      <c r="H50" s="1981"/>
      <c r="I50" s="1971"/>
      <c r="J50" s="1979"/>
      <c r="K50" s="1973"/>
      <c r="L50" s="1975"/>
      <c r="M50" s="1977"/>
    </row>
    <row r="51" spans="2:13" s="1943" customFormat="1" ht="20.100000000000001" customHeight="1" x14ac:dyDescent="0.2">
      <c r="B51" s="1954" t="s">
        <v>2204</v>
      </c>
      <c r="C51" s="1969"/>
      <c r="D51" s="1960"/>
      <c r="E51" s="1961">
        <v>2366278</v>
      </c>
      <c r="F51" s="1961">
        <v>3081505</v>
      </c>
      <c r="G51" s="1961">
        <v>2866563</v>
      </c>
      <c r="H51" s="1981">
        <v>0</v>
      </c>
      <c r="I51" s="1971">
        <v>3251724</v>
      </c>
      <c r="J51" s="1979">
        <v>0</v>
      </c>
      <c r="K51" s="1973">
        <v>0</v>
      </c>
      <c r="L51" s="1975">
        <v>6118288</v>
      </c>
      <c r="M51" s="1977">
        <v>0</v>
      </c>
    </row>
    <row r="52" spans="2:13" s="1943" customFormat="1" ht="20.100000000000001" customHeight="1" x14ac:dyDescent="0.2">
      <c r="B52" s="1958"/>
      <c r="C52" s="1955"/>
      <c r="D52" s="1956"/>
      <c r="E52" s="1957"/>
      <c r="F52" s="1957"/>
      <c r="G52" s="1957"/>
      <c r="H52" s="1980"/>
      <c r="I52" s="1970"/>
      <c r="J52" s="1978"/>
      <c r="K52" s="1972"/>
      <c r="L52" s="1974"/>
      <c r="M52" s="1976"/>
    </row>
    <row r="53" spans="2:13" s="1943" customFormat="1" ht="20.100000000000001" customHeight="1" x14ac:dyDescent="0.2">
      <c r="B53" s="1954" t="s">
        <v>2205</v>
      </c>
      <c r="C53" s="1955"/>
      <c r="D53" s="1956"/>
      <c r="E53" s="1957"/>
      <c r="F53" s="1957"/>
      <c r="G53" s="1957"/>
      <c r="H53" s="1980"/>
      <c r="I53" s="1970"/>
      <c r="J53" s="1978"/>
      <c r="K53" s="1972"/>
      <c r="L53" s="1974"/>
      <c r="M53" s="1976"/>
    </row>
    <row r="54" spans="2:13" s="1943" customFormat="1" ht="20.100000000000001" customHeight="1" x14ac:dyDescent="0.2">
      <c r="B54" s="1954" t="s">
        <v>2206</v>
      </c>
      <c r="C54" s="1955"/>
      <c r="D54" s="1956"/>
      <c r="E54" s="1957"/>
      <c r="F54" s="1957"/>
      <c r="G54" s="1957"/>
      <c r="H54" s="1980"/>
      <c r="I54" s="1970"/>
      <c r="J54" s="1978"/>
      <c r="K54" s="1972"/>
      <c r="L54" s="1974"/>
      <c r="M54" s="1976"/>
    </row>
    <row r="55" spans="2:13" s="1943" customFormat="1" ht="20.100000000000001" customHeight="1" x14ac:dyDescent="0.2">
      <c r="B55" s="1958" t="s">
        <v>2207</v>
      </c>
      <c r="C55" s="1955">
        <v>84.126000000000005</v>
      </c>
      <c r="D55" s="1956" t="s">
        <v>2208</v>
      </c>
      <c r="E55" s="1957">
        <v>124957</v>
      </c>
      <c r="F55" s="1957">
        <v>0</v>
      </c>
      <c r="G55" s="1957">
        <v>124957</v>
      </c>
      <c r="H55" s="1980">
        <v>0</v>
      </c>
      <c r="I55" s="1970">
        <v>0</v>
      </c>
      <c r="J55" s="1978">
        <v>0</v>
      </c>
      <c r="K55" s="1972">
        <v>0</v>
      </c>
      <c r="L55" s="1974">
        <v>124957</v>
      </c>
      <c r="M55" s="1976" t="s">
        <v>2160</v>
      </c>
    </row>
    <row r="56" spans="2:13" s="1943" customFormat="1" ht="20.100000000000001" customHeight="1" x14ac:dyDescent="0.2">
      <c r="B56" s="1958" t="s">
        <v>2209</v>
      </c>
      <c r="C56" s="1955">
        <v>84.126000000000005</v>
      </c>
      <c r="D56" s="1956" t="s">
        <v>2210</v>
      </c>
      <c r="E56" s="1957">
        <v>0</v>
      </c>
      <c r="F56" s="1957">
        <v>157574</v>
      </c>
      <c r="G56" s="1957">
        <v>0</v>
      </c>
      <c r="H56" s="1980">
        <v>0</v>
      </c>
      <c r="I56" s="1970">
        <v>157574</v>
      </c>
      <c r="J56" s="1978">
        <v>0</v>
      </c>
      <c r="K56" s="1972">
        <v>0</v>
      </c>
      <c r="L56" s="1974">
        <v>157574</v>
      </c>
      <c r="M56" s="1976" t="s">
        <v>2160</v>
      </c>
    </row>
    <row r="57" spans="2:13" s="1943" customFormat="1" ht="20.100000000000001" customHeight="1" x14ac:dyDescent="0.2">
      <c r="B57" s="1959" t="s">
        <v>2211</v>
      </c>
      <c r="C57" s="1969"/>
      <c r="D57" s="1960"/>
      <c r="E57" s="1961">
        <v>124957</v>
      </c>
      <c r="F57" s="1961">
        <v>157574</v>
      </c>
      <c r="G57" s="1961">
        <v>124957</v>
      </c>
      <c r="H57" s="1981">
        <v>0</v>
      </c>
      <c r="I57" s="1971">
        <v>157574</v>
      </c>
      <c r="J57" s="1979">
        <v>0</v>
      </c>
      <c r="K57" s="1973">
        <v>0</v>
      </c>
      <c r="L57" s="1975">
        <v>282531</v>
      </c>
      <c r="M57" s="1977">
        <v>0</v>
      </c>
    </row>
    <row r="58" spans="2:13" s="1943" customFormat="1" ht="20.100000000000001" customHeight="1" x14ac:dyDescent="0.2">
      <c r="B58" s="1954"/>
      <c r="C58" s="1969"/>
      <c r="D58" s="1960"/>
      <c r="E58" s="1961"/>
      <c r="F58" s="1961"/>
      <c r="G58" s="1961"/>
      <c r="H58" s="1981"/>
      <c r="I58" s="1971"/>
      <c r="J58" s="1979"/>
      <c r="K58" s="1973"/>
      <c r="L58" s="1975"/>
      <c r="M58" s="1977"/>
    </row>
    <row r="59" spans="2:13" s="1943" customFormat="1" ht="20.100000000000001" customHeight="1" x14ac:dyDescent="0.2">
      <c r="B59" s="1959" t="s">
        <v>2212</v>
      </c>
      <c r="C59" s="1969"/>
      <c r="D59" s="1960"/>
      <c r="E59" s="1961">
        <v>124957</v>
      </c>
      <c r="F59" s="1961">
        <v>157574</v>
      </c>
      <c r="G59" s="1961">
        <v>124957</v>
      </c>
      <c r="H59" s="1981">
        <v>0</v>
      </c>
      <c r="I59" s="1971">
        <v>157574</v>
      </c>
      <c r="J59" s="1979">
        <v>0</v>
      </c>
      <c r="K59" s="1973">
        <v>0</v>
      </c>
      <c r="L59" s="1975">
        <v>282531</v>
      </c>
      <c r="M59" s="1977">
        <v>0</v>
      </c>
    </row>
    <row r="60" spans="2:13" s="1943" customFormat="1" ht="20.100000000000001" customHeight="1" x14ac:dyDescent="0.2">
      <c r="B60" s="1958"/>
      <c r="C60" s="1955"/>
      <c r="D60" s="1956"/>
      <c r="E60" s="1957"/>
      <c r="F60" s="1957"/>
      <c r="G60" s="1957"/>
      <c r="H60" s="1980"/>
      <c r="I60" s="1970"/>
      <c r="J60" s="1978"/>
      <c r="K60" s="1972"/>
      <c r="L60" s="1974"/>
      <c r="M60" s="1976"/>
    </row>
    <row r="61" spans="2:13" s="1943" customFormat="1" ht="20.100000000000001" customHeight="1" x14ac:dyDescent="0.2">
      <c r="B61" s="1954" t="s">
        <v>2213</v>
      </c>
      <c r="C61" s="1955"/>
      <c r="D61" s="1956"/>
      <c r="E61" s="1957"/>
      <c r="F61" s="1957"/>
      <c r="G61" s="1957"/>
      <c r="H61" s="1980"/>
      <c r="I61" s="1970"/>
      <c r="J61" s="1978"/>
      <c r="K61" s="1972"/>
      <c r="L61" s="1974"/>
      <c r="M61" s="1976"/>
    </row>
    <row r="62" spans="2:13" s="1943" customFormat="1" ht="20.100000000000001" customHeight="1" x14ac:dyDescent="0.2">
      <c r="B62" s="1954" t="s">
        <v>2214</v>
      </c>
      <c r="C62" s="1955"/>
      <c r="D62" s="1956"/>
      <c r="E62" s="1957"/>
      <c r="F62" s="1957"/>
      <c r="G62" s="1957"/>
      <c r="H62" s="1980"/>
      <c r="I62" s="1970"/>
      <c r="J62" s="1978"/>
      <c r="K62" s="1972"/>
      <c r="L62" s="1974"/>
      <c r="M62" s="1976"/>
    </row>
    <row r="63" spans="2:13" s="1943" customFormat="1" ht="20.100000000000001" customHeight="1" x14ac:dyDescent="0.2">
      <c r="B63" s="1958" t="s">
        <v>2215</v>
      </c>
      <c r="C63" s="1955">
        <v>84.048000000000002</v>
      </c>
      <c r="D63" s="1956" t="s">
        <v>2216</v>
      </c>
      <c r="E63" s="1957">
        <v>269052</v>
      </c>
      <c r="F63" s="1957">
        <v>0</v>
      </c>
      <c r="G63" s="1957">
        <v>269052</v>
      </c>
      <c r="H63" s="1980">
        <v>0</v>
      </c>
      <c r="I63" s="1970">
        <v>0</v>
      </c>
      <c r="J63" s="1978">
        <v>0</v>
      </c>
      <c r="K63" s="1972">
        <v>0</v>
      </c>
      <c r="L63" s="1974">
        <v>269052</v>
      </c>
      <c r="M63" s="1976" t="s">
        <v>2160</v>
      </c>
    </row>
    <row r="64" spans="2:13" s="1943" customFormat="1" ht="20.100000000000001" customHeight="1" x14ac:dyDescent="0.2">
      <c r="B64" s="1958" t="s">
        <v>2217</v>
      </c>
      <c r="C64" s="1955">
        <v>84.048000000000002</v>
      </c>
      <c r="D64" s="1956" t="s">
        <v>2218</v>
      </c>
      <c r="E64" s="1957">
        <v>0</v>
      </c>
      <c r="F64" s="1957">
        <v>255979</v>
      </c>
      <c r="G64" s="1957">
        <v>0</v>
      </c>
      <c r="H64" s="1980">
        <v>0</v>
      </c>
      <c r="I64" s="1970">
        <v>255979</v>
      </c>
      <c r="J64" s="1978">
        <v>0</v>
      </c>
      <c r="K64" s="1972">
        <v>0</v>
      </c>
      <c r="L64" s="1974">
        <v>255979</v>
      </c>
      <c r="M64" s="1976" t="s">
        <v>2160</v>
      </c>
    </row>
    <row r="65" spans="2:13" s="1943" customFormat="1" ht="20.100000000000001" customHeight="1" x14ac:dyDescent="0.2">
      <c r="B65" s="1959" t="s">
        <v>2219</v>
      </c>
      <c r="C65" s="1969"/>
      <c r="D65" s="1960"/>
      <c r="E65" s="1961">
        <v>269052</v>
      </c>
      <c r="F65" s="1961">
        <v>255979</v>
      </c>
      <c r="G65" s="1961">
        <v>269052</v>
      </c>
      <c r="H65" s="1981">
        <v>0</v>
      </c>
      <c r="I65" s="1971">
        <v>255979</v>
      </c>
      <c r="J65" s="1979">
        <v>0</v>
      </c>
      <c r="K65" s="1973">
        <v>0</v>
      </c>
      <c r="L65" s="1975">
        <v>525031</v>
      </c>
      <c r="M65" s="1977">
        <v>0</v>
      </c>
    </row>
    <row r="66" spans="2:13" s="1943" customFormat="1" ht="20.100000000000001" customHeight="1" x14ac:dyDescent="0.2">
      <c r="B66" s="1954"/>
      <c r="C66" s="1969"/>
      <c r="D66" s="1960"/>
      <c r="E66" s="1961"/>
      <c r="F66" s="1961"/>
      <c r="G66" s="1961"/>
      <c r="H66" s="1981"/>
      <c r="I66" s="1971"/>
      <c r="J66" s="1979"/>
      <c r="K66" s="1973"/>
      <c r="L66" s="1975"/>
      <c r="M66" s="1977"/>
    </row>
    <row r="67" spans="2:13" s="1943" customFormat="1" ht="20.100000000000001" customHeight="1" x14ac:dyDescent="0.2">
      <c r="B67" s="1959" t="s">
        <v>2220</v>
      </c>
      <c r="C67" s="1969"/>
      <c r="D67" s="1960"/>
      <c r="E67" s="1961">
        <v>269052</v>
      </c>
      <c r="F67" s="1961">
        <v>255979</v>
      </c>
      <c r="G67" s="1961">
        <v>269052</v>
      </c>
      <c r="H67" s="1981">
        <v>0</v>
      </c>
      <c r="I67" s="1971">
        <v>255979</v>
      </c>
      <c r="J67" s="1979">
        <v>0</v>
      </c>
      <c r="K67" s="1973">
        <v>0</v>
      </c>
      <c r="L67" s="1975">
        <v>525031</v>
      </c>
      <c r="M67" s="1977">
        <v>0</v>
      </c>
    </row>
    <row r="68" spans="2:13" s="1943" customFormat="1" ht="20.100000000000001" customHeight="1" x14ac:dyDescent="0.2">
      <c r="B68" s="1958"/>
      <c r="C68" s="1955"/>
      <c r="D68" s="1956"/>
      <c r="E68" s="1957"/>
      <c r="F68" s="1957"/>
      <c r="G68" s="1957"/>
      <c r="H68" s="1980"/>
      <c r="I68" s="1970"/>
      <c r="J68" s="1978"/>
      <c r="K68" s="1972"/>
      <c r="L68" s="1974"/>
      <c r="M68" s="1976"/>
    </row>
    <row r="69" spans="2:13" s="1943" customFormat="1" ht="20.100000000000001" customHeight="1" x14ac:dyDescent="0.2">
      <c r="B69" s="1954" t="s">
        <v>2221</v>
      </c>
      <c r="C69" s="1955"/>
      <c r="D69" s="1956"/>
      <c r="E69" s="1957"/>
      <c r="F69" s="1957"/>
      <c r="G69" s="1957"/>
      <c r="H69" s="1980"/>
      <c r="I69" s="1970"/>
      <c r="J69" s="1978"/>
      <c r="K69" s="1972"/>
      <c r="L69" s="1974"/>
      <c r="M69" s="1976"/>
    </row>
    <row r="70" spans="2:13" s="1943" customFormat="1" ht="20.100000000000001" customHeight="1" x14ac:dyDescent="0.2">
      <c r="B70" s="1954" t="s">
        <v>2222</v>
      </c>
      <c r="C70" s="1955"/>
      <c r="D70" s="1956"/>
      <c r="E70" s="1957"/>
      <c r="F70" s="1957"/>
      <c r="G70" s="1957"/>
      <c r="H70" s="1980"/>
      <c r="I70" s="1970"/>
      <c r="J70" s="1978"/>
      <c r="K70" s="1972"/>
      <c r="L70" s="1974"/>
      <c r="M70" s="1976"/>
    </row>
    <row r="71" spans="2:13" s="1943" customFormat="1" ht="20.100000000000001" customHeight="1" x14ac:dyDescent="0.2">
      <c r="B71" s="1958" t="s">
        <v>2223</v>
      </c>
      <c r="C71" s="1955">
        <v>84.001999999999995</v>
      </c>
      <c r="D71" s="1956" t="s">
        <v>2224</v>
      </c>
      <c r="E71" s="1957">
        <v>141682</v>
      </c>
      <c r="F71" s="1957">
        <v>0</v>
      </c>
      <c r="G71" s="1957">
        <v>141682</v>
      </c>
      <c r="H71" s="1980">
        <v>0</v>
      </c>
      <c r="I71" s="1970">
        <v>0</v>
      </c>
      <c r="J71" s="1978">
        <v>0</v>
      </c>
      <c r="K71" s="1972">
        <v>0</v>
      </c>
      <c r="L71" s="1974">
        <v>141682</v>
      </c>
      <c r="M71" s="1976" t="s">
        <v>2160</v>
      </c>
    </row>
    <row r="72" spans="2:13" s="1943" customFormat="1" ht="20.100000000000001" customHeight="1" x14ac:dyDescent="0.2">
      <c r="B72" s="1958" t="s">
        <v>2225</v>
      </c>
      <c r="C72" s="1955">
        <v>84.001999999999995</v>
      </c>
      <c r="D72" s="1956" t="s">
        <v>2226</v>
      </c>
      <c r="E72" s="1957">
        <v>0</v>
      </c>
      <c r="F72" s="1957">
        <v>93852</v>
      </c>
      <c r="G72" s="1957">
        <v>0</v>
      </c>
      <c r="H72" s="1980">
        <v>0</v>
      </c>
      <c r="I72" s="1970">
        <v>93852</v>
      </c>
      <c r="J72" s="1978">
        <v>0</v>
      </c>
      <c r="K72" s="1972">
        <v>0</v>
      </c>
      <c r="L72" s="1974">
        <v>93852</v>
      </c>
      <c r="M72" s="1976" t="s">
        <v>2160</v>
      </c>
    </row>
    <row r="73" spans="2:13" s="1943" customFormat="1" ht="20.100000000000001" customHeight="1" x14ac:dyDescent="0.2">
      <c r="B73" s="1959" t="s">
        <v>2227</v>
      </c>
      <c r="C73" s="1969"/>
      <c r="D73" s="1960"/>
      <c r="E73" s="1961">
        <v>141682</v>
      </c>
      <c r="F73" s="1961">
        <v>93852</v>
      </c>
      <c r="G73" s="1961">
        <v>141682</v>
      </c>
      <c r="H73" s="1981">
        <v>0</v>
      </c>
      <c r="I73" s="1971">
        <v>93852</v>
      </c>
      <c r="J73" s="1979">
        <v>0</v>
      </c>
      <c r="K73" s="1973">
        <v>0</v>
      </c>
      <c r="L73" s="1975">
        <v>235534</v>
      </c>
      <c r="M73" s="1977">
        <v>0</v>
      </c>
    </row>
    <row r="74" spans="2:13" s="1943" customFormat="1" ht="20.100000000000001" customHeight="1" x14ac:dyDescent="0.2">
      <c r="B74" s="1958"/>
      <c r="C74" s="1955"/>
      <c r="D74" s="1956"/>
      <c r="E74" s="1957"/>
      <c r="F74" s="1957"/>
      <c r="G74" s="1957"/>
      <c r="H74" s="1980"/>
      <c r="I74" s="1970"/>
      <c r="J74" s="1978"/>
      <c r="K74" s="1972"/>
      <c r="L74" s="1974"/>
      <c r="M74" s="1976"/>
    </row>
    <row r="75" spans="2:13" s="1943" customFormat="1" ht="20.100000000000001" customHeight="1" x14ac:dyDescent="0.2">
      <c r="B75" s="1959" t="s">
        <v>2228</v>
      </c>
      <c r="C75" s="1969"/>
      <c r="D75" s="1960"/>
      <c r="E75" s="1961">
        <v>141682</v>
      </c>
      <c r="F75" s="1961">
        <v>93852</v>
      </c>
      <c r="G75" s="1961">
        <v>141682</v>
      </c>
      <c r="H75" s="1981">
        <v>0</v>
      </c>
      <c r="I75" s="1971">
        <v>93852</v>
      </c>
      <c r="J75" s="1979">
        <v>0</v>
      </c>
      <c r="K75" s="1973">
        <v>0</v>
      </c>
      <c r="L75" s="1975">
        <v>235534</v>
      </c>
      <c r="M75" s="1977">
        <v>0</v>
      </c>
    </row>
    <row r="76" spans="2:13" s="1943" customFormat="1" ht="20.100000000000001" customHeight="1" x14ac:dyDescent="0.2">
      <c r="B76" s="1958"/>
      <c r="C76" s="1955"/>
      <c r="D76" s="1956"/>
      <c r="E76" s="1957"/>
      <c r="F76" s="1957"/>
      <c r="G76" s="1957"/>
      <c r="H76" s="1980"/>
      <c r="I76" s="1970"/>
      <c r="J76" s="1978"/>
      <c r="K76" s="1972"/>
      <c r="L76" s="1974"/>
      <c r="M76" s="1976"/>
    </row>
    <row r="77" spans="2:13" s="1943" customFormat="1" ht="20.100000000000001" customHeight="1" x14ac:dyDescent="0.2">
      <c r="B77" s="1954" t="s">
        <v>2229</v>
      </c>
      <c r="C77" s="1955"/>
      <c r="D77" s="1956"/>
      <c r="E77" s="1957"/>
      <c r="F77" s="1957"/>
      <c r="G77" s="1957"/>
      <c r="H77" s="1980"/>
      <c r="I77" s="1970"/>
      <c r="J77" s="1978"/>
      <c r="K77" s="1972"/>
      <c r="L77" s="1974"/>
      <c r="M77" s="1976"/>
    </row>
    <row r="78" spans="2:13" s="1943" customFormat="1" ht="20.100000000000001" customHeight="1" x14ac:dyDescent="0.2">
      <c r="B78" s="1954" t="s">
        <v>2230</v>
      </c>
      <c r="C78" s="1955"/>
      <c r="D78" s="1956"/>
      <c r="E78" s="1957"/>
      <c r="F78" s="1957"/>
      <c r="G78" s="1957"/>
      <c r="H78" s="1980"/>
      <c r="I78" s="1970"/>
      <c r="J78" s="1978"/>
      <c r="K78" s="1972"/>
      <c r="L78" s="1974"/>
      <c r="M78" s="1976"/>
    </row>
    <row r="79" spans="2:13" s="1943" customFormat="1" ht="20.100000000000001" customHeight="1" x14ac:dyDescent="0.2">
      <c r="B79" s="1954" t="s">
        <v>2231</v>
      </c>
      <c r="C79" s="1955"/>
      <c r="D79" s="1956"/>
      <c r="E79" s="1957"/>
      <c r="F79" s="1957"/>
      <c r="G79" s="1957"/>
      <c r="H79" s="1980"/>
      <c r="I79" s="1970"/>
      <c r="J79" s="1978"/>
      <c r="K79" s="1972"/>
      <c r="L79" s="1974"/>
      <c r="M79" s="1976"/>
    </row>
    <row r="80" spans="2:13" s="1943" customFormat="1" ht="20.100000000000001" customHeight="1" x14ac:dyDescent="0.2">
      <c r="B80" s="1958" t="s">
        <v>2232</v>
      </c>
      <c r="C80" s="1955">
        <v>10.555</v>
      </c>
      <c r="D80" s="1956" t="s">
        <v>2208</v>
      </c>
      <c r="E80" s="1957">
        <v>110819</v>
      </c>
      <c r="F80" s="1957">
        <v>0</v>
      </c>
      <c r="G80" s="1957">
        <v>110819</v>
      </c>
      <c r="H80" s="1980">
        <v>0</v>
      </c>
      <c r="I80" s="1970">
        <v>0</v>
      </c>
      <c r="J80" s="1978">
        <v>0</v>
      </c>
      <c r="K80" s="1972">
        <v>0</v>
      </c>
      <c r="L80" s="1974">
        <v>110819</v>
      </c>
      <c r="M80" s="1976" t="s">
        <v>2160</v>
      </c>
    </row>
    <row r="81" spans="2:13" s="1943" customFormat="1" ht="20.100000000000001" customHeight="1" x14ac:dyDescent="0.2">
      <c r="B81" s="1958" t="s">
        <v>2233</v>
      </c>
      <c r="C81" s="1955">
        <v>10.555</v>
      </c>
      <c r="D81" s="1956" t="s">
        <v>2210</v>
      </c>
      <c r="E81" s="1957">
        <v>0</v>
      </c>
      <c r="F81" s="1957">
        <v>107101</v>
      </c>
      <c r="G81" s="1957">
        <v>0</v>
      </c>
      <c r="H81" s="1980">
        <v>0</v>
      </c>
      <c r="I81" s="1970">
        <v>107101</v>
      </c>
      <c r="J81" s="1978">
        <v>0</v>
      </c>
      <c r="K81" s="1972">
        <v>0</v>
      </c>
      <c r="L81" s="1974">
        <v>107101</v>
      </c>
      <c r="M81" s="1976" t="s">
        <v>2160</v>
      </c>
    </row>
    <row r="82" spans="2:13" s="1943" customFormat="1" ht="20.100000000000001" customHeight="1" x14ac:dyDescent="0.2">
      <c r="B82" s="1959" t="s">
        <v>2234</v>
      </c>
      <c r="C82" s="1969"/>
      <c r="D82" s="1960"/>
      <c r="E82" s="1961">
        <v>110819</v>
      </c>
      <c r="F82" s="1961">
        <v>107101</v>
      </c>
      <c r="G82" s="1961">
        <v>110819</v>
      </c>
      <c r="H82" s="1981">
        <v>0</v>
      </c>
      <c r="I82" s="1971">
        <v>107101</v>
      </c>
      <c r="J82" s="1979">
        <v>0</v>
      </c>
      <c r="K82" s="1973">
        <v>0</v>
      </c>
      <c r="L82" s="1975">
        <v>217920</v>
      </c>
      <c r="M82" s="1977">
        <v>0</v>
      </c>
    </row>
    <row r="83" spans="2:13" s="1943" customFormat="1" ht="20.100000000000001" customHeight="1" x14ac:dyDescent="0.2">
      <c r="B83" s="1958"/>
      <c r="C83" s="1955"/>
      <c r="D83" s="1956"/>
      <c r="E83" s="1957"/>
      <c r="F83" s="1957"/>
      <c r="G83" s="1957"/>
      <c r="H83" s="1980"/>
      <c r="I83" s="1970"/>
      <c r="J83" s="1978"/>
      <c r="K83" s="1972"/>
      <c r="L83" s="1974"/>
      <c r="M83" s="1976"/>
    </row>
    <row r="84" spans="2:13" s="1943" customFormat="1" ht="20.100000000000001" customHeight="1" x14ac:dyDescent="0.2">
      <c r="B84" s="1959" t="s">
        <v>2235</v>
      </c>
      <c r="C84" s="1969"/>
      <c r="D84" s="1960"/>
      <c r="E84" s="1961">
        <v>110819</v>
      </c>
      <c r="F84" s="1961">
        <v>107101</v>
      </c>
      <c r="G84" s="1961">
        <v>110819</v>
      </c>
      <c r="H84" s="1981">
        <v>0</v>
      </c>
      <c r="I84" s="1971">
        <v>107101</v>
      </c>
      <c r="J84" s="1979">
        <v>0</v>
      </c>
      <c r="K84" s="1973">
        <v>0</v>
      </c>
      <c r="L84" s="1975">
        <v>217920</v>
      </c>
      <c r="M84" s="1977">
        <v>0</v>
      </c>
    </row>
    <row r="85" spans="2:13" s="1943" customFormat="1" ht="20.100000000000001" customHeight="1" x14ac:dyDescent="0.2">
      <c r="B85" s="1958"/>
      <c r="C85" s="1955"/>
      <c r="D85" s="1956"/>
      <c r="E85" s="1957"/>
      <c r="F85" s="1957"/>
      <c r="G85" s="1957"/>
      <c r="H85" s="1980"/>
      <c r="I85" s="1970"/>
      <c r="J85" s="1978"/>
      <c r="K85" s="1972"/>
      <c r="L85" s="1974"/>
      <c r="M85" s="1976"/>
    </row>
    <row r="86" spans="2:13" s="1943" customFormat="1" ht="20.100000000000001" customHeight="1" x14ac:dyDescent="0.2">
      <c r="B86" s="1954" t="s">
        <v>2236</v>
      </c>
      <c r="C86" s="1955"/>
      <c r="D86" s="1956"/>
      <c r="E86" s="1957"/>
      <c r="F86" s="1957"/>
      <c r="G86" s="1957"/>
      <c r="H86" s="1980"/>
      <c r="I86" s="1970"/>
      <c r="J86" s="1978"/>
      <c r="K86" s="1972"/>
      <c r="L86" s="1974"/>
      <c r="M86" s="1976"/>
    </row>
    <row r="87" spans="2:13" s="1943" customFormat="1" ht="20.100000000000001" customHeight="1" x14ac:dyDescent="0.2">
      <c r="B87" s="1954" t="s">
        <v>2231</v>
      </c>
      <c r="C87" s="1955"/>
      <c r="D87" s="1956"/>
      <c r="E87" s="1957"/>
      <c r="F87" s="1957"/>
      <c r="G87" s="1957"/>
      <c r="H87" s="1980"/>
      <c r="I87" s="1970"/>
      <c r="J87" s="1978"/>
      <c r="K87" s="1972"/>
      <c r="L87" s="1974"/>
      <c r="M87" s="1976"/>
    </row>
    <row r="88" spans="2:13" s="1943" customFormat="1" ht="20.100000000000001" customHeight="1" x14ac:dyDescent="0.2">
      <c r="B88" s="1958" t="s">
        <v>2237</v>
      </c>
      <c r="C88" s="1955">
        <v>10.555</v>
      </c>
      <c r="D88" s="1956" t="s">
        <v>2238</v>
      </c>
      <c r="E88" s="1957">
        <v>1370938</v>
      </c>
      <c r="F88" s="1957">
        <v>366679</v>
      </c>
      <c r="G88" s="1957">
        <v>1370938</v>
      </c>
      <c r="H88" s="1980">
        <v>0</v>
      </c>
      <c r="I88" s="1970">
        <v>366678.80000000005</v>
      </c>
      <c r="J88" s="1978">
        <v>0</v>
      </c>
      <c r="K88" s="1972">
        <v>0</v>
      </c>
      <c r="L88" s="1974">
        <v>1737616.8</v>
      </c>
      <c r="M88" s="1976" t="s">
        <v>2160</v>
      </c>
    </row>
    <row r="89" spans="2:13" s="1943" customFormat="1" ht="20.100000000000001" customHeight="1" x14ac:dyDescent="0.2">
      <c r="B89" s="1958" t="s">
        <v>2239</v>
      </c>
      <c r="C89" s="1955">
        <v>10.555</v>
      </c>
      <c r="D89" s="1956" t="s">
        <v>2240</v>
      </c>
      <c r="E89" s="1957">
        <v>0</v>
      </c>
      <c r="F89" s="1957">
        <v>1263529</v>
      </c>
      <c r="G89" s="1957">
        <v>0</v>
      </c>
      <c r="H89" s="1980">
        <v>0</v>
      </c>
      <c r="I89" s="1970">
        <v>1263529</v>
      </c>
      <c r="J89" s="1978">
        <v>0</v>
      </c>
      <c r="K89" s="1972">
        <v>0</v>
      </c>
      <c r="L89" s="1974">
        <v>1263529</v>
      </c>
      <c r="M89" s="1976" t="s">
        <v>2160</v>
      </c>
    </row>
    <row r="90" spans="2:13" s="1943" customFormat="1" ht="20.100000000000001" customHeight="1" x14ac:dyDescent="0.2">
      <c r="B90" s="1958" t="s">
        <v>2241</v>
      </c>
      <c r="C90" s="1955">
        <v>10.555</v>
      </c>
      <c r="D90" s="1956" t="s">
        <v>2208</v>
      </c>
      <c r="E90" s="1957">
        <v>180281</v>
      </c>
      <c r="F90" s="1957">
        <v>0</v>
      </c>
      <c r="G90" s="1957">
        <v>180281</v>
      </c>
      <c r="H90" s="1980">
        <v>0</v>
      </c>
      <c r="I90" s="1970">
        <v>0</v>
      </c>
      <c r="J90" s="1978">
        <v>0</v>
      </c>
      <c r="K90" s="1972">
        <v>0</v>
      </c>
      <c r="L90" s="1974">
        <v>180281</v>
      </c>
      <c r="M90" s="1976" t="s">
        <v>2160</v>
      </c>
    </row>
    <row r="91" spans="2:13" s="1943" customFormat="1" ht="20.100000000000001" customHeight="1" x14ac:dyDescent="0.2">
      <c r="B91" s="1958" t="s">
        <v>2242</v>
      </c>
      <c r="C91" s="1955">
        <v>10.555</v>
      </c>
      <c r="D91" s="1956" t="s">
        <v>2210</v>
      </c>
      <c r="E91" s="1957">
        <v>0</v>
      </c>
      <c r="F91" s="1957">
        <v>193287</v>
      </c>
      <c r="G91" s="1957">
        <v>0</v>
      </c>
      <c r="H91" s="1980">
        <v>0</v>
      </c>
      <c r="I91" s="1970">
        <v>193287</v>
      </c>
      <c r="J91" s="1978">
        <v>0</v>
      </c>
      <c r="K91" s="1972">
        <v>0</v>
      </c>
      <c r="L91" s="1974">
        <v>193287</v>
      </c>
      <c r="M91" s="1976" t="s">
        <v>2160</v>
      </c>
    </row>
    <row r="92" spans="2:13" s="1943" customFormat="1" ht="20.100000000000001" customHeight="1" x14ac:dyDescent="0.2">
      <c r="B92" s="1959" t="s">
        <v>2234</v>
      </c>
      <c r="C92" s="1969"/>
      <c r="D92" s="1960"/>
      <c r="E92" s="1961">
        <v>1551219</v>
      </c>
      <c r="F92" s="1961">
        <v>1823495</v>
      </c>
      <c r="G92" s="1961">
        <v>1551219</v>
      </c>
      <c r="H92" s="1981">
        <v>0</v>
      </c>
      <c r="I92" s="1971">
        <v>1823494.8</v>
      </c>
      <c r="J92" s="1979">
        <v>0</v>
      </c>
      <c r="K92" s="1973">
        <v>0</v>
      </c>
      <c r="L92" s="1975">
        <v>3374713.8</v>
      </c>
      <c r="M92" s="1977">
        <v>0</v>
      </c>
    </row>
    <row r="93" spans="2:13" s="1943" customFormat="1" ht="20.100000000000001" customHeight="1" x14ac:dyDescent="0.2">
      <c r="B93" s="1954"/>
      <c r="C93" s="1969"/>
      <c r="D93" s="1960"/>
      <c r="E93" s="1961"/>
      <c r="F93" s="1961"/>
      <c r="G93" s="1961"/>
      <c r="H93" s="1981"/>
      <c r="I93" s="1971"/>
      <c r="J93" s="1979"/>
      <c r="K93" s="1973"/>
      <c r="L93" s="1975"/>
      <c r="M93" s="1977"/>
    </row>
    <row r="94" spans="2:13" s="1943" customFormat="1" ht="20.100000000000001" customHeight="1" x14ac:dyDescent="0.2">
      <c r="B94" s="1959" t="s">
        <v>2243</v>
      </c>
      <c r="C94" s="1969"/>
      <c r="D94" s="1960"/>
      <c r="E94" s="1961">
        <v>1662038</v>
      </c>
      <c r="F94" s="1961">
        <v>1930596</v>
      </c>
      <c r="G94" s="1961">
        <v>1662038</v>
      </c>
      <c r="H94" s="1981">
        <v>0</v>
      </c>
      <c r="I94" s="1971">
        <v>1930595.8</v>
      </c>
      <c r="J94" s="1979">
        <v>0</v>
      </c>
      <c r="K94" s="1973">
        <v>0</v>
      </c>
      <c r="L94" s="1975">
        <v>3592633.8</v>
      </c>
      <c r="M94" s="1977">
        <v>0</v>
      </c>
    </row>
    <row r="95" spans="2:13" s="1943" customFormat="1" ht="20.100000000000001" customHeight="1" x14ac:dyDescent="0.2">
      <c r="B95" s="1954"/>
      <c r="C95" s="1969"/>
      <c r="D95" s="1960"/>
      <c r="E95" s="1961"/>
      <c r="F95" s="1961"/>
      <c r="G95" s="1961"/>
      <c r="H95" s="1981"/>
      <c r="I95" s="1971"/>
      <c r="J95" s="1979"/>
      <c r="K95" s="1973"/>
      <c r="L95" s="1975"/>
      <c r="M95" s="1977"/>
    </row>
    <row r="96" spans="2:13" s="1943" customFormat="1" ht="20.100000000000001" customHeight="1" x14ac:dyDescent="0.2">
      <c r="B96" s="1954" t="s">
        <v>2244</v>
      </c>
      <c r="C96" s="1955"/>
      <c r="D96" s="1956"/>
      <c r="E96" s="1957"/>
      <c r="F96" s="1957"/>
      <c r="G96" s="1957"/>
      <c r="H96" s="1980"/>
      <c r="I96" s="1970"/>
      <c r="J96" s="1978"/>
      <c r="K96" s="1972"/>
      <c r="L96" s="1974"/>
      <c r="M96" s="1976"/>
    </row>
    <row r="97" spans="2:13" s="1943" customFormat="1" ht="20.100000000000001" customHeight="1" x14ac:dyDescent="0.2">
      <c r="B97" s="1958" t="s">
        <v>2245</v>
      </c>
      <c r="C97" s="1955">
        <v>10.553000000000001</v>
      </c>
      <c r="D97" s="1956" t="s">
        <v>2246</v>
      </c>
      <c r="E97" s="1957">
        <v>350256</v>
      </c>
      <c r="F97" s="1957">
        <v>81183</v>
      </c>
      <c r="G97" s="1957">
        <v>350256</v>
      </c>
      <c r="H97" s="1980">
        <v>0</v>
      </c>
      <c r="I97" s="1970">
        <v>81182.820000000007</v>
      </c>
      <c r="J97" s="1978">
        <v>0</v>
      </c>
      <c r="K97" s="1972">
        <v>0</v>
      </c>
      <c r="L97" s="1974">
        <v>431438.82</v>
      </c>
      <c r="M97" s="1976" t="s">
        <v>2160</v>
      </c>
    </row>
    <row r="98" spans="2:13" s="1943" customFormat="1" ht="20.100000000000001" customHeight="1" x14ac:dyDescent="0.2">
      <c r="B98" s="1958" t="s">
        <v>2247</v>
      </c>
      <c r="C98" s="1955">
        <v>10.553000000000001</v>
      </c>
      <c r="D98" s="1956" t="s">
        <v>2248</v>
      </c>
      <c r="E98" s="1957">
        <v>0</v>
      </c>
      <c r="F98" s="1957">
        <v>331148</v>
      </c>
      <c r="G98" s="1957">
        <v>0</v>
      </c>
      <c r="H98" s="1980">
        <v>0</v>
      </c>
      <c r="I98" s="1970">
        <v>331148</v>
      </c>
      <c r="J98" s="1978">
        <v>0</v>
      </c>
      <c r="K98" s="1972">
        <v>0</v>
      </c>
      <c r="L98" s="1974">
        <v>331148</v>
      </c>
      <c r="M98" s="1976" t="s">
        <v>2160</v>
      </c>
    </row>
    <row r="99" spans="2:13" s="1943" customFormat="1" ht="20.100000000000001" customHeight="1" x14ac:dyDescent="0.2">
      <c r="B99" s="1959" t="s">
        <v>2249</v>
      </c>
      <c r="C99" s="1969"/>
      <c r="D99" s="1960"/>
      <c r="E99" s="1961">
        <v>350256</v>
      </c>
      <c r="F99" s="1961">
        <v>412331</v>
      </c>
      <c r="G99" s="1961">
        <v>350256</v>
      </c>
      <c r="H99" s="1981">
        <v>0</v>
      </c>
      <c r="I99" s="1971">
        <v>412330.82</v>
      </c>
      <c r="J99" s="1979">
        <v>0</v>
      </c>
      <c r="K99" s="1973">
        <v>0</v>
      </c>
      <c r="L99" s="1975">
        <v>762586.82000000007</v>
      </c>
      <c r="M99" s="1977">
        <v>0</v>
      </c>
    </row>
    <row r="100" spans="2:13" s="1943" customFormat="1" ht="20.100000000000001" customHeight="1" x14ac:dyDescent="0.2">
      <c r="B100" s="1958"/>
      <c r="C100" s="1955"/>
      <c r="D100" s="1956"/>
      <c r="E100" s="1957"/>
      <c r="F100" s="1957"/>
      <c r="G100" s="1957"/>
      <c r="H100" s="1980"/>
      <c r="I100" s="1970"/>
      <c r="J100" s="1978"/>
      <c r="K100" s="1972"/>
      <c r="L100" s="1974"/>
      <c r="M100" s="1976"/>
    </row>
    <row r="101" spans="2:13" s="1943" customFormat="1" ht="20.100000000000001" customHeight="1" x14ac:dyDescent="0.2">
      <c r="B101" s="1958" t="s">
        <v>2250</v>
      </c>
      <c r="C101" s="1955">
        <v>10.558999999999999</v>
      </c>
      <c r="D101" s="1956" t="s">
        <v>2251</v>
      </c>
      <c r="E101" s="1957">
        <v>0</v>
      </c>
      <c r="F101" s="1957">
        <v>97421</v>
      </c>
      <c r="G101" s="1957">
        <v>0</v>
      </c>
      <c r="H101" s="1980">
        <v>0</v>
      </c>
      <c r="I101" s="1970">
        <v>97421</v>
      </c>
      <c r="J101" s="1978">
        <v>0</v>
      </c>
      <c r="K101" s="1972">
        <v>0</v>
      </c>
      <c r="L101" s="1974">
        <v>97421</v>
      </c>
      <c r="M101" s="1976" t="s">
        <v>2160</v>
      </c>
    </row>
    <row r="102" spans="2:13" s="1943" customFormat="1" ht="20.100000000000001" customHeight="1" x14ac:dyDescent="0.2">
      <c r="B102" s="1959" t="s">
        <v>2252</v>
      </c>
      <c r="C102" s="1955"/>
      <c r="D102" s="1956"/>
      <c r="E102" s="1957">
        <v>0</v>
      </c>
      <c r="F102" s="1957">
        <v>97421</v>
      </c>
      <c r="G102" s="1957">
        <v>0</v>
      </c>
      <c r="H102" s="1980">
        <v>0</v>
      </c>
      <c r="I102" s="1970">
        <v>97421</v>
      </c>
      <c r="J102" s="1978">
        <v>0</v>
      </c>
      <c r="K102" s="1972">
        <v>0</v>
      </c>
      <c r="L102" s="1974">
        <v>97421</v>
      </c>
      <c r="M102" s="1976">
        <v>0</v>
      </c>
    </row>
    <row r="103" spans="2:13" s="1943" customFormat="1" ht="20.100000000000001" customHeight="1" x14ac:dyDescent="0.2">
      <c r="B103" s="1958"/>
      <c r="C103" s="1955"/>
      <c r="D103" s="1956"/>
      <c r="E103" s="1957"/>
      <c r="F103" s="1957"/>
      <c r="G103" s="1957"/>
      <c r="H103" s="1980"/>
      <c r="I103" s="1970"/>
      <c r="J103" s="1978"/>
      <c r="K103" s="1972"/>
      <c r="L103" s="1974"/>
      <c r="M103" s="1976"/>
    </row>
    <row r="104" spans="2:13" s="1943" customFormat="1" ht="20.100000000000001" customHeight="1" x14ac:dyDescent="0.2">
      <c r="B104" s="1959" t="s">
        <v>2253</v>
      </c>
      <c r="C104" s="1969"/>
      <c r="D104" s="1960"/>
      <c r="E104" s="1961">
        <v>1901475</v>
      </c>
      <c r="F104" s="1961">
        <v>2333247</v>
      </c>
      <c r="G104" s="1961">
        <v>1901475</v>
      </c>
      <c r="H104" s="1981">
        <v>0</v>
      </c>
      <c r="I104" s="1971">
        <v>2333246.62</v>
      </c>
      <c r="J104" s="1979">
        <v>0</v>
      </c>
      <c r="K104" s="1973">
        <v>0</v>
      </c>
      <c r="L104" s="1975">
        <v>4234721.62</v>
      </c>
      <c r="M104" s="1977">
        <v>0</v>
      </c>
    </row>
    <row r="105" spans="2:13" s="1943" customFormat="1" ht="20.100000000000001" customHeight="1" x14ac:dyDescent="0.2">
      <c r="B105" s="1958"/>
      <c r="C105" s="1955"/>
      <c r="D105" s="1956"/>
      <c r="E105" s="1957"/>
      <c r="F105" s="1957"/>
      <c r="G105" s="1957"/>
      <c r="H105" s="1980"/>
      <c r="I105" s="1970"/>
      <c r="J105" s="1978"/>
      <c r="K105" s="1972"/>
      <c r="L105" s="1974"/>
      <c r="M105" s="1976"/>
    </row>
    <row r="106" spans="2:13" s="1943" customFormat="1" ht="20.100000000000001" customHeight="1" x14ac:dyDescent="0.2">
      <c r="B106" s="1959" t="s">
        <v>2254</v>
      </c>
      <c r="C106" s="1969"/>
      <c r="D106" s="1960"/>
      <c r="E106" s="1961">
        <v>2012294</v>
      </c>
      <c r="F106" s="1961">
        <v>2440348</v>
      </c>
      <c r="G106" s="1961">
        <v>2012294</v>
      </c>
      <c r="H106" s="1981">
        <v>0</v>
      </c>
      <c r="I106" s="1971">
        <v>2440347.62</v>
      </c>
      <c r="J106" s="1979">
        <v>0</v>
      </c>
      <c r="K106" s="1973">
        <v>0</v>
      </c>
      <c r="L106" s="1975">
        <v>4452641.62</v>
      </c>
      <c r="M106" s="1977">
        <v>0</v>
      </c>
    </row>
    <row r="107" spans="2:13" s="1943" customFormat="1" ht="20.100000000000001" customHeight="1" x14ac:dyDescent="0.2">
      <c r="B107" s="1958"/>
      <c r="C107" s="1955"/>
      <c r="D107" s="1956"/>
      <c r="E107" s="1957"/>
      <c r="F107" s="1957"/>
      <c r="G107" s="1957"/>
      <c r="H107" s="1980"/>
      <c r="I107" s="1970"/>
      <c r="J107" s="1978"/>
      <c r="K107" s="1972"/>
      <c r="L107" s="1974"/>
      <c r="M107" s="1976"/>
    </row>
    <row r="108" spans="2:13" s="1943" customFormat="1" ht="20.100000000000001" customHeight="1" x14ac:dyDescent="0.2">
      <c r="B108" s="1954" t="s">
        <v>2255</v>
      </c>
      <c r="C108" s="1955"/>
      <c r="D108" s="1956"/>
      <c r="E108" s="1957"/>
      <c r="F108" s="1957"/>
      <c r="G108" s="1957"/>
      <c r="H108" s="1980"/>
      <c r="I108" s="1970"/>
      <c r="J108" s="1978"/>
      <c r="K108" s="1972"/>
      <c r="L108" s="1974"/>
      <c r="M108" s="1976"/>
    </row>
    <row r="109" spans="2:13" s="1943" customFormat="1" ht="20.100000000000001" customHeight="1" x14ac:dyDescent="0.2">
      <c r="B109" s="1954" t="s">
        <v>2256</v>
      </c>
      <c r="C109" s="1955"/>
      <c r="D109" s="1956"/>
      <c r="E109" s="1957"/>
      <c r="F109" s="1957"/>
      <c r="G109" s="1957"/>
      <c r="H109" s="1980"/>
      <c r="I109" s="1970"/>
      <c r="J109" s="1978"/>
      <c r="K109" s="1972"/>
      <c r="L109" s="1974"/>
      <c r="M109" s="1976"/>
    </row>
    <row r="110" spans="2:13" ht="20.100000000000001" customHeight="1" x14ac:dyDescent="0.2">
      <c r="B110" s="1954" t="s">
        <v>2257</v>
      </c>
      <c r="C110" s="1955"/>
      <c r="D110" s="1956"/>
      <c r="E110" s="1957"/>
      <c r="F110" s="1957"/>
      <c r="G110" s="1957"/>
      <c r="H110" s="1980"/>
      <c r="I110" s="1970"/>
      <c r="J110" s="1978"/>
      <c r="K110" s="1972"/>
      <c r="L110" s="1974"/>
      <c r="M110" s="1976"/>
    </row>
    <row r="111" spans="2:13" ht="20.100000000000001" customHeight="1" x14ac:dyDescent="0.2">
      <c r="B111" s="1958" t="s">
        <v>2258</v>
      </c>
      <c r="C111" s="1955">
        <v>93.778000000000006</v>
      </c>
      <c r="D111" s="1956" t="s">
        <v>2259</v>
      </c>
      <c r="E111" s="1957">
        <v>267284</v>
      </c>
      <c r="F111" s="1957">
        <v>0</v>
      </c>
      <c r="G111" s="1957">
        <v>267284</v>
      </c>
      <c r="H111" s="1980">
        <v>0</v>
      </c>
      <c r="I111" s="1970">
        <v>0</v>
      </c>
      <c r="J111" s="1978">
        <v>0</v>
      </c>
      <c r="K111" s="1972">
        <v>0</v>
      </c>
      <c r="L111" s="1974">
        <v>267284</v>
      </c>
      <c r="M111" s="1976" t="s">
        <v>2160</v>
      </c>
    </row>
    <row r="112" spans="2:13" ht="20.100000000000001" customHeight="1" x14ac:dyDescent="0.2">
      <c r="B112" s="1958" t="s">
        <v>2260</v>
      </c>
      <c r="C112" s="1955">
        <v>93.778000000000006</v>
      </c>
      <c r="D112" s="1956" t="s">
        <v>2261</v>
      </c>
      <c r="E112" s="1957">
        <v>0</v>
      </c>
      <c r="F112" s="1957">
        <v>232127</v>
      </c>
      <c r="G112" s="1957">
        <v>0</v>
      </c>
      <c r="H112" s="1980">
        <v>0</v>
      </c>
      <c r="I112" s="1970">
        <v>232127</v>
      </c>
      <c r="J112" s="1978">
        <v>0</v>
      </c>
      <c r="K112" s="1972">
        <v>0</v>
      </c>
      <c r="L112" s="1974">
        <v>232127</v>
      </c>
      <c r="M112" s="1976" t="s">
        <v>2160</v>
      </c>
    </row>
    <row r="113" spans="2:14" ht="20.100000000000001" customHeight="1" x14ac:dyDescent="0.2">
      <c r="B113" s="1959" t="s">
        <v>2262</v>
      </c>
      <c r="C113" s="1969"/>
      <c r="D113" s="1960"/>
      <c r="E113" s="1961">
        <v>267284</v>
      </c>
      <c r="F113" s="1961">
        <v>232127</v>
      </c>
      <c r="G113" s="1961">
        <v>267284</v>
      </c>
      <c r="H113" s="1981">
        <v>0</v>
      </c>
      <c r="I113" s="1971">
        <v>232127</v>
      </c>
      <c r="J113" s="1979">
        <v>0</v>
      </c>
      <c r="K113" s="1973">
        <v>0</v>
      </c>
      <c r="L113" s="1975">
        <v>499411</v>
      </c>
      <c r="M113" s="1977">
        <v>0</v>
      </c>
    </row>
    <row r="114" spans="2:14" ht="20.100000000000001" customHeight="1" x14ac:dyDescent="0.2">
      <c r="B114" s="1958"/>
      <c r="C114" s="1955"/>
      <c r="D114" s="1956"/>
      <c r="E114" s="1957"/>
      <c r="F114" s="1957"/>
      <c r="G114" s="1957"/>
      <c r="H114" s="1980"/>
      <c r="I114" s="1970"/>
      <c r="J114" s="1978"/>
      <c r="K114" s="1972"/>
      <c r="L114" s="1974"/>
      <c r="M114" s="1976"/>
    </row>
    <row r="115" spans="2:14" ht="20.100000000000001" customHeight="1" x14ac:dyDescent="0.2">
      <c r="B115" s="1959" t="s">
        <v>2263</v>
      </c>
      <c r="C115" s="1969"/>
      <c r="D115" s="1960"/>
      <c r="E115" s="1961">
        <v>267284</v>
      </c>
      <c r="F115" s="1961">
        <v>232127</v>
      </c>
      <c r="G115" s="1961">
        <v>267284</v>
      </c>
      <c r="H115" s="1981">
        <v>0</v>
      </c>
      <c r="I115" s="1971">
        <v>232127</v>
      </c>
      <c r="J115" s="1979">
        <v>0</v>
      </c>
      <c r="K115" s="1973">
        <v>0</v>
      </c>
      <c r="L115" s="1975">
        <v>499411</v>
      </c>
      <c r="M115" s="1977">
        <v>0</v>
      </c>
    </row>
    <row r="116" spans="2:14" ht="20.100000000000001" customHeight="1" x14ac:dyDescent="0.2">
      <c r="B116" s="1958"/>
      <c r="C116" s="1955"/>
      <c r="D116" s="1956"/>
      <c r="E116" s="1957"/>
      <c r="F116" s="1957"/>
      <c r="G116" s="1957"/>
      <c r="H116" s="1980"/>
      <c r="I116" s="1970"/>
      <c r="J116" s="1978"/>
      <c r="K116" s="1972"/>
      <c r="L116" s="1974"/>
      <c r="M116" s="1976"/>
    </row>
    <row r="117" spans="2:14" ht="20.100000000000001" customHeight="1" x14ac:dyDescent="0.2">
      <c r="B117" s="1954" t="s">
        <v>2264</v>
      </c>
      <c r="C117" s="1969"/>
      <c r="D117" s="1960"/>
      <c r="E117" s="1961">
        <v>6456696</v>
      </c>
      <c r="F117" s="1961">
        <v>7915775</v>
      </c>
      <c r="G117" s="1961">
        <v>6956981</v>
      </c>
      <c r="H117" s="1981">
        <v>0</v>
      </c>
      <c r="I117" s="1971">
        <v>8085993.6200000001</v>
      </c>
      <c r="J117" s="1979">
        <v>0</v>
      </c>
      <c r="K117" s="1973">
        <v>0</v>
      </c>
      <c r="L117" s="1975">
        <v>15042975.620000001</v>
      </c>
      <c r="M117" s="1977">
        <v>4934942</v>
      </c>
    </row>
    <row r="118" spans="2:14" ht="20.100000000000001" customHeight="1" x14ac:dyDescent="0.2">
      <c r="B118" s="1334"/>
      <c r="C118" s="1336"/>
      <c r="D118" s="1337"/>
      <c r="E118" s="1338"/>
      <c r="F118" s="1338"/>
      <c r="G118" s="1338"/>
      <c r="H118" s="1338"/>
      <c r="I118" s="1338"/>
      <c r="J118" s="1338"/>
      <c r="K118" s="1338"/>
      <c r="L118" s="1335"/>
      <c r="M118" s="1338"/>
    </row>
    <row r="119" spans="2:14" ht="20.100000000000001" customHeight="1" x14ac:dyDescent="0.2">
      <c r="B119" s="1334"/>
      <c r="C119" s="1336"/>
      <c r="D119" s="1337"/>
      <c r="E119" s="1338"/>
      <c r="F119" s="1338"/>
      <c r="G119" s="1338"/>
      <c r="H119" s="1338"/>
      <c r="I119" s="1338"/>
      <c r="J119" s="1338"/>
      <c r="K119" s="1338"/>
      <c r="L119" s="1335"/>
      <c r="M119" s="1338"/>
    </row>
    <row r="120" spans="2:14" ht="20.100000000000001" customHeight="1" x14ac:dyDescent="0.2">
      <c r="B120" s="1334"/>
      <c r="C120" s="1336"/>
      <c r="D120" s="1337"/>
      <c r="E120" s="1338"/>
      <c r="F120" s="1338"/>
      <c r="G120" s="1338"/>
      <c r="H120" s="1338"/>
      <c r="I120" s="1338"/>
      <c r="J120" s="1338"/>
      <c r="K120" s="1338"/>
      <c r="L120" s="1335"/>
      <c r="M120" s="1338"/>
      <c r="N120" s="1339"/>
    </row>
    <row r="121" spans="2:14" ht="12.75" customHeight="1" x14ac:dyDescent="0.2">
      <c r="B121" s="1340"/>
      <c r="C121" s="1341"/>
      <c r="D121" s="1342"/>
      <c r="E121" s="1343"/>
      <c r="F121" s="1343"/>
      <c r="G121" s="1343"/>
      <c r="H121" s="1343"/>
      <c r="I121" s="1343"/>
      <c r="J121" s="1343"/>
      <c r="K121" s="1343"/>
      <c r="L121" s="1343"/>
      <c r="M121" s="1343"/>
      <c r="N121" s="1339"/>
    </row>
    <row r="122" spans="2:14" x14ac:dyDescent="0.2">
      <c r="B122" s="1254"/>
      <c r="C122" s="1344"/>
      <c r="D122" s="1345"/>
      <c r="E122" s="1254"/>
      <c r="F122" s="1254"/>
      <c r="G122" s="1247"/>
      <c r="H122" s="1247"/>
      <c r="I122" s="1247"/>
      <c r="J122" s="1247"/>
      <c r="K122" s="1247"/>
      <c r="L122" s="1247"/>
      <c r="M122" s="1254"/>
      <c r="N122" s="1339"/>
    </row>
    <row r="123" spans="2:14" ht="13.5" customHeight="1" x14ac:dyDescent="0.2">
      <c r="B123" s="1279" t="s">
        <v>1735</v>
      </c>
      <c r="C123" s="1344"/>
      <c r="D123" s="1345"/>
      <c r="E123" s="1254"/>
      <c r="F123" s="1254"/>
      <c r="G123" s="1247"/>
      <c r="H123" s="1247"/>
      <c r="I123" s="1247"/>
      <c r="J123" s="1247"/>
      <c r="K123" s="1247"/>
      <c r="L123" s="1247"/>
      <c r="M123" s="1254"/>
      <c r="N123" s="1339"/>
    </row>
    <row r="124" spans="2:14" ht="8.25" customHeight="1" x14ac:dyDescent="0.2">
      <c r="B124" s="1279"/>
      <c r="C124" s="1344"/>
      <c r="D124" s="1345"/>
      <c r="E124" s="1254"/>
      <c r="F124" s="1254"/>
      <c r="G124" s="1247"/>
      <c r="H124" s="1247"/>
      <c r="I124" s="1247"/>
      <c r="J124" s="1247"/>
      <c r="K124" s="1247"/>
      <c r="L124" s="1247"/>
      <c r="M124" s="1254"/>
      <c r="N124" s="1339"/>
    </row>
    <row r="125" spans="2:14" x14ac:dyDescent="0.2">
      <c r="B125" s="1346" t="s">
        <v>1838</v>
      </c>
      <c r="C125" s="1347"/>
      <c r="D125" s="1348"/>
      <c r="E125" s="1349"/>
      <c r="F125" s="1349"/>
      <c r="G125" s="1349"/>
      <c r="H125" s="1349"/>
      <c r="I125" s="317"/>
      <c r="J125" s="317"/>
    </row>
    <row r="126" spans="2:14" x14ac:dyDescent="0.2">
      <c r="B126" s="1274"/>
      <c r="C126" s="1350"/>
      <c r="D126" s="1351"/>
      <c r="E126" s="1275"/>
      <c r="F126" s="1275"/>
      <c r="G126" s="317"/>
      <c r="H126" s="317"/>
      <c r="I126" s="317"/>
      <c r="J126" s="317"/>
    </row>
    <row r="127" spans="2:14" ht="13.5" customHeight="1" x14ac:dyDescent="0.2">
      <c r="B127" s="1273" t="s">
        <v>1246</v>
      </c>
      <c r="G127" s="317"/>
      <c r="H127" s="317"/>
      <c r="I127" s="317"/>
      <c r="J127" s="317"/>
    </row>
    <row r="128" spans="2:14" ht="13.5" customHeight="1" x14ac:dyDescent="0.2">
      <c r="B128" s="1354"/>
      <c r="C128" s="1355"/>
      <c r="D128" s="1356"/>
      <c r="E128" s="1294"/>
      <c r="F128" s="1294"/>
      <c r="G128" s="1294"/>
      <c r="H128" s="1294"/>
      <c r="I128" s="1294"/>
      <c r="J128" s="1294"/>
      <c r="K128" s="1357"/>
      <c r="L128" s="1357"/>
      <c r="M128" s="1294"/>
    </row>
    <row r="129" spans="2:13" ht="9.6" customHeight="1" x14ac:dyDescent="0.2">
      <c r="B129" s="1358"/>
      <c r="G129" s="317"/>
      <c r="H129" s="317"/>
      <c r="I129" s="317"/>
      <c r="J129" s="317"/>
    </row>
    <row r="130" spans="2:13" ht="11.25" customHeight="1" x14ac:dyDescent="0.2">
      <c r="B130" s="1359" t="s">
        <v>1736</v>
      </c>
      <c r="C130" s="1360"/>
      <c r="D130" s="1360"/>
      <c r="E130" s="1360"/>
      <c r="F130" s="1360"/>
      <c r="G130" s="1360"/>
      <c r="H130" s="1360"/>
      <c r="I130" s="1361"/>
      <c r="J130" s="1361"/>
      <c r="K130" s="1361"/>
      <c r="L130" s="1361"/>
      <c r="M130" s="1361"/>
    </row>
    <row r="131" spans="2:13" ht="11.25" customHeight="1" x14ac:dyDescent="0.2">
      <c r="B131" s="1362" t="s">
        <v>1584</v>
      </c>
      <c r="C131" s="1361"/>
      <c r="D131" s="1361"/>
      <c r="E131" s="1361"/>
      <c r="F131" s="1361"/>
      <c r="G131" s="1361"/>
      <c r="H131" s="1361"/>
      <c r="I131" s="1361"/>
      <c r="J131" s="1361"/>
      <c r="K131" s="1361"/>
      <c r="L131" s="1361"/>
      <c r="M131" s="1361"/>
    </row>
    <row r="132" spans="2:13" ht="3.95" customHeight="1" x14ac:dyDescent="0.2">
      <c r="B132" s="1362"/>
      <c r="C132" s="1361"/>
      <c r="D132" s="1361"/>
      <c r="E132" s="1361"/>
      <c r="F132" s="1361"/>
      <c r="G132" s="1361"/>
      <c r="H132" s="1361"/>
      <c r="I132" s="1361"/>
      <c r="J132" s="1361"/>
      <c r="K132" s="1361"/>
      <c r="L132" s="1361"/>
      <c r="M132" s="1361"/>
    </row>
    <row r="133" spans="2:13" ht="11.25" customHeight="1" x14ac:dyDescent="0.2">
      <c r="B133" s="1359" t="s">
        <v>1737</v>
      </c>
      <c r="C133" s="1361"/>
      <c r="D133" s="1361"/>
      <c r="E133" s="1361"/>
      <c r="F133" s="1361"/>
      <c r="G133" s="1361"/>
      <c r="H133" s="1361"/>
      <c r="I133" s="1361"/>
      <c r="J133" s="1361"/>
      <c r="K133" s="1361"/>
      <c r="L133" s="1361"/>
      <c r="M133" s="1361"/>
    </row>
    <row r="134" spans="2:13" ht="11.25" customHeight="1" x14ac:dyDescent="0.2">
      <c r="B134" s="1297" t="s">
        <v>1585</v>
      </c>
      <c r="C134" s="1363"/>
      <c r="D134" s="1364"/>
      <c r="E134" s="1297"/>
      <c r="F134" s="1297"/>
      <c r="G134" s="1297"/>
      <c r="H134" s="1297"/>
      <c r="I134" s="1297"/>
      <c r="J134" s="1297"/>
      <c r="K134" s="1365"/>
      <c r="L134" s="1365"/>
      <c r="M134" s="1297"/>
    </row>
    <row r="135" spans="2:13" ht="3.95" customHeight="1" x14ac:dyDescent="0.2">
      <c r="B135" s="1297"/>
      <c r="C135" s="1363"/>
      <c r="D135" s="1364"/>
      <c r="E135" s="1297"/>
      <c r="F135" s="1297"/>
      <c r="G135" s="1297"/>
      <c r="H135" s="1297"/>
      <c r="I135" s="1297"/>
      <c r="J135" s="1297"/>
      <c r="K135" s="1365"/>
      <c r="L135" s="1365"/>
      <c r="M135" s="1297"/>
    </row>
    <row r="136" spans="2:13" ht="11.25" customHeight="1" x14ac:dyDescent="0.2">
      <c r="B136" s="1366" t="s">
        <v>1738</v>
      </c>
      <c r="C136" s="1363"/>
      <c r="D136" s="1364"/>
      <c r="E136" s="1297"/>
      <c r="F136" s="1297"/>
      <c r="G136" s="1297"/>
      <c r="H136" s="1297"/>
      <c r="I136" s="1297"/>
      <c r="J136" s="1297"/>
      <c r="K136" s="1365"/>
      <c r="L136" s="1365"/>
      <c r="M136" s="1297"/>
    </row>
    <row r="137" spans="2:13" ht="3.95" customHeight="1" x14ac:dyDescent="0.2">
      <c r="B137" s="1366"/>
      <c r="C137" s="1363"/>
      <c r="D137" s="1364"/>
      <c r="E137" s="1297"/>
      <c r="F137" s="1297"/>
      <c r="G137" s="1297"/>
      <c r="H137" s="1297"/>
      <c r="I137" s="1297"/>
      <c r="J137" s="1297"/>
      <c r="K137" s="1365"/>
      <c r="L137" s="1365"/>
      <c r="M137" s="1297"/>
    </row>
    <row r="138" spans="2:13" ht="11.25" customHeight="1" x14ac:dyDescent="0.2">
      <c r="B138" s="1367" t="s">
        <v>1739</v>
      </c>
      <c r="C138" s="1363"/>
      <c r="D138" s="1364"/>
      <c r="E138" s="1297"/>
      <c r="F138" s="1297"/>
      <c r="G138" s="1297"/>
      <c r="H138" s="1297"/>
      <c r="I138" s="1297"/>
      <c r="J138" s="1297"/>
      <c r="K138" s="1365"/>
      <c r="L138" s="1365"/>
      <c r="M138" s="1297"/>
    </row>
    <row r="139" spans="2:13" ht="11.25" customHeight="1" x14ac:dyDescent="0.2">
      <c r="B139" s="1297" t="s">
        <v>1586</v>
      </c>
      <c r="G139" s="317"/>
      <c r="H139" s="317"/>
      <c r="I139" s="317"/>
      <c r="J139" s="317"/>
    </row>
    <row r="140" spans="2:13" ht="11.1" customHeight="1" x14ac:dyDescent="0.2">
      <c r="B140" s="1297"/>
      <c r="G140" s="317"/>
      <c r="H140" s="317"/>
      <c r="I140" s="317"/>
      <c r="J140" s="317"/>
    </row>
    <row r="141" spans="2:13" ht="11.1" customHeight="1" x14ac:dyDescent="0.2">
      <c r="B141" s="1297"/>
      <c r="G141" s="317"/>
      <c r="H141" s="317"/>
      <c r="I141" s="317"/>
      <c r="J141" s="317"/>
    </row>
    <row r="142" spans="2:13" ht="13.5" customHeight="1" x14ac:dyDescent="0.2">
      <c r="M142" s="1368"/>
    </row>
    <row r="143" spans="2:13" ht="13.5" customHeight="1" x14ac:dyDescent="0.2">
      <c r="M143" s="1368"/>
    </row>
    <row r="144" spans="2:13" ht="13.5" customHeight="1" x14ac:dyDescent="0.2">
      <c r="M144" s="1368"/>
    </row>
    <row r="145" spans="7:10" ht="13.5" customHeight="1" x14ac:dyDescent="0.2">
      <c r="G145" s="317"/>
      <c r="H145" s="317"/>
      <c r="I145" s="317"/>
      <c r="J145" s="317"/>
    </row>
    <row r="146" spans="7:10" ht="13.5" customHeight="1" x14ac:dyDescent="0.2">
      <c r="G146" s="317"/>
      <c r="H146" s="317"/>
      <c r="I146" s="317"/>
      <c r="J146" s="317"/>
    </row>
    <row r="147" spans="7:10" ht="13.5" customHeight="1" x14ac:dyDescent="0.2">
      <c r="G147" s="317"/>
      <c r="H147" s="317"/>
      <c r="I147" s="317"/>
      <c r="J147" s="317"/>
    </row>
    <row r="148" spans="7:10" ht="13.5" customHeight="1" x14ac:dyDescent="0.2">
      <c r="G148" s="317"/>
      <c r="H148" s="317"/>
      <c r="I148" s="317"/>
      <c r="J148" s="317"/>
    </row>
    <row r="149" spans="7:10" ht="13.5" customHeight="1" x14ac:dyDescent="0.2">
      <c r="G149" s="317"/>
      <c r="H149" s="317"/>
      <c r="I149" s="317"/>
      <c r="J149" s="317"/>
    </row>
    <row r="150" spans="7:10" ht="13.5" customHeight="1" x14ac:dyDescent="0.2">
      <c r="G150" s="317"/>
      <c r="H150" s="317"/>
      <c r="I150" s="317"/>
      <c r="J150" s="317"/>
    </row>
    <row r="151" spans="7:10" ht="13.5" customHeight="1" x14ac:dyDescent="0.2">
      <c r="G151" s="317"/>
      <c r="H151" s="317"/>
      <c r="I151" s="317"/>
      <c r="J151" s="317"/>
    </row>
    <row r="152" spans="7:10" ht="13.5" customHeight="1" x14ac:dyDescent="0.2"/>
    <row r="153" spans="7:10" ht="13.5" customHeight="1" x14ac:dyDescent="0.2"/>
    <row r="154" spans="7:10" ht="13.5" customHeight="1" x14ac:dyDescent="0.2"/>
    <row r="155" spans="7:10" ht="25.5" customHeight="1" x14ac:dyDescent="0.2"/>
    <row r="156" spans="7:10" ht="25.5" customHeight="1" x14ac:dyDescent="0.2"/>
    <row r="157" spans="7:10" ht="25.5" customHeight="1" x14ac:dyDescent="0.2"/>
    <row r="158" spans="7:10" ht="25.5" customHeight="1" x14ac:dyDescent="0.2"/>
    <row r="159" spans="7:10" ht="25.5" customHeight="1" x14ac:dyDescent="0.2"/>
    <row r="160" spans="7:10"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4.7" customHeight="1" x14ac:dyDescent="0.2"/>
    <row r="205" ht="12.2"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4.7" customHeight="1" x14ac:dyDescent="0.2"/>
    <row r="24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Township HSD 211</v>
      </c>
      <c r="B1" s="2479"/>
      <c r="C1" s="2479"/>
      <c r="D1" s="2479"/>
      <c r="E1" s="2479"/>
      <c r="F1" s="2479"/>
    </row>
    <row r="2" spans="1:7" ht="13.5" customHeight="1" x14ac:dyDescent="0.2">
      <c r="A2" s="2475">
        <f>'Single Audit Cover'!E7</f>
        <v>5016211017</v>
      </c>
      <c r="B2" s="2475"/>
      <c r="C2" s="2475"/>
      <c r="D2" s="2475"/>
      <c r="E2" s="2475"/>
      <c r="F2" s="2475"/>
      <c r="G2" s="1272"/>
    </row>
    <row r="3" spans="1:7" ht="15.75" customHeight="1" x14ac:dyDescent="0.2">
      <c r="A3" s="2480" t="s">
        <v>1271</v>
      </c>
      <c r="B3" s="2480"/>
      <c r="C3" s="2480"/>
      <c r="D3" s="2480"/>
      <c r="E3" s="2480"/>
      <c r="F3" s="2480"/>
    </row>
    <row r="4" spans="1:7" ht="13.5" customHeight="1" x14ac:dyDescent="0.2">
      <c r="A4" s="2481" t="str">
        <f>'Single Audit Cover'!A4</f>
        <v>Year Ending June 30, 2019</v>
      </c>
      <c r="B4" s="2481"/>
      <c r="C4" s="2481"/>
      <c r="D4" s="2481"/>
      <c r="E4" s="2481"/>
      <c r="F4" s="2481"/>
    </row>
    <row r="5" spans="1:7" ht="8.25" customHeight="1" x14ac:dyDescent="0.2">
      <c r="C5" s="317"/>
      <c r="D5" s="317"/>
    </row>
    <row r="6" spans="1:7" ht="13.5" customHeight="1" x14ac:dyDescent="0.2">
      <c r="A6" s="1273" t="s">
        <v>1728</v>
      </c>
      <c r="C6" s="317"/>
      <c r="D6" s="317"/>
    </row>
    <row r="7" spans="1:7" ht="60.95" customHeight="1" x14ac:dyDescent="0.2">
      <c r="A7" s="2478" t="s">
        <v>2154</v>
      </c>
      <c r="B7" s="2478"/>
      <c r="C7" s="2478"/>
      <c r="D7" s="2478"/>
      <c r="E7" s="2478"/>
      <c r="F7" s="247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2067</v>
      </c>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78" t="s">
        <v>2156</v>
      </c>
      <c r="B13" s="2478"/>
      <c r="C13" s="2478"/>
      <c r="D13" s="2478"/>
      <c r="E13" s="2478"/>
      <c r="F13" s="2478"/>
    </row>
    <row r="14" spans="1:7" ht="9.75" customHeight="1" x14ac:dyDescent="0.2">
      <c r="C14" s="1257"/>
      <c r="D14" s="1257"/>
    </row>
    <row r="15" spans="1:7" ht="13.5" customHeight="1" x14ac:dyDescent="0.2">
      <c r="C15" s="1844" t="s">
        <v>1270</v>
      </c>
      <c r="D15" s="2483" t="s">
        <v>1269</v>
      </c>
      <c r="E15" s="2483"/>
      <c r="F15" s="2483"/>
    </row>
    <row r="16" spans="1:7" ht="13.5" customHeight="1" x14ac:dyDescent="0.2">
      <c r="A16" s="1279"/>
      <c r="B16" s="1273" t="s">
        <v>1268</v>
      </c>
      <c r="C16" s="1844" t="s">
        <v>1267</v>
      </c>
      <c r="D16" s="2484" t="s">
        <v>1588</v>
      </c>
      <c r="E16" s="2484"/>
      <c r="F16" s="2484"/>
    </row>
    <row r="17" spans="1:6" ht="20.45" customHeight="1" x14ac:dyDescent="0.2">
      <c r="A17" s="1280"/>
      <c r="B17" s="1281" t="s">
        <v>2155</v>
      </c>
      <c r="C17" s="1282"/>
      <c r="D17" s="2482"/>
      <c r="E17" s="2482"/>
      <c r="F17" s="2482"/>
    </row>
    <row r="18" spans="1:6" ht="20.65" customHeight="1" x14ac:dyDescent="0.2">
      <c r="A18" s="1280"/>
      <c r="B18" s="1281"/>
      <c r="C18" s="1282"/>
      <c r="D18" s="2482"/>
      <c r="E18" s="2482"/>
      <c r="F18" s="2482"/>
    </row>
    <row r="19" spans="1:6" ht="20.65" customHeight="1" x14ac:dyDescent="0.2">
      <c r="A19" s="1280"/>
      <c r="B19" s="1281"/>
      <c r="C19" s="1282"/>
      <c r="D19" s="2482"/>
      <c r="E19" s="2482"/>
      <c r="F19" s="2482"/>
    </row>
    <row r="20" spans="1:6" ht="20.65" customHeight="1" x14ac:dyDescent="0.2">
      <c r="A20" s="1280"/>
      <c r="B20" s="1281"/>
      <c r="C20" s="1282"/>
      <c r="D20" s="2482"/>
      <c r="E20" s="2482"/>
      <c r="F20" s="2482"/>
    </row>
    <row r="21" spans="1:6" ht="20.65" customHeight="1" x14ac:dyDescent="0.2">
      <c r="A21" s="1280"/>
      <c r="B21" s="1281"/>
      <c r="C21" s="1282"/>
      <c r="D21" s="2482"/>
      <c r="E21" s="2482"/>
      <c r="F21" s="2482"/>
    </row>
    <row r="22" spans="1:6" ht="20.65" customHeight="1" x14ac:dyDescent="0.2">
      <c r="A22" s="1280"/>
      <c r="B22" s="1281"/>
      <c r="C22" s="1282"/>
      <c r="D22" s="2482"/>
      <c r="E22" s="2482"/>
      <c r="F22" s="2482"/>
    </row>
    <row r="23" spans="1:6" ht="20.65" customHeight="1" x14ac:dyDescent="0.2">
      <c r="A23" s="1280"/>
      <c r="B23" s="1281"/>
      <c r="C23" s="1282"/>
      <c r="D23" s="2482"/>
      <c r="E23" s="2482"/>
      <c r="F23" s="2482"/>
    </row>
    <row r="24" spans="1:6" ht="20.65" customHeight="1" x14ac:dyDescent="0.2">
      <c r="A24" s="1280"/>
      <c r="B24" s="1281"/>
      <c r="C24" s="1282"/>
      <c r="D24" s="2482"/>
      <c r="E24" s="2482"/>
      <c r="F24" s="2482"/>
    </row>
    <row r="25" spans="1:6" ht="20.65" customHeight="1" x14ac:dyDescent="0.2">
      <c r="A25" s="1280"/>
      <c r="B25" s="1281"/>
      <c r="C25" s="1282"/>
      <c r="D25" s="2482"/>
      <c r="E25" s="2482"/>
      <c r="F25" s="2482"/>
    </row>
    <row r="26" spans="1:6" ht="20.65" customHeight="1" x14ac:dyDescent="0.2">
      <c r="A26" s="1280"/>
      <c r="B26" s="1281"/>
      <c r="C26" s="1282"/>
      <c r="D26" s="2482"/>
      <c r="E26" s="2482"/>
      <c r="F26" s="2482"/>
    </row>
    <row r="27" spans="1:6" ht="20.65" customHeight="1" x14ac:dyDescent="0.2">
      <c r="A27" s="1280"/>
      <c r="B27" s="1281"/>
      <c r="C27" s="1282"/>
      <c r="D27" s="2482"/>
      <c r="E27" s="2482"/>
      <c r="F27" s="2482"/>
    </row>
    <row r="28" spans="1:6" ht="20.65" customHeight="1" x14ac:dyDescent="0.2">
      <c r="A28" s="1280"/>
      <c r="B28" s="1281"/>
      <c r="C28" s="1282"/>
      <c r="D28" s="2482"/>
      <c r="E28" s="2482"/>
      <c r="F28" s="2482"/>
    </row>
    <row r="29" spans="1:6" ht="20.65" customHeight="1" x14ac:dyDescent="0.2">
      <c r="A29" s="1280"/>
      <c r="B29" s="1281"/>
      <c r="C29" s="1282"/>
      <c r="D29" s="2482"/>
      <c r="E29" s="2482"/>
      <c r="F29" s="2482"/>
    </row>
    <row r="30" spans="1:6" ht="12" customHeight="1" x14ac:dyDescent="0.2">
      <c r="A30" s="328"/>
      <c r="B30" s="328"/>
      <c r="C30" s="1460"/>
      <c r="D30" s="1901"/>
      <c r="E30" s="1283"/>
    </row>
    <row r="31" spans="1:6" ht="12" customHeight="1" x14ac:dyDescent="0.2">
      <c r="A31" s="1284" t="s">
        <v>1549</v>
      </c>
      <c r="B31" s="328"/>
      <c r="C31" s="1460"/>
      <c r="D31" s="1901"/>
      <c r="E31" s="1283"/>
    </row>
    <row r="32" spans="1:6" ht="30" customHeight="1" x14ac:dyDescent="0.2">
      <c r="A32" s="2486" t="s">
        <v>1730</v>
      </c>
      <c r="B32" s="2486"/>
      <c r="C32" s="2486"/>
      <c r="D32" s="2486"/>
      <c r="E32" s="2486"/>
      <c r="F32" s="2486"/>
    </row>
    <row r="33" spans="1:6" ht="13.5" customHeight="1" x14ac:dyDescent="0.2">
      <c r="A33" s="328" t="s">
        <v>1434</v>
      </c>
      <c r="B33" s="328"/>
      <c r="C33" s="1285">
        <v>193287</v>
      </c>
      <c r="D33" s="1901"/>
      <c r="E33" s="1283"/>
    </row>
    <row r="34" spans="1:6" ht="13.5" customHeight="1" x14ac:dyDescent="0.2">
      <c r="A34" s="328" t="s">
        <v>1836</v>
      </c>
      <c r="B34" s="328"/>
      <c r="C34" s="1286">
        <v>107101</v>
      </c>
      <c r="D34" s="1901" t="s">
        <v>1589</v>
      </c>
      <c r="E34" s="2487">
        <f>+C33+C34</f>
        <v>300388</v>
      </c>
      <c r="F34" s="2488"/>
    </row>
    <row r="35" spans="1:6" ht="12" customHeight="1" x14ac:dyDescent="0.2">
      <c r="A35" s="328"/>
      <c r="B35" s="328"/>
      <c r="C35" s="1902"/>
      <c r="D35" s="1901"/>
      <c r="E35" s="1287"/>
      <c r="F35" s="1288"/>
    </row>
    <row r="36" spans="1:6" ht="13.5" customHeight="1" x14ac:dyDescent="0.2">
      <c r="A36" s="1284" t="s">
        <v>1550</v>
      </c>
      <c r="B36" s="328"/>
      <c r="C36" s="1460"/>
      <c r="D36" s="1901"/>
      <c r="E36" s="1283"/>
    </row>
    <row r="37" spans="1:6" ht="14.25" customHeight="1" x14ac:dyDescent="0.2">
      <c r="A37" s="328" t="s">
        <v>1484</v>
      </c>
      <c r="B37" s="328"/>
      <c r="C37" s="1903"/>
      <c r="D37" s="1901"/>
      <c r="E37" s="1283"/>
    </row>
    <row r="38" spans="1:6" ht="14.25" customHeight="1" x14ac:dyDescent="0.2">
      <c r="A38" s="328"/>
      <c r="B38" s="328" t="s">
        <v>1435</v>
      </c>
      <c r="C38" s="1289">
        <v>0</v>
      </c>
      <c r="D38" s="1901"/>
      <c r="E38" s="1283"/>
    </row>
    <row r="39" spans="1:6" ht="14.25" customHeight="1" x14ac:dyDescent="0.2">
      <c r="A39" s="328"/>
      <c r="B39" s="328" t="s">
        <v>1436</v>
      </c>
      <c r="C39" s="1289">
        <v>0</v>
      </c>
      <c r="D39" s="1901"/>
      <c r="E39" s="1283"/>
    </row>
    <row r="40" spans="1:6" ht="14.25" customHeight="1" x14ac:dyDescent="0.2">
      <c r="A40" s="328"/>
      <c r="B40" s="328" t="s">
        <v>1437</v>
      </c>
      <c r="C40" s="1289">
        <v>0</v>
      </c>
      <c r="D40" s="1901"/>
      <c r="E40" s="1283"/>
    </row>
    <row r="41" spans="1:6" ht="14.25" customHeight="1" x14ac:dyDescent="0.2">
      <c r="A41" s="328"/>
      <c r="B41" s="328" t="s">
        <v>1438</v>
      </c>
      <c r="C41" s="1289">
        <v>0</v>
      </c>
      <c r="D41" s="1901"/>
      <c r="E41" s="1283"/>
    </row>
    <row r="42" spans="1:6" ht="14.25" customHeight="1" x14ac:dyDescent="0.2">
      <c r="A42" s="328" t="s">
        <v>1439</v>
      </c>
      <c r="B42" s="328"/>
      <c r="C42" s="1899">
        <v>0</v>
      </c>
      <c r="D42" s="1901"/>
      <c r="E42" s="1283"/>
    </row>
    <row r="43" spans="1:6" ht="14.25" customHeight="1" x14ac:dyDescent="0.2">
      <c r="A43" s="328" t="s">
        <v>1440</v>
      </c>
      <c r="B43" s="328"/>
      <c r="C43" s="1290" t="s">
        <v>383</v>
      </c>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9" t="s">
        <v>1590</v>
      </c>
      <c r="C49" s="2489"/>
      <c r="D49" s="2489"/>
      <c r="E49" s="1394"/>
    </row>
    <row r="50" spans="1:5" s="1297" customFormat="1" ht="3.75" customHeight="1" x14ac:dyDescent="0.2">
      <c r="A50" s="1296"/>
      <c r="B50" s="1843"/>
      <c r="C50" s="1843"/>
      <c r="D50" s="1843"/>
      <c r="E50" s="1394"/>
    </row>
    <row r="51" spans="1:5" s="1297" customFormat="1" ht="20.25" customHeight="1" x14ac:dyDescent="0.2">
      <c r="A51" s="1298">
        <v>6</v>
      </c>
      <c r="B51" s="2485" t="s">
        <v>1551</v>
      </c>
      <c r="C51" s="2485"/>
      <c r="D51" s="2485"/>
    </row>
    <row r="52" spans="1:5" ht="14.25" customHeight="1" x14ac:dyDescent="0.2">
      <c r="A52" s="1298"/>
      <c r="B52" s="2485"/>
      <c r="C52" s="2485"/>
      <c r="D52" s="248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election activeCell="A44" sqref="A44:XFD44"/>
    </sheetView>
  </sheetViews>
  <sheetFormatPr defaultColWidth="9.140625" defaultRowHeight="12.75" x14ac:dyDescent="0.2"/>
  <cols>
    <col min="1" max="1" width="1.42578125" style="1297"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Township HSD 211</v>
      </c>
      <c r="C1" s="2495"/>
      <c r="D1" s="2495"/>
      <c r="E1" s="2495"/>
      <c r="F1" s="2495"/>
      <c r="G1" s="2495"/>
      <c r="H1" s="2495"/>
      <c r="I1" s="2495"/>
      <c r="J1" s="1404"/>
    </row>
    <row r="2" spans="2:10" s="317" customFormat="1" ht="12.75" customHeight="1" x14ac:dyDescent="0.2">
      <c r="B2" s="2496">
        <f>'Single Audit Cover'!E7</f>
        <v>5016211017</v>
      </c>
      <c r="C2" s="2497"/>
      <c r="D2" s="2497"/>
      <c r="E2" s="2497"/>
      <c r="F2" s="2497"/>
      <c r="G2" s="2497"/>
      <c r="H2" s="2497"/>
      <c r="I2" s="2497"/>
      <c r="J2" s="1404"/>
    </row>
    <row r="3" spans="2:10" s="317" customFormat="1" ht="12.75" customHeight="1" x14ac:dyDescent="0.2">
      <c r="B3" s="2498" t="s">
        <v>1285</v>
      </c>
      <c r="C3" s="2499"/>
      <c r="D3" s="2499"/>
      <c r="E3" s="2499"/>
      <c r="F3" s="2499"/>
      <c r="G3" s="2499"/>
      <c r="H3" s="2499"/>
      <c r="I3" s="2499"/>
      <c r="J3" s="1405"/>
    </row>
    <row r="4" spans="2:10" s="317" customFormat="1" ht="12.75" customHeight="1" x14ac:dyDescent="0.2">
      <c r="B4" s="2498" t="str">
        <f>'Single Audit Cover'!A4</f>
        <v>Year Ending June 30, 2019</v>
      </c>
      <c r="C4" s="2499"/>
      <c r="D4" s="2499"/>
      <c r="E4" s="2499"/>
      <c r="F4" s="2499"/>
      <c r="G4" s="2499"/>
      <c r="H4" s="2499"/>
      <c r="I4" s="2499"/>
    </row>
    <row r="5" spans="2:10" s="317" customFormat="1" ht="6.2" customHeight="1" x14ac:dyDescent="0.2">
      <c r="B5" s="1406" t="s">
        <v>1169</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98" t="s">
        <v>1284</v>
      </c>
      <c r="C7" s="2499"/>
      <c r="D7" s="2499"/>
      <c r="E7" s="2499"/>
      <c r="F7" s="2499"/>
      <c r="G7" s="2499"/>
      <c r="H7" s="2499"/>
      <c r="I7" s="2499"/>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5"/>
    </row>
    <row r="11" spans="2:10" s="317" customFormat="1" ht="13.5" customHeight="1" x14ac:dyDescent="0.2">
      <c r="B11" s="1344" t="s">
        <v>1282</v>
      </c>
      <c r="C11" s="2500" t="s">
        <v>2157</v>
      </c>
      <c r="D11" s="2500"/>
      <c r="E11" s="1414"/>
      <c r="F11" s="1414"/>
      <c r="G11" s="1414"/>
    </row>
    <row r="12" spans="2:10" s="317" customFormat="1" ht="11.45" customHeight="1" x14ac:dyDescent="0.2">
      <c r="B12" s="1352"/>
      <c r="C12" s="1415" t="s">
        <v>1442</v>
      </c>
      <c r="D12" s="1416"/>
      <c r="E12" s="1255"/>
    </row>
    <row r="13" spans="2:10" s="317" customFormat="1" ht="12.75" customHeight="1" x14ac:dyDescent="0.2">
      <c r="B13" s="1417"/>
      <c r="C13" s="1382"/>
      <c r="D13" s="1382"/>
      <c r="E13" s="1255"/>
    </row>
    <row r="14" spans="2:10" s="317" customFormat="1" ht="12.75" customHeight="1" x14ac:dyDescent="0.2">
      <c r="B14" s="1363" t="s">
        <v>1281</v>
      </c>
      <c r="C14" s="1279"/>
      <c r="E14" s="1255"/>
    </row>
    <row r="15" spans="2:10" s="317" customFormat="1" ht="13.5" customHeight="1" x14ac:dyDescent="0.2">
      <c r="B15" s="1418" t="s">
        <v>1278</v>
      </c>
      <c r="C15" s="1419"/>
      <c r="D15" s="1393"/>
      <c r="E15" s="1420"/>
      <c r="F15" s="1297" t="s">
        <v>885</v>
      </c>
      <c r="G15" s="1420" t="s">
        <v>2067</v>
      </c>
      <c r="H15" s="1297" t="s">
        <v>1276</v>
      </c>
      <c r="I15" s="1297"/>
    </row>
    <row r="16" spans="2:10" s="317" customFormat="1" ht="8.4499999999999993" customHeight="1" x14ac:dyDescent="0.2">
      <c r="B16" s="1363"/>
      <c r="C16" s="1279"/>
      <c r="E16" s="1378"/>
      <c r="F16" s="1297"/>
      <c r="G16" s="322"/>
      <c r="H16" s="1297"/>
      <c r="I16" s="1297"/>
    </row>
    <row r="17" spans="2:9" s="317" customFormat="1" ht="13.5" customHeight="1" x14ac:dyDescent="0.2">
      <c r="B17" s="1418" t="s">
        <v>1277</v>
      </c>
      <c r="C17" s="1419"/>
      <c r="D17" s="1393"/>
      <c r="E17" s="1421"/>
      <c r="F17" s="1254"/>
      <c r="G17" s="1421"/>
      <c r="H17" s="1297"/>
      <c r="I17" s="1297"/>
    </row>
    <row r="18" spans="2:9" s="317" customFormat="1" ht="12.75" customHeight="1" x14ac:dyDescent="0.2">
      <c r="B18" s="1418" t="s">
        <v>1443</v>
      </c>
      <c r="C18" s="1419"/>
      <c r="D18" s="1393"/>
      <c r="E18" s="1420"/>
      <c r="F18" s="1297" t="s">
        <v>885</v>
      </c>
      <c r="G18" s="1420" t="s">
        <v>2067</v>
      </c>
      <c r="H18" s="1297" t="s">
        <v>1276</v>
      </c>
      <c r="I18" s="1297"/>
    </row>
    <row r="19" spans="2:9" s="317" customFormat="1" ht="8.4499999999999993" customHeight="1" x14ac:dyDescent="0.2">
      <c r="B19" s="1363"/>
      <c r="C19" s="1279"/>
      <c r="E19" s="1378"/>
      <c r="F19" s="1297"/>
      <c r="G19" s="322"/>
      <c r="H19" s="1297"/>
      <c r="I19" s="1297"/>
    </row>
    <row r="20" spans="2:9" s="317" customFormat="1" ht="13.5" customHeight="1" x14ac:dyDescent="0.2">
      <c r="B20" s="1418" t="s">
        <v>1591</v>
      </c>
      <c r="C20" s="1419"/>
      <c r="D20" s="1393"/>
      <c r="E20" s="1420"/>
      <c r="F20" s="1297" t="s">
        <v>885</v>
      </c>
      <c r="G20" s="1420" t="s">
        <v>2067</v>
      </c>
      <c r="H20" s="1297" t="s">
        <v>99</v>
      </c>
      <c r="I20" s="1297"/>
    </row>
    <row r="21" spans="2:9" s="317" customFormat="1" ht="12.75" customHeight="1" x14ac:dyDescent="0.2">
      <c r="B21" s="1363"/>
      <c r="C21" s="1279"/>
      <c r="E21" s="1378"/>
      <c r="F21" s="1297"/>
      <c r="G21" s="322"/>
      <c r="H21" s="1297"/>
      <c r="I21" s="1297"/>
    </row>
    <row r="22" spans="2:9" s="317" customFormat="1" ht="12.75" customHeight="1" x14ac:dyDescent="0.2">
      <c r="B22" s="1412" t="s">
        <v>1280</v>
      </c>
      <c r="C22" s="1422"/>
      <c r="D22" s="1413"/>
      <c r="E22" s="1378"/>
      <c r="F22" s="1297"/>
      <c r="G22" s="322"/>
      <c r="H22" s="1297"/>
      <c r="I22" s="1297"/>
    </row>
    <row r="23" spans="2:9" s="317" customFormat="1" ht="12.75" customHeight="1" x14ac:dyDescent="0.2">
      <c r="B23" s="1363" t="s">
        <v>1279</v>
      </c>
      <c r="C23" s="1279"/>
      <c r="E23" s="1378"/>
      <c r="F23" s="1297"/>
      <c r="G23" s="322"/>
      <c r="H23" s="1297"/>
      <c r="I23" s="1297"/>
    </row>
    <row r="24" spans="2:9" s="317" customFormat="1" ht="13.5" customHeight="1" x14ac:dyDescent="0.2">
      <c r="B24" s="1418" t="s">
        <v>1278</v>
      </c>
      <c r="C24" s="1419"/>
      <c r="D24" s="1393"/>
      <c r="E24" s="1420"/>
      <c r="F24" s="1297" t="s">
        <v>885</v>
      </c>
      <c r="G24" s="1420" t="s">
        <v>2067</v>
      </c>
      <c r="H24" s="1297" t="s">
        <v>1276</v>
      </c>
      <c r="I24" s="1297"/>
    </row>
    <row r="25" spans="2:9" s="317" customFormat="1" ht="8.4499999999999993" customHeight="1" x14ac:dyDescent="0.2">
      <c r="B25" s="1363"/>
      <c r="C25" s="1279"/>
      <c r="E25" s="1378"/>
      <c r="F25" s="1297"/>
      <c r="G25" s="322"/>
      <c r="H25" s="1297"/>
      <c r="I25" s="1297"/>
    </row>
    <row r="26" spans="2:9" s="317" customFormat="1" ht="13.5" customHeight="1" x14ac:dyDescent="0.2">
      <c r="B26" s="1418" t="s">
        <v>1277</v>
      </c>
      <c r="C26" s="1419"/>
      <c r="D26" s="1393"/>
      <c r="E26" s="1421"/>
      <c r="F26" s="1254"/>
      <c r="G26" s="1421"/>
      <c r="H26" s="1297"/>
      <c r="I26" s="1297"/>
    </row>
    <row r="27" spans="2:9" s="317" customFormat="1" ht="12.75" customHeight="1" x14ac:dyDescent="0.2">
      <c r="B27" s="1418" t="s">
        <v>1443</v>
      </c>
      <c r="C27" s="1419"/>
      <c r="D27" s="1393"/>
      <c r="E27" s="1420"/>
      <c r="F27" s="1297" t="s">
        <v>885</v>
      </c>
      <c r="G27" s="1420" t="s">
        <v>2067</v>
      </c>
      <c r="H27" s="1297" t="s">
        <v>1276</v>
      </c>
      <c r="I27" s="1297"/>
    </row>
    <row r="28" spans="2:9" s="317" customFormat="1" ht="12.75" customHeight="1" x14ac:dyDescent="0.2">
      <c r="B28" s="1363"/>
      <c r="C28" s="1279"/>
      <c r="E28" s="1255"/>
    </row>
    <row r="29" spans="2:9" s="317" customFormat="1" ht="12.75" customHeight="1" x14ac:dyDescent="0.2">
      <c r="B29" s="1363" t="s">
        <v>1275</v>
      </c>
      <c r="C29" s="1279"/>
      <c r="D29" s="2501" t="s">
        <v>2157</v>
      </c>
      <c r="E29" s="2501"/>
      <c r="F29" s="2501"/>
      <c r="G29" s="2501"/>
      <c r="H29" s="2501"/>
      <c r="I29" s="2501"/>
    </row>
    <row r="30" spans="2:9" s="317" customFormat="1" x14ac:dyDescent="0.2">
      <c r="B30" s="1363"/>
      <c r="C30" s="322"/>
      <c r="D30" s="1415" t="s">
        <v>1746</v>
      </c>
      <c r="E30" s="1416"/>
      <c r="F30" s="1416"/>
      <c r="G30" s="1416"/>
      <c r="H30" s="1416"/>
      <c r="I30" s="1416"/>
    </row>
    <row r="31" spans="2:9" s="317" customFormat="1" ht="9.9499999999999993" customHeight="1" x14ac:dyDescent="0.2">
      <c r="B31" s="1363"/>
      <c r="E31" s="1255"/>
    </row>
    <row r="32" spans="2:9" s="317" customFormat="1" x14ac:dyDescent="0.2">
      <c r="B32" s="1363" t="s">
        <v>1274</v>
      </c>
      <c r="C32" s="1279"/>
      <c r="E32" s="1255"/>
    </row>
    <row r="33" spans="2:9" ht="13.5" customHeight="1" x14ac:dyDescent="0.2">
      <c r="B33" s="1363" t="s">
        <v>1552</v>
      </c>
      <c r="C33" s="1279"/>
      <c r="E33" s="1420"/>
      <c r="F33" s="1297" t="s">
        <v>885</v>
      </c>
      <c r="G33" s="1420" t="s">
        <v>2067</v>
      </c>
      <c r="H33" s="1297" t="s">
        <v>99</v>
      </c>
    </row>
    <row r="35" spans="2:9" x14ac:dyDescent="0.2">
      <c r="B35" s="1423" t="s">
        <v>1747</v>
      </c>
      <c r="C35" s="1424"/>
      <c r="D35" s="1264"/>
    </row>
    <row r="36" spans="2:9" ht="6" customHeight="1" x14ac:dyDescent="0.2">
      <c r="B36" s="1423"/>
      <c r="C36" s="1424"/>
      <c r="D36" s="1264"/>
    </row>
    <row r="37" spans="2:9" ht="17.25" customHeight="1" x14ac:dyDescent="0.2">
      <c r="B37" s="1425" t="s">
        <v>1748</v>
      </c>
      <c r="C37" s="2502" t="s">
        <v>1749</v>
      </c>
      <c r="D37" s="2503"/>
      <c r="E37" s="2503"/>
      <c r="F37" s="2504"/>
      <c r="G37" s="2502" t="s">
        <v>1592</v>
      </c>
      <c r="H37" s="2503"/>
      <c r="I37" s="2504"/>
    </row>
    <row r="38" spans="2:9" ht="16.5" customHeight="1" x14ac:dyDescent="0.2">
      <c r="B38" s="1426" t="s">
        <v>2158</v>
      </c>
      <c r="C38" s="2490" t="s">
        <v>2159</v>
      </c>
      <c r="D38" s="2491"/>
      <c r="E38" s="2491"/>
      <c r="F38" s="2492"/>
      <c r="G38" s="2505">
        <v>2440348</v>
      </c>
      <c r="H38" s="2506"/>
      <c r="I38" s="2507"/>
    </row>
    <row r="39" spans="2:9" ht="16.5" customHeight="1" x14ac:dyDescent="0.2">
      <c r="B39" s="1426"/>
      <c r="C39" s="2490"/>
      <c r="D39" s="2491"/>
      <c r="E39" s="2491"/>
      <c r="F39" s="2492"/>
      <c r="G39" s="2493"/>
      <c r="H39" s="2493"/>
      <c r="I39" s="2493"/>
    </row>
    <row r="40" spans="2:9" ht="16.5" customHeight="1" x14ac:dyDescent="0.2">
      <c r="B40" s="1426"/>
      <c r="C40" s="2490"/>
      <c r="D40" s="2491"/>
      <c r="E40" s="2491"/>
      <c r="F40" s="2492"/>
      <c r="G40" s="2493"/>
      <c r="H40" s="2493"/>
      <c r="I40" s="2493"/>
    </row>
    <row r="41" spans="2:9" ht="16.5" customHeight="1" x14ac:dyDescent="0.2">
      <c r="B41" s="1426"/>
      <c r="C41" s="2490"/>
      <c r="D41" s="2491"/>
      <c r="E41" s="2491"/>
      <c r="F41" s="2492"/>
      <c r="G41" s="2493"/>
      <c r="H41" s="2493"/>
      <c r="I41" s="2493"/>
    </row>
    <row r="42" spans="2:9" ht="16.5" customHeight="1" x14ac:dyDescent="0.2">
      <c r="B42" s="1426"/>
      <c r="C42" s="2490"/>
      <c r="D42" s="2491"/>
      <c r="E42" s="2491"/>
      <c r="F42" s="2492"/>
      <c r="G42" s="2493"/>
      <c r="H42" s="2493"/>
      <c r="I42" s="2493"/>
    </row>
    <row r="43" spans="2:9" ht="16.5" customHeight="1" x14ac:dyDescent="0.2">
      <c r="B43" s="1426"/>
      <c r="C43" s="2508" t="s">
        <v>1593</v>
      </c>
      <c r="D43" s="2509"/>
      <c r="E43" s="2509"/>
      <c r="F43" s="2510"/>
      <c r="G43" s="2511">
        <f>SUM(G38:I42)</f>
        <v>2440348</v>
      </c>
      <c r="H43" s="2511"/>
      <c r="I43" s="2511"/>
    </row>
    <row r="44" spans="2:9" ht="4.5" customHeight="1" x14ac:dyDescent="0.2"/>
    <row r="45" spans="2:9" ht="12.75" customHeight="1" x14ac:dyDescent="0.2">
      <c r="B45" s="1417" t="s">
        <v>2060</v>
      </c>
      <c r="D45" s="2512">
        <v>8085994</v>
      </c>
      <c r="E45" s="2513"/>
    </row>
    <row r="46" spans="2:9" ht="5.25" customHeight="1" x14ac:dyDescent="0.2">
      <c r="B46" s="1427"/>
      <c r="D46" s="1428"/>
      <c r="E46" s="1429"/>
    </row>
    <row r="47" spans="2:9" ht="12.75" customHeight="1" x14ac:dyDescent="0.2">
      <c r="B47" s="1297" t="s">
        <v>1594</v>
      </c>
      <c r="C47" s="1297"/>
      <c r="D47" s="1430">
        <f>+G43/D45</f>
        <v>0.30179938298247561</v>
      </c>
      <c r="E47" s="1431"/>
      <c r="F47" s="1432"/>
      <c r="I47" s="1433"/>
    </row>
    <row r="48" spans="2:9" ht="9.9499999999999993" customHeight="1" x14ac:dyDescent="0.2"/>
    <row r="49" spans="1:9" x14ac:dyDescent="0.2">
      <c r="B49" s="1363" t="s">
        <v>1273</v>
      </c>
      <c r="C49" s="1279"/>
      <c r="D49" s="1279"/>
      <c r="E49" s="2514">
        <v>750000</v>
      </c>
      <c r="F49" s="2514"/>
      <c r="G49" s="2514"/>
      <c r="H49" s="322"/>
    </row>
    <row r="51" spans="1:9" ht="13.5" customHeight="1" x14ac:dyDescent="0.2">
      <c r="B51" s="1363" t="s">
        <v>1272</v>
      </c>
      <c r="C51" s="1279"/>
      <c r="E51" s="1420" t="s">
        <v>2067</v>
      </c>
      <c r="F51" s="1297" t="s">
        <v>885</v>
      </c>
      <c r="G51" s="1420"/>
      <c r="H51" s="1297" t="s">
        <v>99</v>
      </c>
    </row>
    <row r="52" spans="1:9" x14ac:dyDescent="0.2">
      <c r="B52" s="1355"/>
      <c r="C52" s="1294"/>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1750</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1751</v>
      </c>
      <c r="C58" s="1446"/>
      <c r="D58" s="1446"/>
    </row>
    <row r="59" spans="1:9" s="1443" customFormat="1" ht="3.95" customHeight="1" x14ac:dyDescent="0.2">
      <c r="A59" s="1440"/>
      <c r="B59" s="1445"/>
      <c r="C59" s="1446"/>
      <c r="D59" s="1446"/>
    </row>
    <row r="60" spans="1:9" s="1443" customFormat="1" ht="13.5" customHeight="1" x14ac:dyDescent="0.2">
      <c r="A60" s="1440"/>
      <c r="B60" s="1445" t="s">
        <v>1752</v>
      </c>
      <c r="C60" s="1446"/>
      <c r="D60" s="1446"/>
    </row>
    <row r="61" spans="1:9" s="1443" customFormat="1" ht="3.95" customHeight="1" x14ac:dyDescent="0.2">
      <c r="A61" s="1440"/>
      <c r="B61" s="1445"/>
      <c r="C61" s="1446"/>
      <c r="D61" s="1446"/>
    </row>
    <row r="62" spans="1:9" s="1443" customFormat="1" ht="12.75" customHeight="1" x14ac:dyDescent="0.2">
      <c r="A62" s="1440"/>
      <c r="B62" s="1445" t="s">
        <v>1753</v>
      </c>
      <c r="C62" s="1446"/>
      <c r="D62" s="1446"/>
    </row>
    <row r="63" spans="1:9" s="1443" customFormat="1" ht="13.5" customHeight="1" x14ac:dyDescent="0.2">
      <c r="A63" s="1440"/>
      <c r="B63" s="1444" t="s">
        <v>1597</v>
      </c>
      <c r="C63" s="1440"/>
      <c r="D63" s="144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Township HSD 211</v>
      </c>
      <c r="C1" s="2494"/>
      <c r="D1" s="2494"/>
      <c r="E1" s="2494"/>
      <c r="F1" s="2494"/>
      <c r="G1" s="2494"/>
      <c r="H1" s="2494"/>
      <c r="I1" s="2494"/>
      <c r="J1" s="2494"/>
      <c r="K1" s="2494"/>
      <c r="L1" s="1369"/>
      <c r="M1" s="1369"/>
    </row>
    <row r="2" spans="1:13" ht="12" customHeight="1" x14ac:dyDescent="0.2">
      <c r="B2" s="2496">
        <f>'Single Audit Cover'!E7</f>
        <v>5016211017</v>
      </c>
      <c r="C2" s="2496"/>
      <c r="D2" s="2496"/>
      <c r="E2" s="2496"/>
      <c r="F2" s="2496"/>
      <c r="G2" s="2496"/>
      <c r="H2" s="2496"/>
      <c r="I2" s="2496"/>
      <c r="J2" s="2496"/>
      <c r="K2" s="2496"/>
      <c r="L2" s="1370"/>
      <c r="M2" s="1371"/>
    </row>
    <row r="3" spans="1:13" ht="10.35" customHeight="1" x14ac:dyDescent="0.2">
      <c r="B3" s="2517" t="s">
        <v>1285</v>
      </c>
      <c r="C3" s="2517"/>
      <c r="D3" s="2517"/>
      <c r="E3" s="2517"/>
      <c r="F3" s="2517"/>
      <c r="G3" s="2517"/>
      <c r="H3" s="2517"/>
      <c r="I3" s="2517"/>
      <c r="J3" s="2517"/>
      <c r="K3" s="2517"/>
      <c r="L3" s="1372"/>
      <c r="M3" s="1372"/>
    </row>
    <row r="4" spans="1:13" ht="14.25" customHeight="1" x14ac:dyDescent="0.2">
      <c r="B4" s="2518" t="str">
        <f>'Single Audit Cover'!A4</f>
        <v>Year Ending June 30, 2019</v>
      </c>
      <c r="C4" s="2518"/>
      <c r="D4" s="2518"/>
      <c r="E4" s="2518"/>
      <c r="F4" s="2518"/>
      <c r="G4" s="2518"/>
      <c r="H4" s="2518"/>
      <c r="I4" s="2518"/>
      <c r="J4" s="2518"/>
      <c r="K4" s="2518"/>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518" t="s">
        <v>1296</v>
      </c>
      <c r="C7" s="2518"/>
      <c r="D7" s="2519"/>
      <c r="E7" s="2519"/>
      <c r="F7" s="2519"/>
      <c r="G7" s="2519"/>
      <c r="H7" s="2519"/>
      <c r="I7" s="2519"/>
      <c r="J7" s="2519"/>
      <c r="K7" s="251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1740</v>
      </c>
      <c r="C10" s="1380" t="s">
        <v>1987</v>
      </c>
      <c r="D10" s="1381" t="s">
        <v>2160</v>
      </c>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516"/>
      <c r="C14" s="2516"/>
      <c r="D14" s="2516"/>
      <c r="E14" s="2516"/>
      <c r="F14" s="2516"/>
      <c r="G14" s="2516"/>
      <c r="H14" s="2516"/>
      <c r="I14" s="2516"/>
      <c r="J14" s="2516"/>
      <c r="K14" s="2516"/>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516"/>
      <c r="C17" s="2516"/>
      <c r="D17" s="2516"/>
      <c r="E17" s="2516"/>
      <c r="F17" s="2516"/>
      <c r="G17" s="2516"/>
      <c r="H17" s="2516"/>
      <c r="I17" s="2516"/>
      <c r="J17" s="2516"/>
      <c r="K17" s="2516"/>
      <c r="L17" s="1376"/>
    </row>
    <row r="18" spans="2:12" ht="4.5" customHeight="1" x14ac:dyDescent="0.2">
      <c r="B18" s="1393"/>
      <c r="C18" s="1393"/>
      <c r="L18" s="1376"/>
    </row>
    <row r="19" spans="2:12" s="1279" customFormat="1" ht="13.5" customHeight="1" x14ac:dyDescent="0.2">
      <c r="B19" s="1388" t="s">
        <v>1741</v>
      </c>
      <c r="C19" s="1388"/>
      <c r="D19" s="1389"/>
      <c r="E19" s="1389"/>
      <c r="F19" s="1389"/>
      <c r="G19" s="1390"/>
      <c r="H19" s="1389"/>
      <c r="I19" s="1390"/>
      <c r="J19" s="1389"/>
      <c r="K19" s="1389"/>
      <c r="L19" s="1391"/>
    </row>
    <row r="20" spans="2:12" ht="45.75" customHeight="1" x14ac:dyDescent="0.2">
      <c r="B20" s="2520"/>
      <c r="C20" s="2520"/>
      <c r="D20" s="2516"/>
      <c r="E20" s="2516"/>
      <c r="F20" s="2516"/>
      <c r="G20" s="2516"/>
      <c r="H20" s="2516"/>
      <c r="I20" s="2516"/>
      <c r="J20" s="2516"/>
      <c r="K20" s="2516"/>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516"/>
      <c r="C23" s="2516"/>
      <c r="D23" s="2516"/>
      <c r="E23" s="2516"/>
      <c r="F23" s="2516"/>
      <c r="G23" s="2516"/>
      <c r="H23" s="2516"/>
      <c r="I23" s="2516"/>
      <c r="J23" s="2516"/>
      <c r="K23" s="2516"/>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516"/>
      <c r="C26" s="2516"/>
      <c r="D26" s="2516"/>
      <c r="E26" s="2516"/>
      <c r="F26" s="2516"/>
      <c r="G26" s="2516"/>
      <c r="H26" s="2516"/>
      <c r="I26" s="2516"/>
      <c r="J26" s="2516"/>
      <c r="K26" s="2516"/>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515"/>
      <c r="C29" s="2515"/>
      <c r="D29" s="2516"/>
      <c r="E29" s="2516"/>
      <c r="F29" s="2516"/>
      <c r="G29" s="2516"/>
      <c r="H29" s="2516"/>
      <c r="I29" s="2516"/>
      <c r="J29" s="2516"/>
      <c r="K29" s="2516"/>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1742</v>
      </c>
      <c r="C31" s="1398"/>
      <c r="D31" s="1373"/>
      <c r="E31" s="1374"/>
      <c r="F31" s="1374"/>
      <c r="G31" s="1375"/>
      <c r="H31" s="1374"/>
      <c r="I31" s="1375"/>
      <c r="J31" s="1374"/>
      <c r="K31" s="1374"/>
      <c r="L31" s="1376"/>
    </row>
    <row r="32" spans="2:12" s="322" customFormat="1" ht="44.25" customHeight="1" x14ac:dyDescent="0.2">
      <c r="B32" s="2515"/>
      <c r="C32" s="2515"/>
      <c r="D32" s="2516"/>
      <c r="E32" s="2516"/>
      <c r="F32" s="2516"/>
      <c r="G32" s="2516"/>
      <c r="H32" s="2516"/>
      <c r="I32" s="2516"/>
      <c r="J32" s="2516"/>
      <c r="K32" s="2516"/>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1743</v>
      </c>
      <c r="C35" s="1401"/>
      <c r="D35" s="322"/>
      <c r="E35" s="322"/>
      <c r="F35" s="322"/>
      <c r="L35" s="1376"/>
    </row>
    <row r="36" spans="1:13" ht="9.6" customHeight="1" x14ac:dyDescent="0.2">
      <c r="B36" s="1297" t="s">
        <v>1839</v>
      </c>
      <c r="C36" s="1297"/>
      <c r="L36" s="1376"/>
    </row>
    <row r="37" spans="1:13" ht="9.6" customHeight="1" x14ac:dyDescent="0.2">
      <c r="B37" s="1297" t="s">
        <v>1840</v>
      </c>
      <c r="C37" s="1297"/>
    </row>
    <row r="38" spans="1:13" ht="11.85" customHeight="1" x14ac:dyDescent="0.2">
      <c r="B38" s="1402" t="s">
        <v>1744</v>
      </c>
      <c r="C38" s="1402"/>
    </row>
    <row r="39" spans="1:13" ht="9.6" customHeight="1" x14ac:dyDescent="0.2">
      <c r="B39" s="1297" t="s">
        <v>1286</v>
      </c>
      <c r="C39" s="1297"/>
      <c r="M39" s="1403"/>
    </row>
    <row r="40" spans="1:13" ht="12.6" customHeight="1" x14ac:dyDescent="0.2">
      <c r="B40" s="1402" t="s">
        <v>1745</v>
      </c>
      <c r="C40" s="1402"/>
      <c r="M40" s="1403"/>
    </row>
    <row r="41" spans="1:13" ht="9.6" customHeight="1" x14ac:dyDescent="0.2">
      <c r="B41" s="1297"/>
      <c r="C41" s="1297"/>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Township HSD 211</v>
      </c>
      <c r="C1" s="2521"/>
      <c r="D1" s="2521"/>
      <c r="E1" s="2521"/>
      <c r="F1" s="2521"/>
      <c r="G1" s="2521"/>
      <c r="H1" s="2521"/>
      <c r="I1" s="2521"/>
      <c r="J1" s="2521"/>
      <c r="K1" s="2521"/>
      <c r="L1" s="1447"/>
    </row>
    <row r="2" spans="1:12" ht="12.75" customHeight="1" x14ac:dyDescent="0.2">
      <c r="B2" s="2522">
        <f>'Single Audit Cover'!E7</f>
        <v>5016211017</v>
      </c>
      <c r="C2" s="2522"/>
      <c r="D2" s="2522"/>
      <c r="E2" s="2522"/>
      <c r="F2" s="2522"/>
      <c r="G2" s="2522"/>
      <c r="H2" s="2522"/>
      <c r="I2" s="2522"/>
      <c r="J2" s="2522"/>
      <c r="K2" s="2522"/>
      <c r="L2" s="1448"/>
    </row>
    <row r="3" spans="1:12" ht="12.75" customHeight="1" x14ac:dyDescent="0.2">
      <c r="B3" s="2517" t="s">
        <v>1285</v>
      </c>
      <c r="C3" s="2517"/>
      <c r="D3" s="2517"/>
      <c r="E3" s="2517"/>
      <c r="F3" s="2517"/>
      <c r="G3" s="2517"/>
      <c r="H3" s="2517"/>
      <c r="I3" s="2517"/>
      <c r="J3" s="2517"/>
      <c r="K3" s="2517"/>
      <c r="L3" s="1372"/>
    </row>
    <row r="4" spans="1:12" ht="12.75" customHeight="1" x14ac:dyDescent="0.2">
      <c r="B4" s="2517" t="str">
        <f>'Single Audit Cover'!A4</f>
        <v>Year Ending June 30, 2019</v>
      </c>
      <c r="C4" s="2517"/>
      <c r="D4" s="2517"/>
      <c r="E4" s="2517"/>
      <c r="F4" s="2517"/>
      <c r="G4" s="2517"/>
      <c r="H4" s="2517"/>
      <c r="I4" s="2517"/>
      <c r="J4" s="2517"/>
      <c r="K4" s="2517"/>
      <c r="L4" s="1372"/>
    </row>
    <row r="5" spans="1:12" ht="5.25" customHeight="1" x14ac:dyDescent="0.2">
      <c r="B5" s="1257" t="s">
        <v>1169</v>
      </c>
      <c r="C5" s="1257"/>
      <c r="L5" s="322"/>
    </row>
    <row r="6" spans="1:12" ht="30.75" customHeight="1" x14ac:dyDescent="0.2">
      <c r="A6" s="322"/>
      <c r="B6" s="2523" t="s">
        <v>1308</v>
      </c>
      <c r="C6" s="2523"/>
      <c r="D6" s="2523"/>
      <c r="E6" s="2523"/>
      <c r="F6" s="2523"/>
      <c r="G6" s="2523"/>
      <c r="H6" s="2523"/>
      <c r="I6" s="2523"/>
      <c r="J6" s="2523"/>
      <c r="K6" s="2523"/>
      <c r="L6" s="322"/>
    </row>
    <row r="7" spans="1:12" ht="4.5" customHeight="1" x14ac:dyDescent="0.2">
      <c r="B7" s="1374"/>
      <c r="C7" s="1374"/>
      <c r="D7" s="1374"/>
      <c r="E7" s="1374"/>
      <c r="F7" s="1374"/>
      <c r="G7" s="1375"/>
      <c r="H7" s="1374"/>
      <c r="I7" s="1375"/>
      <c r="J7" s="1374"/>
      <c r="K7" s="1374"/>
      <c r="L7" s="322"/>
    </row>
    <row r="8" spans="1:12" ht="13.5" customHeight="1" x14ac:dyDescent="0.2">
      <c r="B8" s="1382" t="s">
        <v>1754</v>
      </c>
      <c r="C8" s="1449" t="s">
        <v>1987</v>
      </c>
      <c r="D8" s="1450" t="s">
        <v>2160</v>
      </c>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501"/>
      <c r="G12" s="2501"/>
      <c r="H12" s="2501"/>
      <c r="I12" s="2501"/>
      <c r="J12" s="2501"/>
      <c r="K12" s="2501"/>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1304</v>
      </c>
      <c r="C14" s="1382"/>
      <c r="D14" s="2524"/>
      <c r="E14" s="2524"/>
      <c r="F14" s="2524"/>
      <c r="H14" s="1457" t="s">
        <v>1303</v>
      </c>
      <c r="I14" s="2525"/>
      <c r="J14" s="2525"/>
      <c r="K14" s="2525"/>
      <c r="L14" s="322"/>
    </row>
    <row r="15" spans="1:12" ht="9.4" customHeight="1" x14ac:dyDescent="0.2">
      <c r="B15" s="1382"/>
      <c r="C15" s="1382"/>
      <c r="D15" s="1368"/>
      <c r="E15" s="1257"/>
      <c r="F15" s="1257"/>
      <c r="G15" s="1283"/>
      <c r="H15" s="1257"/>
      <c r="I15" s="1458"/>
      <c r="J15" s="1291"/>
      <c r="K15" s="1288"/>
      <c r="L15" s="322"/>
    </row>
    <row r="16" spans="1:12" ht="13.5" customHeight="1" x14ac:dyDescent="0.2">
      <c r="B16" s="1382" t="s">
        <v>1302</v>
      </c>
      <c r="C16" s="1382"/>
      <c r="D16" s="2525"/>
      <c r="E16" s="2525"/>
      <c r="F16" s="2525"/>
      <c r="G16" s="2525"/>
      <c r="H16" s="2525"/>
      <c r="I16" s="2525"/>
      <c r="J16" s="2525"/>
      <c r="K16" s="2525"/>
      <c r="L16" s="322"/>
    </row>
    <row r="17" spans="2:12" ht="13.5" customHeight="1" x14ac:dyDescent="0.2">
      <c r="B17" s="1382" t="s">
        <v>1301</v>
      </c>
      <c r="C17" s="1382"/>
      <c r="D17" s="2526"/>
      <c r="E17" s="2526"/>
      <c r="F17" s="2526"/>
      <c r="G17" s="2526"/>
      <c r="H17" s="2526"/>
      <c r="I17" s="2526"/>
      <c r="J17" s="2526"/>
      <c r="K17" s="252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516"/>
      <c r="C20" s="2516"/>
      <c r="D20" s="2516"/>
      <c r="E20" s="2516"/>
      <c r="F20" s="2516"/>
      <c r="G20" s="2516"/>
      <c r="H20" s="2516"/>
      <c r="I20" s="2516"/>
      <c r="J20" s="2516"/>
      <c r="K20" s="2516"/>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1755</v>
      </c>
      <c r="C22" s="1459"/>
      <c r="D22" s="322"/>
      <c r="E22" s="322"/>
      <c r="F22" s="322"/>
      <c r="G22" s="1378"/>
      <c r="H22" s="322"/>
      <c r="I22" s="1378"/>
      <c r="J22" s="322"/>
      <c r="K22" s="322"/>
      <c r="L22" s="322"/>
    </row>
    <row r="23" spans="2:12" ht="37.5" customHeight="1" x14ac:dyDescent="0.2">
      <c r="B23" s="2516"/>
      <c r="C23" s="2516"/>
      <c r="D23" s="2516"/>
      <c r="E23" s="2516"/>
      <c r="F23" s="2516"/>
      <c r="G23" s="2516"/>
      <c r="H23" s="2516"/>
      <c r="I23" s="2516"/>
      <c r="J23" s="2516"/>
      <c r="K23" s="2516"/>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1756</v>
      </c>
      <c r="C25" s="1459"/>
      <c r="D25" s="322"/>
      <c r="E25" s="322"/>
      <c r="F25" s="322"/>
      <c r="G25" s="1378"/>
      <c r="H25" s="322"/>
      <c r="I25" s="1378"/>
      <c r="J25" s="322"/>
      <c r="K25" s="322"/>
      <c r="L25" s="322"/>
    </row>
    <row r="26" spans="2:12" ht="37.5" customHeight="1" x14ac:dyDescent="0.2">
      <c r="B26" s="2516"/>
      <c r="C26" s="2516"/>
      <c r="D26" s="2516"/>
      <c r="E26" s="2516"/>
      <c r="F26" s="2516"/>
      <c r="G26" s="2516"/>
      <c r="H26" s="2516"/>
      <c r="I26" s="2516"/>
      <c r="J26" s="2516"/>
      <c r="K26" s="2516"/>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1757</v>
      </c>
      <c r="C28" s="1459"/>
      <c r="D28" s="322"/>
      <c r="E28" s="322"/>
      <c r="F28" s="322"/>
      <c r="G28" s="1378"/>
      <c r="H28" s="322"/>
      <c r="I28" s="1378"/>
      <c r="J28" s="322"/>
      <c r="K28" s="322"/>
      <c r="L28" s="322"/>
    </row>
    <row r="29" spans="2:12" ht="37.5" customHeight="1" x14ac:dyDescent="0.2">
      <c r="B29" s="2516"/>
      <c r="C29" s="2516"/>
      <c r="D29" s="2516"/>
      <c r="E29" s="2516"/>
      <c r="F29" s="2516"/>
      <c r="G29" s="2516"/>
      <c r="H29" s="2516"/>
      <c r="I29" s="2516"/>
      <c r="J29" s="2516"/>
      <c r="K29" s="2516"/>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516"/>
      <c r="C32" s="2516"/>
      <c r="D32" s="2516"/>
      <c r="E32" s="2516"/>
      <c r="F32" s="2516"/>
      <c r="G32" s="2516"/>
      <c r="H32" s="2516"/>
      <c r="I32" s="2516"/>
      <c r="J32" s="2516"/>
      <c r="K32" s="2516"/>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516"/>
      <c r="C35" s="2516"/>
      <c r="D35" s="2516"/>
      <c r="E35" s="2516"/>
      <c r="F35" s="2516"/>
      <c r="G35" s="2516"/>
      <c r="H35" s="2516"/>
      <c r="I35" s="2516"/>
      <c r="J35" s="2516"/>
      <c r="K35" s="2516"/>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516"/>
      <c r="C38" s="2516"/>
      <c r="D38" s="2516"/>
      <c r="E38" s="2516"/>
      <c r="F38" s="2516"/>
      <c r="G38" s="2516"/>
      <c r="H38" s="2516"/>
      <c r="I38" s="2516"/>
      <c r="J38" s="2516"/>
      <c r="K38" s="2516"/>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1758</v>
      </c>
      <c r="C40" s="1398"/>
      <c r="D40" s="1373"/>
      <c r="E40" s="1374"/>
      <c r="F40" s="1374"/>
      <c r="G40" s="1375"/>
      <c r="H40" s="1374"/>
      <c r="I40" s="1375"/>
      <c r="J40" s="1374"/>
      <c r="K40" s="1374"/>
    </row>
    <row r="41" spans="2:12" s="322" customFormat="1" ht="33.75" customHeight="1" x14ac:dyDescent="0.2">
      <c r="B41" s="2516"/>
      <c r="C41" s="2516"/>
      <c r="D41" s="2516"/>
      <c r="E41" s="2516"/>
      <c r="F41" s="2516"/>
      <c r="G41" s="2516"/>
      <c r="H41" s="2516"/>
      <c r="I41" s="2516"/>
      <c r="J41" s="2516"/>
      <c r="K41" s="2516"/>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1759</v>
      </c>
      <c r="C44" s="1401"/>
      <c r="D44" s="322"/>
      <c r="E44" s="322"/>
      <c r="F44" s="322"/>
    </row>
    <row r="45" spans="2:12" ht="10.5" customHeight="1" x14ac:dyDescent="0.2">
      <c r="B45" s="1402" t="s">
        <v>1760</v>
      </c>
      <c r="C45" s="1402"/>
      <c r="G45" s="317"/>
      <c r="I45" s="317"/>
    </row>
    <row r="46" spans="2:12" ht="11.1" customHeight="1" x14ac:dyDescent="0.2">
      <c r="B46" s="1402" t="s">
        <v>1761</v>
      </c>
      <c r="C46" s="1402"/>
      <c r="G46" s="317"/>
      <c r="I46" s="317"/>
    </row>
    <row r="47" spans="2:12" ht="11.1" customHeight="1" x14ac:dyDescent="0.2">
      <c r="B47" s="1402" t="s">
        <v>1762</v>
      </c>
      <c r="C47" s="1402"/>
      <c r="G47" s="317"/>
      <c r="I47" s="317"/>
    </row>
    <row r="48" spans="2:12" ht="11.1" customHeight="1" x14ac:dyDescent="0.2">
      <c r="B48" s="1402" t="s">
        <v>1763</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94" t="str">
        <f>'Single Audit Cover'!A7</f>
        <v>Township HSD 211</v>
      </c>
      <c r="C1" s="2494"/>
      <c r="D1" s="2494"/>
      <c r="E1" s="1467"/>
    </row>
    <row r="2" spans="2:5" s="1279" customFormat="1" ht="12.75" customHeight="1" x14ac:dyDescent="0.2">
      <c r="B2" s="2496">
        <f>'Single Audit Cover'!E7</f>
        <v>5016211017</v>
      </c>
      <c r="C2" s="2496"/>
      <c r="D2" s="2496"/>
      <c r="E2" s="1468"/>
    </row>
    <row r="3" spans="2:5" ht="12.75" customHeight="1" x14ac:dyDescent="0.2">
      <c r="B3" s="2517" t="s">
        <v>1764</v>
      </c>
      <c r="C3" s="2517"/>
      <c r="D3" s="2517"/>
      <c r="E3" s="1271"/>
    </row>
    <row r="4" spans="2:5" s="1279" customFormat="1" ht="12.75" customHeight="1" x14ac:dyDescent="0.2">
      <c r="B4" s="2527" t="str">
        <f>'Single Audit Cover'!A4</f>
        <v>Year Ending June 30, 2019</v>
      </c>
      <c r="C4" s="2527"/>
      <c r="D4" s="2527"/>
      <c r="E4" s="1469"/>
    </row>
    <row r="5" spans="2:5" s="1279" customFormat="1" ht="40.15" customHeight="1" x14ac:dyDescent="0.2">
      <c r="B5" s="1470" t="s">
        <v>1765</v>
      </c>
      <c r="C5" s="328"/>
      <c r="D5" s="328"/>
      <c r="E5" s="328"/>
    </row>
    <row r="6" spans="2:5" s="1279" customFormat="1" ht="13.5" customHeight="1" x14ac:dyDescent="0.2">
      <c r="B6" s="1471" t="s">
        <v>1315</v>
      </c>
      <c r="C6" s="1471" t="s">
        <v>1314</v>
      </c>
      <c r="D6" s="1471" t="s">
        <v>1766</v>
      </c>
    </row>
    <row r="7" spans="2:5" ht="13.5" customHeight="1" x14ac:dyDescent="0.2">
      <c r="B7" s="1472" t="s">
        <v>2155</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4" t="s">
        <v>1313</v>
      </c>
      <c r="C44" s="322"/>
    </row>
    <row r="45" spans="2:5" ht="12.2" customHeight="1" x14ac:dyDescent="0.2">
      <c r="B45" s="1481" t="s">
        <v>1767</v>
      </c>
    </row>
    <row r="46" spans="2:5" ht="12.2" customHeight="1" x14ac:dyDescent="0.2">
      <c r="B46" s="1481" t="s">
        <v>1768</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7"/>
    </row>
    <row r="69" spans="2:2" x14ac:dyDescent="0.2">
      <c r="B69" s="1297"/>
    </row>
    <row r="70" spans="2:2" x14ac:dyDescent="0.2">
      <c r="B70" s="1402"/>
    </row>
    <row r="71" spans="2:2" x14ac:dyDescent="0.2">
      <c r="B71" s="1402"/>
    </row>
    <row r="72" spans="2:2" x14ac:dyDescent="0.2">
      <c r="B72" s="1402"/>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purl.org/dc/elements/1.1/"/>
    <ds:schemaRef ds:uri="http://schemas.microsoft.com/office/2006/metadata/properties"/>
    <ds:schemaRef ds:uri="4d435f69-8686-490b-bd6d-b153bf22ab50"/>
    <ds:schemaRef ds:uri="http://schemas.microsoft.com/office/2006/documentManagement/types"/>
    <ds:schemaRef ds:uri="http://purl.org/dc/terms/"/>
    <ds:schemaRef ds:uri="http://schemas.microsoft.com/office/infopath/2007/PartnerControls"/>
    <ds:schemaRef ds:uri="6ce3111e-7420-4802-b50a-75d4e9a0b980"/>
    <ds:schemaRef ds:uri="http://schemas.openxmlformats.org/package/2006/metadata/core-properties"/>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Itemization 33</vt:lpstr>
      <vt:lpstr>AC32</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2019-12-10T15:13:08Z</cp:lastPrinted>
  <dcterms:created xsi:type="dcterms:W3CDTF">2003-10-29T19:06:34Z</dcterms:created>
  <dcterms:modified xsi:type="dcterms:W3CDTF">2019-12-27T21:35:49Z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