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79394F5-FCF3-47BF-AD48-99A3CE59F76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81029"/>
</workbook>
</file>

<file path=xl/calcChain.xml><?xml version="1.0" encoding="utf-8"?>
<calcChain xmlns="http://schemas.openxmlformats.org/spreadsheetml/2006/main">
  <c r="M23" i="184" l="1"/>
  <c r="M27" i="179"/>
  <c r="I27" i="179"/>
  <c r="G38" i="174" s="1"/>
  <c r="G27" i="179"/>
  <c r="G23" i="184" s="1"/>
  <c r="F27" i="179"/>
  <c r="F23" i="184" s="1"/>
  <c r="D35" i="171" s="1"/>
  <c r="E27" i="179"/>
  <c r="E23" i="184" s="1"/>
  <c r="L21" i="184"/>
  <c r="L20" i="184"/>
  <c r="L17" i="184"/>
  <c r="L16" i="184"/>
  <c r="L15" i="184"/>
  <c r="L13" i="184"/>
  <c r="L12" i="184"/>
  <c r="B4" i="184"/>
  <c r="M19" i="3"/>
  <c r="M17" i="3"/>
  <c r="J33" i="8"/>
  <c r="L170" i="29"/>
  <c r="H170" i="29"/>
  <c r="I39" i="3"/>
  <c r="G28" i="3"/>
  <c r="C5" i="3"/>
  <c r="C39" i="3"/>
  <c r="C9" i="3"/>
  <c r="I23" i="184" l="1"/>
  <c r="L23" i="184" l="1"/>
  <c r="D45" i="174"/>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1" i="181" l="1"/>
  <c r="G21" i="181" s="1"/>
  <c r="F22" i="181"/>
  <c r="G22" i="181" s="1"/>
  <c r="F29" i="181"/>
  <c r="G29" i="181" s="1"/>
  <c r="F24" i="181"/>
  <c r="G24" i="181" s="1"/>
  <c r="F31" i="181"/>
  <c r="G31" i="181" s="1"/>
  <c r="F23" i="181"/>
  <c r="G23" i="181" s="1"/>
  <c r="F25" i="181"/>
  <c r="G25" i="181" s="1"/>
  <c r="F32" i="181"/>
  <c r="G32" i="181" s="1"/>
  <c r="F33" i="181"/>
  <c r="G33"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5" i="179" l="1"/>
  <c r="L24" i="179"/>
  <c r="L21" i="179"/>
  <c r="L20" i="179"/>
  <c r="L19" i="179"/>
  <c r="L18" i="179"/>
  <c r="L17" i="179"/>
  <c r="L14" i="179"/>
  <c r="L13" i="179"/>
  <c r="L27" i="179" l="1"/>
  <c r="D14" i="17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J41" i="3"/>
  <c r="D6103" i="106"/>
  <c r="K76" i="4"/>
  <c r="B3586" i="106" s="1"/>
  <c r="D3586" i="106" s="1"/>
  <c r="L13" i="11"/>
  <c r="B2060" i="106" s="1"/>
  <c r="D2060" i="106" s="1"/>
  <c r="E29" i="108"/>
  <c r="L367" i="29"/>
  <c r="L342" i="29"/>
  <c r="F19" i="7"/>
  <c r="B1807" i="106" s="1"/>
  <c r="D1807" i="106" s="1"/>
  <c r="B3647" i="106"/>
  <c r="D3647" i="106" s="1"/>
  <c r="F77" i="4"/>
  <c r="B3255" i="106" s="1"/>
  <c r="D3255" i="106" s="1"/>
  <c r="G210" i="29"/>
  <c r="K184" i="29"/>
  <c r="F13" i="4" s="1"/>
  <c r="B2596" i="106" s="1"/>
  <c r="D2596" i="106" s="1"/>
  <c r="G30"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0" i="106"/>
  <c r="L16" i="11"/>
  <c r="B2061" i="106" s="1"/>
  <c r="D2061" i="106" s="1"/>
  <c r="N23" i="3"/>
  <c r="B284" i="106" s="1"/>
  <c r="D284" i="106" s="1"/>
  <c r="B1381" i="106"/>
  <c r="D1381" i="106" s="1"/>
  <c r="B1365" i="106"/>
  <c r="D1365" i="106" s="1"/>
  <c r="F65" i="34"/>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<sst xmlns="http://schemas.openxmlformats.org/spreadsheetml/2006/main" count="5247" uniqueCount="2169">
  <si>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</si>
  <si>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</si>
  <si>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</si>
  <si>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</si>
  <si>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</si>
  <si>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</si>
  <si>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</si>
  <si>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</si>
  <si>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</si>
  <si>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</si>
  <si>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</si>
  <si>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</si>
  <si>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</si>
  <si>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</si>
  <si>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</si>
  <si>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</si>
  <si>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</si>
  <si>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</si>
  <si>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</si>
  <si>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</si>
  <si>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</si>
  <si>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</si>
  <si>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</si>
  <si>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</si>
  <si>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</si>
  <si>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</si>
  <si>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</si>
  <si>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</si>
  <si>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</si>
  <si>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</si>
  <si>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</si>
  <si>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</si>
  <si>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</si>
  <si>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</si>
  <si>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</si>
  <si>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</si>
  <si>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</si>
  <si>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</si>
  <si>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</si>
  <si>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</si>
  <si>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</si>
  <si>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</si>
  <si>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</si>
  <si>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</si>
  <si>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</si>
  <si>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</si>
  <si>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</si>
  <si>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</si>
  <si>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</si>
  <si>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</si>
  <si>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</si>
  <si>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</si>
  <si>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</si>
  <si>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</si>
  <si>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</si>
  <si>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</si>
  <si>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</si>
  <si>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</si>
  <si>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</si>
  <si>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</si>
  <si>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</si>
  <si>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</si>
  <si>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</si>
  <si>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</si>
  <si>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</si>
  <si>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</si>
  <si>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</si>
  <si>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</si>
  <si>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</si>
  <si>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</si>
  <si>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</si>
  <si>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</si>
  <si>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</si>
  <si>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</si>
  <si>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</si>
  <si>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</si>
  <si>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</si>
  <si>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</si>
  <si>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</si>
  <si>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</si>
  <si>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</si>
  <si>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</si>
  <si>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</si>
  <si>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</si>
  <si>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</si>
  <si>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</si>
  <si>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</si>
  <si>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</si>
  <si>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</si>
  <si>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</si>
  <si>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</si>
  <si>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</si>
  <si>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</si>
  <si>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</si>
  <si>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</si>
  <si>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</si>
  <si>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</si>
  <si>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</si>
  <si>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</si>
  <si>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</si>
  <si>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</si>
  <si>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</si>
  <si>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</si>
  <si>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</si>
  <si>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</si>
  <si>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</si>
  <si>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</si>
  <si>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</si>
  <si>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</si>
  <si>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</si>
  <si>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</si>
  <si>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</si>
  <si>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</si>
  <si>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</si>
  <si>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</si>
  <si>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</si>
  <si>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</si>
  <si>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</si>
  <si>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</si>
  <si>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</si>
  <si>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</si>
  <si>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</si>
  <si>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</si>
  <si>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</si>
  <si>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</si>
  <si>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</si>
  <si>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</si>
  <si>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</si>
  <si>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</si>
  <si>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</si>
  <si>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</si>
  <si>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</si>
  <si>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</si>
  <si>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</si>
  <si>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</si>
  <si>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</si>
  <si>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</si>
  <si>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</si>
  <si>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</si>
  <si>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</si>
  <si>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</si>
  <si>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</si>
  <si>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</si>
  <si>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</si>
  <si>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</si>
  <si>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</si>
  <si>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</si>
  <si>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</si>
  <si>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</si>
  <si>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</si>
  <si>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</si>
  <si>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</si>
  <si>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</si>
  <si>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</si>
  <si>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</si>
  <si>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</si>
  <si>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</si>
  <si>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</si>
  <si>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</si>
  <si>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</si>
  <si>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</si>
  <si>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</si>
  <si>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</si>
  <si>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</si>
  <si>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</si>
  <si>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</si>
  <si>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</si>
  <si>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</si>
  <si>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</si>
  <si>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</si>
  <si>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</si>
  <si>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</si>
  <si>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</si>
  <si>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</si>
  <si>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</si>
  <si>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</si>
  <si>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</si>
  <si>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</si>
  <si>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</si>
  <si>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</si>
  <si>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</si>
  <si>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</si>
  <si>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</si>
  <si>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</si>
  <si>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</si>
  <si>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</si>
  <si>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</si>
  <si>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</si>
  <si>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</si>
  <si>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</si>
  <si>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</si>
  <si>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</si>
  <si>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</si>
  <si>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</si>
  <si>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</si>
  <si>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</si>
  <si>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</si>
  <si>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</si>
  <si>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</si>
  <si>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</si>
  <si>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</si>
  <si>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</si>
  <si>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</si>
  <si>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</si>
  <si>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</si>
  <si>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</si>
  <si>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</si>
  <si>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</si>
  <si>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</si>
  <si>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</si>
  <si>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</si>
  <si>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</si>
  <si>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</si>
  <si>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</si>
  <si>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</si>
  <si>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</si>
  <si>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</si>
  <si>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</si>
  <si>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</si>
  <si>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</si>
  <si>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</si>
  <si>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</si>
  <si>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</si>
  <si>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</si>
  <si>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</si>
  <si>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</si>
  <si>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</si>
  <si>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</si>
  <si>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</si>
  <si>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</si>
  <si>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</si>
  <si>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</si>
  <si>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</si>
  <si>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</si>
  <si>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</si>
  <si>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</si>
  <si>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</si>
  <si>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</si>
  <si>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</si>
  <si>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</si>
  <si>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</si>
  <si>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</si>
  <si>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</si>
  <si>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</si>
  <si>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</si>
  <si>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</si>
  <si>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</si>
  <si>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</si>
  <si>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</si>
  <si>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</si>
  <si>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</si>
  <si>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</si>
  <si>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</si>
  <si>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</si>
  <si>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</si>
  <si>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</si>
  <si>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</si>
  <si>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</si>
  <si>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</si>
  <si>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</si>
  <si>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</si>
  <si>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</si>
  <si>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</si>
  <si>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</si>
  <si>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</si>
  <si>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</si>
  <si>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</si>
  <si>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</si>
  <si>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</si>
  <si>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</si>
  <si>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</si>
  <si>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</si>
  <si>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</si>
  <si>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</si>
  <si>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</si>
  <si>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</si>
  <si>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</si>
  <si>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</si>
  <si>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</si>
  <si>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</si>
  <si>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</si>
  <si>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</si>
  <si>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</si>
  <si>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</si>
  <si>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</si>
  <si>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</si>
  <si>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</si>
  <si>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</si>
  <si>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</si>
  <si>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</si>
  <si>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</si>
  <si>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</si>
  <si>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</si>
  <si>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</si>
  <si>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</si>
  <si>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</si>
  <si>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</si>
  <si>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</si>
  <si>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</si>
  <si>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</si>
  <si>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</si>
  <si>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</si>
  <si>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</si>
  <si>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</si>
  <si>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</si>
  <si>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</si>
  <si>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</si>
  <si>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</si>
  <si>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</si>
  <si>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</si>
  <si>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</si>
  <si>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</si>
  <si>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</si>
  <si>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</si>
  <si>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</si>
  <si>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</si>
  <si>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</si>
  <si>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</si>
  <si>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</si>
  <si>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</si>
  <si>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</si>
  <si>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</si>
  <si>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</si>
  <si>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</si>
  <si>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</si>
  <si>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</si>
  <si>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</si>
  <si>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</si>
  <si>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</si>
  <si>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</si>
  <si>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</si>
  <si>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</si>
  <si>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</si>
  <si>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</si>
  <si>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</si>
  <si>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</si>
  <si>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</si>
  <si>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</si>
  <si>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</si>
  <si>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</si>
  <si>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</si>
  <si>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</si>
  <si>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</si>
  <si>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</si>
  <si>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</si>
  <si>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</si>
  <si>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</si>
  <si>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</si>
  <si>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</si>
  <si>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</si>
  <si>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</si>
  <si>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</si>
  <si>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</si>
  <si>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</si>
  <si>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</si>
  <si>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</si>
  <si>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</si>
  <si>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</si>
  <si>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</si>
  <si>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</si>
  <si>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</si>
  <si>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</si>
  <si>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</si>
  <si>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</si>
  <si>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</si>
  <si>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</si>
  <si>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</si>
  <si>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</si>
  <si>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</si>
  <si>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</si>
  <si>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</si>
  <si>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</si>
  <si>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</si>
  <si>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</si>
  <si>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</si>
  <si>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</si>
  <si>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</si>
  <si>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</si>
  <si>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</si>
  <si>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</si>
  <si>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</si>
  <si>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</si>
  <si>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</si>
  <si>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</si>
  <si>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</si>
  <si>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</si>
  <si>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</si>
  <si>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</si>
  <si>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</si>
  <si>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</si>
  <si>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</si>
  <si>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</si>
  <si>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</si>
  <si>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</si>
  <si>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</si>
  <si>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</si>
  <si>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</si>
  <si>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</si>
  <si>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</si>
  <si>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</si>
  <si>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</si>
  <si>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</si>
  <si>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</si>
  <si>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</si>
  <si>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</si>
  <si>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</si>
  <si>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</si>
  <si>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</si>
  <si>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</si>
  <si>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</si>
  <si>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</si>
  <si>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</si>
  <si>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</si>
  <si>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</si>
  <si>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</si>
  <si>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</si>
  <si>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</si>
  <si>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</si>
  <si>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</si>
  <si>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</si>
  <si>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</si>
  <si>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</si>
  <si>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</si>
  <si>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</si>
  <si>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</si>
  <si>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</si>
  <si>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</si>
  <si>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</si>
  <si>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</si>
  <si>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</si>
  <si>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</si>
  <si>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</si>
  <si>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</si>
  <si>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</si>
  <si>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</si>
  <si>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</si>
  <si>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</si>
  <si>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</si>
  <si>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</si>
  <si>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</si>
  <si>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</si>
  <si>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</si>
  <si>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</si>
  <si>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</si>
  <si>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</si>
  <si>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</si>
  <si>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</si>
  <si>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</si>
  <si>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</si>
  <si>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</si>
  <si>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</si>
  <si>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</si>
  <si>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</si>
  <si>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</si>
  <si>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</si>
  <si>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</si>
  <si>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</si>
  <si>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</si>
  <si>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</si>
  <si>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</si>
  <si>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</si>
  <si>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</si>
  <si>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</si>
  <si>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</si>
  <si>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</si>
  <si>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</si>
  <si>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</si>
  <si>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</si>
  <si>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</si>
  <si>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</si>
  <si>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</si>
  <si>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</si>
  <si>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</si>
  <si>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</si>
  <si>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</si>
  <si>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</si>
  <si>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</si>
  <si>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</si>
  <si>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</si>
  <si>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</si>
  <si>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</si>
  <si>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</si>
  <si>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</si>
  <si>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</si>
  <si>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</si>
  <si>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</si>
  <si>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</si>
  <si>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</si>
  <si>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</si>
  <si>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</si>
  <si>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</si>
  <si>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</si>
  <si>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</si>
  <si>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</si>
  <si>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</si>
  <si>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</si>
  <si>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</si>
  <si>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</si>
  <si>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</si>
  <si>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</si>
  <si>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</si>
  <si>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</si>
  <si>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</si>
  <si>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</si>
  <si>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</si>
  <si>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</si>
  <si>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</si>
  <si>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</si>
  <si>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</si>
  <si>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</si>
  <si>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</si>
  <si>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</si>
  <si>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</si>
  <si>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</si>
  <si>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</si>
  <si>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</si>
  <si>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</si>
  <si>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</si>
  <si>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</si>
  <si>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</si>
  <si>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</si>
  <si>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</si>
  <si>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</si>
  <si>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</si>
  <si>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</si>
  <si>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</si>
  <si>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</si>
  <si>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</si>
  <si>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</si>
  <si>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</si>
  <si>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</si>
  <si>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</si>
  <si>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</si>
  <si>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</si>
  <si>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</si>
  <si>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</si>
  <si>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</si>
  <si>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</si>
  <si>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</si>
  <si>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</si>
  <si>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</si>
  <si>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</si>
  <si>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</si>
  <si>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</si>
  <si>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</si>
  <si>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</si>
  <si>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</si>
  <si>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</si>
  <si>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</si>
  <si>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</si>
  <si>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</si>
  <si>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</si>
  <si>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</si>
  <si>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</si>
  <si>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</si>
  <si>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</si>
  <si>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</si>
  <si>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</si>
  <si>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</si>
  <si>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</si>
  <si>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</si>
  <si>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</si>
  <si>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</si>
  <si>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</si>
  <si>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</si>
  <si>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</si>
  <si>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</si>
  <si>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</si>
  <si>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</si>
  <si>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</si>
  <si>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</si>
  <si>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</si>
  <si>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</si>
  <si>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</si>
  <si>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</si>
  <si>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</si>
  <si>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</si>
  <si>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</si>
  <si>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</si>
  <si>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</si>
  <si>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</si>
  <si>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</si>
  <si>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</si>
  <si>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</si>
  <si>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</si>
  <si>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</si>
  <si>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</si>
  <si>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</si>
  <si>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</si>
  <si>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</si>
  <si>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</si>
  <si>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</si>
  <si>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</si>
  <si>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</si>
  <si>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</si>
  <si>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</si>
  <si>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</si>
  <si>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</si>
  <si>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</si>
  <si>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</si>
  <si>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</si>
  <si>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</si>
  <si>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</si>
  <si>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</si>
  <si>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</si>
  <si>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</si>
  <si>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</si>
  <si>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</si>
  <si>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</si>
  <si>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</si>
  <si>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</si>
  <si>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</si>
  <si>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</si>
  <si>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</si>
  <si>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</si>
  <si>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</si>
  <si>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</si>
  <si>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</si>
  <si>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</si>
  <si>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</si>
  <si>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</si>
  <si>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</si>
  <si>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</si>
  <si>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</si>
  <si>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</si>
  <si>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</si>
  <si>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</si>
  <si>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</si>
  <si>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</si>
  <si>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</si>
  <si>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</si>
  <si>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</si>
  <si>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</si>
  <si>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</si>
  <si>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</si>
  <si>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</si>
  <si>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</si>
  <si>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</si>
  <si>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</si>
  <si>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</si>
  <si>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</si>
  <si>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</si>
  <si>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</si>
  <si>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</si>
  <si>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</si>
  <si>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</si>
  <si>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</si>
  <si>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</si>
  <si>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</si>
  <si>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</si>
  <si>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</si>
  <si>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</si>
  <si>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</si>
  <si>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</si>
  <si>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</si>
  <si>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</si>
  <si>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</si>
  <si>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</si>
  <si>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</si>
  <si>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</si>
  <si>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</si>
  <si>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</si>
  <si>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</si>
  <si>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</si>
  <si>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</si>
  <si>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</si>
  <si>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</si>
  <si>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</si>
  <si>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</si>
  <si>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</si>
  <si>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</si>
  <si>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</si>
  <si>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</si>
  <si>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</si>
  <si>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</si>
  <si>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</si>
  <si>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</si>
  <si>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</si>
  <si>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</si>
  <si>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</si>
  <si>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</si>
  <si>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</si>
  <si>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</si>
  <si>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</si>
  <si>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</si>
  <si>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</si>
  <si>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</si>
  <si>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</si>
  <si>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</si>
  <si>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</si>
  <si>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</si>
  <si>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</si>
  <si>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</si>
  <si>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</si>
  <si>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</si>
  <si>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</si>
  <si>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</si>
  <si>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</si>
  <si>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</si>
  <si>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</si>
  <si>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</si>
  <si>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</si>
  <si>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</si>
  <si>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</si>
  <si>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</si>
  <si>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</si>
  <si>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</si>
  <si>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</si>
  <si>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</si>
  <si>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</si>
  <si>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</si>
  <si>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</si>
  <si>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</si>
  <si>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</si>
  <si>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</si>
  <si>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</si>
  <si>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</si>
  <si>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</si>
  <si>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</si>
  <si>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</si>
  <si>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</si>
  <si>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</si>
  <si>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</si>
  <si>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</si>
  <si>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</si>
  <si>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</si>
  <si>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</si>
  <si>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</si>
  <si>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</si>
  <si>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</si>
  <si>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</si>
  <si>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</si>
  <si>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</si>
  <si>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</si>
  <si>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</si>
  <si>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</si>
  <si>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</si>
  <si>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</si>
  <si>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</si>
  <si>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</si>
  <si>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</si>
  <si>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</si>
  <si>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</si>
  <si>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</si>
  <si>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</si>
  <si>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</si>
  <si>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</si>
  <si>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</si>
  <si>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</si>
  <si>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</si>
  <si>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</si>
  <si>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</si>
  <si>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</si>
  <si>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</si>
  <si>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</si>
  <si>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</si>
  <si>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</si>
  <si>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</si>
  <si>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</si>
  <si>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</si>
  <si>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</si>
  <si>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</si>
  <si>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</si>
  <si>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</si>
  <si>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</si>
  <si>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</si>
  <si>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</si>
  <si>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</si>
  <si>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</si>
  <si>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</si>
  <si>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</si>
  <si>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</si>
  <si>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</si>
  <si>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</si>
  <si>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</si>
  <si>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</si>
  <si>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</si>
  <si>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</si>
  <si>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</si>
  <si>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</si>
  <si>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</si>
  <si>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</si>
  <si>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</si>
  <si>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</si>
  <si>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</si>
  <si>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</si>
  <si>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</si>
  <si>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</si>
  <si>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</si>
  <si>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</si>
  <si>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</si>
  <si>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</si>
  <si>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</si>
  <si>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</si>
  <si>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</si>
  <si>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</si>
  <si>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</si>
  <si>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</si>
  <si>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</si>
  <si>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</si>
  <si>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</si>
  <si>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</si>
  <si>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</si>
  <si>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</si>
  <si>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</si>
  <si>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</si>
  <si>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</si>
  <si>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</si>
  <si>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</si>
  <si>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</si>
  <si>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</si>
  <si>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</si>
  <si>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</si>
  <si>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</si>
  <si>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</si>
  <si>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</si>
  <si>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</si>
  <si>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</si>
  <si>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</si>
  <si>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</si>
  <si>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</si>
  <si>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</si>
  <si>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</si>
  <si>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</si>
  <si>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</si>
  <si>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</si>
  <si>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</si>
  <si>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</si>
  <si>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</si>
  <si>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</si>
  <si>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</si>
  <si>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</si>
  <si>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</si>
  <si>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</si>
  <si>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</si>
  <si>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</si>
  <si>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</si>
  <si>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</si>
  <si>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</si>
  <si>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</si>
  <si>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</si>
  <si>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</si>
  <si>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</si>
  <si>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</si>
  <si>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</si>
  <si>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</si>
  <si>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</si>
  <si>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</si>
  <si>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</si>
  <si>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</si>
  <si>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</si>
  <si>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</si>
  <si>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</si>
  <si>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</si>
  <si>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</si>
  <si>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</si>
  <si>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</si>
  <si>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</si>
  <si>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</si>
  <si>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</si>
  <si>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</si>
  <si>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</si>
  <si>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</si>
  <si>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</si>
  <si>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</si>
  <si>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</si>
  <si>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</si>
  <si>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</si>
  <si>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</si>
  <si>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</si>
  <si>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</si>
  <si>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</si>
  <si>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</si>
  <si>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</si>
  <si>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</si>
  <si>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</si>
  <si>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</si>
  <si>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</si>
  <si>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</si>
  <si>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</si>
  <si>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</si>
  <si>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</si>
  <si>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</si>
  <si>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</si>
  <si>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</si>
  <si>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</si>
  <si>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</si>
  <si>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</si>
  <si>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</si>
  <si>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</si>
  <si>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</si>
  <si>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</si>
  <si>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</si>
  <si>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</si>
  <si>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</si>
  <si>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</si>
  <si>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</si>
  <si>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</si>
  <si>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</si>
  <si>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</si>
  <si>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</si>
  <si>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</si>
  <si>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</si>
  <si>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</si>
  <si>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</si>
  <si>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</si>
  <si>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</si>
  <si>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</si>
  <si>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</si>
  <si>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</si>
  <si>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</si>
  <si>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</si>
  <si>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</si>
  <si>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</si>
  <si>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</si>
  <si>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</si>
  <si>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</si>
  <si>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</si>
  <si>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</si>
  <si>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</si>
  <si>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</si>
  <si>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</si>
  <si>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</si>
  <si>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</si>
  <si>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</si>
  <si>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</si>
  <si>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</si>
  <si>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</si>
  <si>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</si>
  <si>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</si>
  <si>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</si>
  <si>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</si>
  <si>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</si>
  <si>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</si>
  <si>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</si>
  <si>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</si>
  <si>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</si>
  <si>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</si>
  <si>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</si>
  <si>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</si>
  <si>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</si>
  <si>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</si>
  <si>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</si>
  <si>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</si>
  <si>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</si>
  <si>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</si>
  <si>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</si>
  <si>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</si>
  <si>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</si>
  <si>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</si>
  <si>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</si>
  <si>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</si>
  <si>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</si>
  <si>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</si>
  <si>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</si>
  <si>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</si>
  <si>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</si>
  <si>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</si>
  <si>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</si>
  <si>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</si>
  <si>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</si>
  <si>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</si>
  <si>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</si>
  <si>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</si>
  <si>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</si>
  <si>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</si>
  <si>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</si>
  <si>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</si>
  <si>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</si>
  <si>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</si>
  <si>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</si>
  <si>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</si>
  <si>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</si>
  <si>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</si>
  <si>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</si>
  <si>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</si>
  <si>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</si>
  <si>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</si>
  <si>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</si>
  <si>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</si>
  <si>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</si>
  <si>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</si>
  <si>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</si>
  <si>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</si>
  <si>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</si>
  <si>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</si>
  <si>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</si>
  <si>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</si>
  <si>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</si>
  <si>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</si>
  <si>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</si>
  <si>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</si>
  <si>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</si>
  <si>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</si>
  <si>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</si>
  <si>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</si>
  <si>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</si>
  <si>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</si>
  <si>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</si>
  <si>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</si>
  <si>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</si>
  <si>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</si>
  <si>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</si>
  <si>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</si>
  <si>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</si>
  <si>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</si>
  <si>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</si>
  <si>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</si>
  <si>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</si>
  <si>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</si>
  <si>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</si>
  <si>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</si>
  <si>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</si>
  <si>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</si>
  <si>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</si>
  <si>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</si>
  <si>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</si>
  <si>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</si>
  <si>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</si>
  <si>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</si>
  <si>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</si>
  <si>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</si>
  <si>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</si>
  <si>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</si>
  <si>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</si>
  <si>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</si>
  <si>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</si>
  <si>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</si>
  <si>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</si>
  <si>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</si>
  <si>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</si>
  <si>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</si>
  <si>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</si>
  <si>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</si>
  <si>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</si>
  <si>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</si>
  <si>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</si>
  <si>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</si>
  <si>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</si>
  <si>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</si>
  <si>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</si>
  <si>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</si>
  <si>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</si>
  <si>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</si>
  <si>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</si>
  <si>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</si>
  <si>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</si>
  <si>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</si>
  <si>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</si>
  <si>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</si>
  <si>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</si>
  <si>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</si>
  <si>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</si>
  <si>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</si>
  <si>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</si>
  <si>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</si>
  <si>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</si>
  <si>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</si>
  <si>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</si>
  <si>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</si>
  <si>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</si>
  <si>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</si>
  <si>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</si>
  <si>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</si>
  <si>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</si>
  <si>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</si>
  <si>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</si>
  <si>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</si>
  <si>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</si>
  <si>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</si>
  <si>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</si>
  <si>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</si>
  <si>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</si>
  <si>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</si>
  <si>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</si>
  <si>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</si>
  <si>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</si>
  <si>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</si>
  <si>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</si>
  <si>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</si>
  <si>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</si>
  <si>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</si>
  <si>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</si>
  <si>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</si>
  <si>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</si>
  <si>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</si>
  <si>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</si>
  <si>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</si>
  <si>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</si>
  <si>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</si>
  <si>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</si>
  <si>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</si>
  <si>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</si>
  <si>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</si>
  <si>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</si>
  <si>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</si>
  <si>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</si>
  <si>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</si>
  <si>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</si>
  <si>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</si>
  <si>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</si>
  <si>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</si>
  <si>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</si>
  <si>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</si>
  <si>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</si>
  <si>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</si>
  <si>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</si>
  <si>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</si>
  <si>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</si>
  <si>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</si>
  <si>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</si>
  <si>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</si>
  <si>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</si>
  <si>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</si>
  <si>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</si>
  <si>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</si>
  <si>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</si>
  <si>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</si>
  <si>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</si>
  <si>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</si>
  <si>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</si>
  <si>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</si>
  <si>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</si>
  <si>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</si>
  <si>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</si>
  <si>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</si>
  <si>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</si>
  <si>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</si>
  <si>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</si>
  <si>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</si>
  <si>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</si>
  <si>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</si>
  <si>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</si>
  <si>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</si>
  <si>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</si>
  <si>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</si>
  <si>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</si>
  <si>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</si>
  <si>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</si>
  <si>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</si>
  <si>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</si>
  <si>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</si>
  <si>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</si>
  <si>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</si>
  <si>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</si>
  <si>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</si>
  <si>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</si>
  <si>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</si>
  <si>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</si>
  <si>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</si>
  <si>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</si>
  <si>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</si>
  <si>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</si>
  <si>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</si>
  <si>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</si>
  <si>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</si>
  <si>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</si>
  <si>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</si>
  <si>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</si>
  <si>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</si>
  <si>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</si>
  <si>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</si>
  <si>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</si>
  <si>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</si>
  <si>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</si>
  <si>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</si>
  <si>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</si>
  <si>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</si>
  <si>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</si>
  <si>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</si>
  <si>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</si>
  <si>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</si>
  <si>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</si>
  <si>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</si>
  <si>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</si>
  <si>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</si>
  <si>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</si>
  <si>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</si>
  <si>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</si>
  <si>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</si>
  <si>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</si>
  <si>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</si>
  <si>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</si>
  <si>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</si>
  <si>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</si>
  <si>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</si>
  <si>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</si>
  <si>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</si>
  <si>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</si>
  <si>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</si>
  <si>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</si>
  <si>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</si>
  <si>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</si>
  <si>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</si>
  <si>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</si>
  <si>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</si>
  <si>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</si>
  <si>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</si>
  <si>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</si>
  <si>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</si>
  <si>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</si>
  <si>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</si>
  <si>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</si>
  <si>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</si>
  <si>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</si>
  <si>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</si>
  <si>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</si>
  <si>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</si>
  <si>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</si>
  <si>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</si>
  <si>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</si>
  <si>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</si>
  <si>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</si>
  <si>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</si>
  <si>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</si>
  <si>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</si>
  <si>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</si>
  <si>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</si>
  <si>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</si>
  <si>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</si>
  <si>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</si>
  <si>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</si>
  <si>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</si>
  <si>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</si>
  <si>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</si>
  <si>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</si>
  <si>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</si>
  <si>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</si>
  <si>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</si>
  <si>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</si>
  <si>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</si>
  <si>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</si>
  <si>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</si>
  <si>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</si>
  <si>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</si>
  <si>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</si>
  <si>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</si>
  <si>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</si>
  <si>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</si>
  <si>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</si>
  <si>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</si>
  <si>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</si>
  <si>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</si>
  <si>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</si>
  <si>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</si>
  <si>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</si>
  <si>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</si>
  <si>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</si>
  <si>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</si>
  <si>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</si>
  <si>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</si>
  <si>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</si>
  <si>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</si>
  <si>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</si>
  <si>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</si>
  <si>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</si>
  <si>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</si>
  <si>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</si>
  <si>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</si>
  <si>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</si>
  <si>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</si>
  <si>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</si>
  <si>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</si>
  <si>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</si>
  <si>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</si>
  <si>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</si>
  <si>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</si>
  <si>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</si>
  <si>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</si>
  <si>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</si>
  <si>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</si>
  <si>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</si>
  <si>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</si>
  <si>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</si>
  <si>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</si>
  <si>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</si>
  <si>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</si>
  <si>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</si>
  <si>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</si>
  <si>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</si>
  <si>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</si>
  <si>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</si>
  <si>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</si>
  <si>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</si>
  <si>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</si>
  <si>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</si>
  <si>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</si>
  <si>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</si>
  <si>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</si>
  <si>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</si>
  <si>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</si>
  <si>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</si>
  <si>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</si>
  <si>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</si>
  <si>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</si>
  <si>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</si>
  <si>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</si>
  <si>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</si>
  <si>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</si>
  <si>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</si>
  <si>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</si>
  <si>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</si>
  <si>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</si>
  <si>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</si>
  <si>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</si>
  <si>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</si>
  <si>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</si>
  <si>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</si>
  <si>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</si>
  <si>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</si>
  <si>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</si>
  <si>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</si>
  <si>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</si>
  <si>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</si>
  <si>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</si>
  <si>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</si>
  <si>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</si>
  <si>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</si>
  <si>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</si>
  <si>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</si>
  <si>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</si>
  <si>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</si>
  <si>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</si>
  <si>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</si>
  <si>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</si>
  <si>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</si>
  <si>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</si>
  <si>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</si>
  <si>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</si>
  <si>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</si>
  <si>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</si>
  <si>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</si>
  <si>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</si>
  <si>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</si>
  <si>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</si>
  <si>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</si>
  <si>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</si>
  <si>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</si>
  <si>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</si>
  <si>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</si>
  <si>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</si>
  <si>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</si>
  <si>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</si>
  <si>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</si>
  <si>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</si>
  <si>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</si>
  <si>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</si>
  <si>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</si>
  <si>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</si>
  <si>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</si>
  <si>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</si>
  <si>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</si>
  <si>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</si>
  <si>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</si>
  <si>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</si>
  <si>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</si>
  <si>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</si>
  <si>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</si>
  <si>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</si>
  <si>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</si>
  <si>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</si>
  <si>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</si>
  <si>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</si>
  <si>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</si>
  <si>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</si>
  <si>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</si>
  <si>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</si>
  <si>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</si>
  <si>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</si>
  <si>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</si>
  <si>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</si>
  <si>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</si>
  <si>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</si>
  <si>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</si>
  <si>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</si>
  <si>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</si>
  <si>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</si>
  <si>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</si>
  <si>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</si>
  <si>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</si>
  <si>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</si>
  <si>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</si>
  <si>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</si>
  <si>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</si>
  <si>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</si>
  <si>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</si>
  <si>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</si>
  <si>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</si>
  <si>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</si>
  <si>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</si>
  <si>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</si>
  <si>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</si>
  <si>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</si>
  <si>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</si>
  <si>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</si>
  <si>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</si>
  <si>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</si>
  <si>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</si>
  <si>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</si>
  <si>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</si>
  <si>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</si>
  <si>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</si>
  <si>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</si>
  <si>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</si>
  <si>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</si>
  <si>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</si>
  <si>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</si>
  <si>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</si>
  <si>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</si>
  <si>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</si>
  <si>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</si>
  <si>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</si>
  <si>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</si>
  <si>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</si>
  <si>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</si>
  <si>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</si>
  <si>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</si>
  <si>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</si>
  <si>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</si>
  <si>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</si>
  <si>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</si>
  <si>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</si>
  <si>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</si>
  <si>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</si>
  <si>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</si>
  <si>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</si>
  <si>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</si>
  <si>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</si>
  <si>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</si>
  <si>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</si>
  <si>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</si>
  <si>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</si>
  <si>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</si>
  <si>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</si>
  <si>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</si>
  <si>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</si>
  <si>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</si>
  <si>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</si>
  <si>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</si>
  <si>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</si>
  <si>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</si>
  <si>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</si>
  <si>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</si>
  <si>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</si>
  <si>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</si>
  <si>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</si>
  <si>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</si>
  <si>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</si>
  <si>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</si>
  <si>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</si>
  <si>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</si>
  <si>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</si>
  <si>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</si>
  <si>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</si>
  <si>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</si>
  <si>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</si>
  <si>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</si>
  <si>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</si>
  <si>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</si>
  <si>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</si>
  <si>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</si>
  <si>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</si>
  <si>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</si>
  <si>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</si>
  <si>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</si>
  <si>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</si>
  <si>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</si>
  <si>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</si>
  <si>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</si>
  <si>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</si>
  <si>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</si>
  <si>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</si>
  <si>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</si>
  <si>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</si>
  <si>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</si>
  <si>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</si>
  <si>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</si>
  <si>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</si>
  <si>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</si>
  <si>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</si>
  <si>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</si>
  <si>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</si>
  <si>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</si>
  <si>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</si>
  <si>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</si>
  <si>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</si>
  <si>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</si>
  <si>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</si>
  <si>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</si>
  <si>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</si>
  <si>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</si>
  <si>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</si>
  <si>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</si>
  <si>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</si>
  <si>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</si>
  <si>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</si>
  <si>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</si>
  <si>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</si>
  <si>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</si>
  <si>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</si>
  <si>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</si>
  <si>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</si>
  <si>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</si>
  <si>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</si>
  <si>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</si>
  <si>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</si>
  <si>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</si>
  <si>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</si>
  <si>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</si>
  <si>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</si>
  <si>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</si>
  <si>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</si>
  <si>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</si>
  <si>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</si>
  <si>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</si>
  <si>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</si>
  <si>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</si>
  <si>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</si>
  <si>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</si>
  <si>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</si>
  <si>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</si>
  <si>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</si>
  <si>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</si>
  <si>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</si>
  <si>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</si>
  <si>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</si>
  <si>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</si>
  <si>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</si>
  <si>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</si>
  <si>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</si>
  <si>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</si>
  <si>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</si>
  <si>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</si>
  <si>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</si>
  <si>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</si>
  <si>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</si>
  <si>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</si>
  <si>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</si>
  <si>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</si>
  <si>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</si>
  <si>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</si>
  <si>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</si>
  <si>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</si>
  <si>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</si>
  <si>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</si>
  <si>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</si>
  <si>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</si>
  <si>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</si>
  <si>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</si>
  <si>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</si>
  <si>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</si>
  <si>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</si>
  <si>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</si>
  <si>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</si>
  <si>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</si>
  <si>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</si>
  <si>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</si>
  <si>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</si>
  <si>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</si>
  <si>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</si>
  <si>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</si>
  <si>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</si>
  <si>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</si>
  <si>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</si>
  <si>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</si>
  <si>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</si>
  <si>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</si>
  <si>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</si>
  <si>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</si>
  <si>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</si>
  <si>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</si>
  <si>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</si>
  <si>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</si>
  <si>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</si>
  <si>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</si>
  <si>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</si>
  <si>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</si>
  <si>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</si>
  <si>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</si>
  <si>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</si>
  <si>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</si>
  <si>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</si>
  <si>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</si>
  <si>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</si>
  <si>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</si>
  <si>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</si>
  <si>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</si>
  <si>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</si>
  <si>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</si>
  <si>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</si>
  <si>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</si>
  <si>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</si>
  <si>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</si>
  <si>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</si>
  <si>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</si>
  <si>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</si>
  <si>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</si>
  <si>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</si>
  <si>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</si>
  <si>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</si>
  <si>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</si>
  <si>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</si>
  <si>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</si>
  <si>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</si>
  <si>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</si>
  <si>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</si>
  <si>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</si>
  <si>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</si>
  <si>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</si>
  <si>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</si>
  <si>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</si>
  <si>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</si>
  <si>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</si>
  <si>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</si>
  <si>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</si>
  <si>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</si>
  <si>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</si>
  <si>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</si>
  <si>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</si>
  <si>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</si>
  <si>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</si>
  <si>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</si>
  <si>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</si>
  <si>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</si>
  <si>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</si>
  <si>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</si>
  <si>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</si>
  <si>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</si>
  <si>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</si>
  <si>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</si>
  <si>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</si>
  <si>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</si>
  <si>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</si>
  <si>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</si>
  <si>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</si>
  <si>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</si>
  <si>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</si>
  <si>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</si>
  <si>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</si>
  <si>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</si>
  <si>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</si>
  <si>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</si>
  <si>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</si>
  <si>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</si>
  <si>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</si>
  <si>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</si>
  <si>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</si>
  <si>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</si>
  <si>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</si>
  <si>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</si>
  <si>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</si>
  <si>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</si>
  <si>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</si>
  <si>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</si>
  <si>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</si>
  <si>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</si>
  <si>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</si>
  <si>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</si>
  <si>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</si>
  <si>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</si>
  <si>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</si>
  <si>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</si>
  <si>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</si>
  <si>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</si>
  <si>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</si>
  <si>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</si>
  <si>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</si>
  <si>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</si>
  <si>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</si>
  <si>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</si>
  <si>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</si>
  <si>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</si>
  <si>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</si>
  <si>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</si>
  <si>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</si>
  <si>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</si>
  <si>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</si>
  <si>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</si>
  <si>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</si>
  <si>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</si>
  <si>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</si>
  <si>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</si>
  <si>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</si>
  <si>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</si>
  <si>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</si>
  <si>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</si>
  <si>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</si>
  <si>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</si>
  <si>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</si>
  <si>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</si>
  <si>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</si>
  <si>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</si>
  <si>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</si>
  <si>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</si>
  <si>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</si>
  <si>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</si>
  <si>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</si>
  <si>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</si>
  <si>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</si>
  <si>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</si>
  <si>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</si>
  <si>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</si>
  <si>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</si>
  <si>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</si>
  <si>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</si>
  <si>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</si>
  <si>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</si>
  <si>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</si>
  <si>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</si>
  <si>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</si>
  <si>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</si>
  <si>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</si>
  <si>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</si>
  <si>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</si>
  <si>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</si>
  <si>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</si>
  <si>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</si>
  <si>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</si>
  <si>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</si>
  <si>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</si>
  <si>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</si>
  <si>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</si>
  <si>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</si>
  <si>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</si>
  <si>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</si>
  <si>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</si>
  <si>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</si>
  <si>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</si>
  <si>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</si>
  <si>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</si>
  <si>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</si>
  <si>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</si>
  <si>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</si>
  <si>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</si>
  <si>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</si>
  <si>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</si>
  <si>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</si>
  <si>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</si>
  <si>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</si>
  <si>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</si>
  <si>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</si>
  <si>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</si>
  <si>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</si>
  <si>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</si>
  <si>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</si>
  <si>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</si>
  <si>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</si>
  <si>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</si>
  <si>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</si>
  <si>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</si>
  <si>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</si>
  <si>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</si>
  <si>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</si>
  <si>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</si>
  <si>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</si>
  <si>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</si>
  <si>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</si>
  <si>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</si>
  <si>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</si>
  <si>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</si>
  <si>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</si>
  <si>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</si>
  <si>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</si>
  <si>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</si>
  <si>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</si>
  <si>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</si>
  <si>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</si>
  <si>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</si>
  <si>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</si>
  <si>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</si>
  <si>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</si>
  <si>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</si>
  <si>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</si>
  <si>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</si>
  <si>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</si>
  <si>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</si>
  <si>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</si>
  <si>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</si>
  <si>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</si>
  <si>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</si>
  <si>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</si>
  <si>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</si>
  <si>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</si>
  <si>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</si>
  <si>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</si>
  <si>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</si>
  <si>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</si>
  <si>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</si>
  <si>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</si>
  <si>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</si>
  <si>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</si>
  <si>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</si>
  <si>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</si>
  <si>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</si>
  <si>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</si>
  <si>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</si>
  <si>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</si>
  <si>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</si>
  <si>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</si>
  <si>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</si>
  <si>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</si>
  <si>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</si>
  <si>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</si>
  <si>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</si>
  <si>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</si>
  <si>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</si>
  <si>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</si>
  <si>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</si>
  <si>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</si>
  <si>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</si>
  <si>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</si>
  <si>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</si>
  <si>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</si>
  <si>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</si>
  <si>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</si>
  <si>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</si>
  <si>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</si>
  <si>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</si>
  <si>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</si>
  <si>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</si>
  <si>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</si>
  <si>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</si>
  <si>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</si>
  <si>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</si>
  <si>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</si>
  <si>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</si>
  <si>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</si>
  <si>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</si>
  <si>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</si>
  <si>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</si>
  <si>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</si>
  <si>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</si>
  <si>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</si>
  <si>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</si>
  <si>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</si>
  <si>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</si>
  <si>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</si>
  <si>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</si>
  <si>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</si>
  <si>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</si>
  <si>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</si>
  <si>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</si>
  <si>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</si>
  <si>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</si>
  <si>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</si>
  <si>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</si>
  <si>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</si>
  <si>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</si>
  <si>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</si>
  <si>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</si>
  <si>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</si>
  <si>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</si>
  <si>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</si>
  <si>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</si>
  <si>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</si>
  <si>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</si>
  <si>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</si>
  <si>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</si>
  <si>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</si>
  <si>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</si>
  <si>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</si>
  <si>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</si>
  <si>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</si>
  <si>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</si>
  <si>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</si>
  <si>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</si>
  <si>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</si>
  <si>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</si>
  <si>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</si>
  <si>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</si>
  <si>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</si>
  <si>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</si>
  <si>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</si>
  <si>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</si>
  <si>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</si>
  <si>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</si>
  <si>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</si>
  <si>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</si>
  <si>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</si>
  <si>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</si>
  <si>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</si>
  <si>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</si>
  <si>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</si>
  <si>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</si>
  <si>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</si>
  <si>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</si>
  <si>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</si>
  <si>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</si>
  <si>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</si>
  <si>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</si>
  <si>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</si>
  <si>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</si>
  <si>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</si>
  <si>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</si>
  <si>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</si>
  <si>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</si>
  <si>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</si>
  <si>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</si>
  <si>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</si>
  <si>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</si>
  <si>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</si>
  <si>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</si>
  <si>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</si>
  <si>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</si>
  <si>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</si>
  <si>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</si>
  <si>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</si>
  <si>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</si>
  <si>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</si>
  <si>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</si>
  <si>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</si>
  <si>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</si>
  <si>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</si>
  <si>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</si>
  <si>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</si>
  <si>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</si>
  <si>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</si>
  <si>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</si>
  <si>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</si>
  <si>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</si>
  <si>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</si>
  <si>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</si>
  <si>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</si>
  <si>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</si>
  <si>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</si>
  <si>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</si>
  <si>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</si>
  <si>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</si>
  <si>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</si>
  <si>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</si>
  <si>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</si>
  <si>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</si>
  <si>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</si>
  <si>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</si>
  <si>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</si>
  <si>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</si>
  <si>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</si>
  <si>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</si>
  <si>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</si>
  <si>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</si>
  <si>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</si>
  <si>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</si>
  <si>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</si>
  <si>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</si>
  <si>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</si>
  <si>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</si>
  <si>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</si>
  <si>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</si>
  <si>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</si>
  <si>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</si>
  <si>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</si>
  <si>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</si>
  <si>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</si>
  <si>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</si>
  <si>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</si>
  <si>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</si>
  <si>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</si>
  <si>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</si>
  <si>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</si>
  <si>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</si>
  <si>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</si>
  <si>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</si>
  <si>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</si>
  <si>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</si>
  <si>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</si>
  <si>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</si>
  <si>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</si>
  <si>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</si>
  <si>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</si>
  <si>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</si>
  <si>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</si>
  <si>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</si>
  <si>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</si>
  <si>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</si>
  <si>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</si>
  <si>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</si>
  <si>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</si>
  <si>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</si>
  <si>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</si>
  <si>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</si>
  <si>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</si>
  <si>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</si>
  <si>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</si>
  <si>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</si>
  <si>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</si>
  <si>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</si>
  <si>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</si>
  <si>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</si>
  <si>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</si>
  <si>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</si>
  <si>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</si>
  <si>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</si>
  <si>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</si>
  <si>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</si>
  <si>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</si>
  <si>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</si>
  <si>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</si>
  <si>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</si>
  <si>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</si>
  <si>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</si>
  <si>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</si>
  <si>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</si>
  <si>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</si>
  <si>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</si>
  <si>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</si>
  <si>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</si>
  <si>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</si>
  <si>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</si>
  <si>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</si>
  <si>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</si>
  <si>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</si>
  <si>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</si>
  <si>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</si>
  <si>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</si>
  <si>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</si>
  <si>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</si>
  <si>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</si>
  <si>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</si>
  <si>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</si>
  <si>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</si>
  <si>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</si>
  <si>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</si>
  <si>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</si>
  <si>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</si>
  <si>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</si>
  <si>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</si>
  <si>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</si>
  <si>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</si>
  <si>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</si>
  <si>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</si>
  <si>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</si>
  <si>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</si>
  <si>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</si>
  <si>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</si>
  <si>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</si>
  <si>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</si>
  <si>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</si>
  <si>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</si>
  <si>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</si>
  <si>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</si>
  <si>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</si>
  <si>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</si>
  <si>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</si>
  <si>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</si>
  <si>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</si>
  <si>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</si>
  <si>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</si>
  <si>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</si>
  <si>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</si>
  <si>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</si>
  <si>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</si>
  <si>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</si>
  <si>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</si>
  <si>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</si>
  <si>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</si>
  <si>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</si>
  <si>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</si>
  <si>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</si>
  <si>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</si>
  <si>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</si>
  <si>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</si>
  <si>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</si>
  <si>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</si>
  <si>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7 Happ Road</t>
  </si>
  <si>
    <t>Northfield</t>
  </si>
  <si>
    <t>johnsonc@newtrier.k12.il.us</t>
  </si>
  <si>
    <t>Paul Sally</t>
  </si>
  <si>
    <t>847-784-6109</t>
  </si>
  <si>
    <t>847-784-3115</t>
  </si>
  <si>
    <t>RSM US LLP</t>
  </si>
  <si>
    <t>Katie Barry</t>
  </si>
  <si>
    <t>1 South Wacker Drive, Suite 800</t>
  </si>
  <si>
    <t>Chicago</t>
  </si>
  <si>
    <t>IL</t>
  </si>
  <si>
    <t>312-634-3400</t>
  </si>
  <si>
    <t>312-634-5518</t>
  </si>
  <si>
    <t>066-03346</t>
  </si>
  <si>
    <t>katie.barry@rsmus.com</t>
  </si>
  <si>
    <t>2010 bonds</t>
  </si>
  <si>
    <t>2012 bonds</t>
  </si>
  <si>
    <t>2014 bonds</t>
  </si>
  <si>
    <t>2015 bonds</t>
  </si>
  <si>
    <t>2016A bonds</t>
  </si>
  <si>
    <t>2016B bonds</t>
  </si>
  <si>
    <t>2016C bonds</t>
  </si>
  <si>
    <t>2017 bonds</t>
  </si>
  <si>
    <t xml:space="preserve">2018 bonds </t>
  </si>
  <si>
    <t xml:space="preserve">Nothern Illinois Health Insurance Pool </t>
  </si>
  <si>
    <t>Quest</t>
  </si>
  <si>
    <t>Collective Liability Insurance Cooperative (CLIC)</t>
  </si>
  <si>
    <t>ISDLAF</t>
  </si>
  <si>
    <t>Northern Suburban Special Education District</t>
  </si>
  <si>
    <t xml:space="preserve">Sentinel </t>
  </si>
  <si>
    <t>Alltown and Safeway</t>
  </si>
  <si>
    <t>Northern Suburban Education Region Vocational Education</t>
  </si>
  <si>
    <t>None</t>
  </si>
  <si>
    <t>U.S. Department of Education</t>
  </si>
  <si>
    <t>Passed through Illinois State Board of Education:</t>
  </si>
  <si>
    <t>Title II: Teacher Qaulity</t>
  </si>
  <si>
    <t>84.367A</t>
  </si>
  <si>
    <t>19-4932-00</t>
  </si>
  <si>
    <t>18-4932-00</t>
  </si>
  <si>
    <t>Special Education Cluster (M)</t>
  </si>
  <si>
    <t>IDEA Room &amp; Board</t>
  </si>
  <si>
    <t>84.027A</t>
  </si>
  <si>
    <t>19-4625-00</t>
  </si>
  <si>
    <t>18-4625-00</t>
  </si>
  <si>
    <t>18-4625-XC</t>
  </si>
  <si>
    <t>17-4625-00</t>
  </si>
  <si>
    <t>17-4625-XC</t>
  </si>
  <si>
    <t>N/A</t>
  </si>
  <si>
    <t>Passed through Northern Suburban Special Education District</t>
  </si>
  <si>
    <t>IDEA Flow Through</t>
  </si>
  <si>
    <t>19-4620</t>
  </si>
  <si>
    <t>18-4620</t>
  </si>
  <si>
    <t>Total Special Education Cluster (M)</t>
  </si>
  <si>
    <t>Passed through Wilmette Public School District 39</t>
  </si>
  <si>
    <t>Title III: Lang Inst Prog - Limited Eng LIPLEP</t>
  </si>
  <si>
    <t>84.365A</t>
  </si>
  <si>
    <t>19-4909-00</t>
  </si>
  <si>
    <t>18-4909-00</t>
  </si>
  <si>
    <t>Passed through Northern Suburban Educational Regional Vocational Education</t>
  </si>
  <si>
    <t>19-4745-00</t>
  </si>
  <si>
    <t>18-4745-00</t>
  </si>
  <si>
    <t>17-4745-00</t>
  </si>
  <si>
    <t>n/a</t>
  </si>
  <si>
    <t>Passed through Northern Suburban Speical Education District</t>
  </si>
  <si>
    <t>Perkins Title IIC</t>
  </si>
  <si>
    <t>Rehabiliation Services</t>
  </si>
  <si>
    <t>946CXF00449</t>
  </si>
  <si>
    <t>846CWF00449</t>
  </si>
  <si>
    <t>Total US Department of Education / Total Federal Awards</t>
  </si>
  <si>
    <t>Unmodified</t>
  </si>
  <si>
    <t>x</t>
  </si>
  <si>
    <t>84.027A, 84.173A</t>
  </si>
  <si>
    <t>IDEA Special Eudcation Cluster</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</si>
  <si>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</si>
  <si>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r>
      <t>The accompanying Schedule of Expenditures of Federal Awards includes the federal grant activity of t</t>
    </r>
    <r>
      <rPr>
        <b/>
        <sz val="9"/>
        <rFont val="Calibri"/>
        <family val="2"/>
        <scheme val="minor"/>
      </rPr>
      <t>he District</t>
    </r>
    <r>
      <rPr>
        <sz val="9"/>
        <rFont val="Calibri"/>
        <family val="2"/>
        <scheme val="minor"/>
      </rPr>
      <t xml:space="preserve"> and is presented on the modified accrual </t>
    </r>
    <r>
      <rPr>
        <b/>
        <sz val="9"/>
        <rFont val="Calibri"/>
        <family val="2"/>
        <scheme val="minor"/>
      </rPr>
      <t>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</si>
  <si>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the District provided federal awards to subrecipients as follows:</t>
  </si>
  <si>
    <t>ED-</t>
  </si>
  <si>
    <t>TRANS-Pupil Transportation-Trans</t>
  </si>
  <si>
    <t>ED-Instruction- Property Services</t>
  </si>
  <si>
    <t>ED-Data processing-Property Services</t>
  </si>
  <si>
    <t>ED-Fiscal services-Property Services</t>
  </si>
  <si>
    <t>10-2200-300</t>
  </si>
  <si>
    <t>EBSCO Information Sysytems</t>
  </si>
  <si>
    <t>40-2550-300</t>
  </si>
  <si>
    <t>Alltown Bus Service</t>
  </si>
  <si>
    <t>Citicare Services</t>
  </si>
  <si>
    <t>First Student</t>
  </si>
  <si>
    <t>Infinity Transportation</t>
  </si>
  <si>
    <t>Safeway Transportation Services</t>
  </si>
  <si>
    <t>United Dispatch</t>
  </si>
  <si>
    <t>10-1000-300</t>
  </si>
  <si>
    <t>Aramark uniform Services</t>
  </si>
  <si>
    <t>Sans Inc</t>
  </si>
  <si>
    <t>Thinkmap Inc</t>
  </si>
  <si>
    <t>10-2660-300</t>
  </si>
  <si>
    <t>AVI Systems</t>
  </si>
  <si>
    <t>Sentinel Technologies</t>
  </si>
  <si>
    <t>10-2620-300</t>
  </si>
  <si>
    <t>Comcast</t>
  </si>
  <si>
    <t>Powerschool Group</t>
  </si>
  <si>
    <t>Skyward Accounting</t>
  </si>
  <si>
    <t>10-2520-300</t>
  </si>
  <si>
    <t>Genesis Technologies</t>
  </si>
  <si>
    <t>See attached AFR opinion                                                                                                                    10/14/2019</t>
  </si>
  <si>
    <t>sallyp@newtrier.k12.il.us</t>
  </si>
  <si>
    <t>New Trier Twp HSD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</si>
</sst>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781050</xdr:colOff>
          <xdr:row>7</xdr:row>
          <xdr:rowOff>161925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781050</xdr:colOff>
          <xdr:row>11</xdr:row>
          <xdr:rowOff>161925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926523</xdr:colOff>
          <xdr:row>2</xdr:row>
          <xdr:rowOff>121228</xdr:rowOff>
        </xdr:from>
        <xdr:to>
          <xdr:col>1</xdr:col>
          <xdr:colOff>1838325</xdr:colOff>
          <xdr:row>7</xdr:row>
          <xdr:rowOff>80530</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FF629F58-D0FD-456E-8C49-2D1E3C5CEF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1982932</xdr:colOff>
          <xdr:row>2</xdr:row>
          <xdr:rowOff>138546</xdr:rowOff>
        </xdr:from>
        <xdr:to>
          <xdr:col>1</xdr:col>
          <xdr:colOff>2894734</xdr:colOff>
          <xdr:row>7</xdr:row>
          <xdr:rowOff>97848</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AC1EDDE9-70FC-45D8-9A49-5E325635A66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3056660</xdr:colOff>
          <xdr:row>2</xdr:row>
          <xdr:rowOff>147205</xdr:rowOff>
        </xdr:from>
        <xdr:to>
          <xdr:col>1</xdr:col>
          <xdr:colOff>3968462</xdr:colOff>
          <xdr:row>7</xdr:row>
          <xdr:rowOff>106507</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8DDDD15F-6515-4929-A5B6-83DCEDFC54F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5" t="s">
        <v>404</v>
      </c>
      <c r="J1" s="1986"/>
      <c r="K1" s="1986"/>
      <c r="L1" s="1986"/>
      <c r="M1" s="1986"/>
      <c r="N1" s="1986"/>
      <c r="O1" s="1986"/>
      <c r="P1" s="1986"/>
      <c r="Q1" s="1986"/>
      <c r="R1" s="1986"/>
      <c r="S1" s="1986"/>
    </row>
    <row r="2" spans="1:28" ht="12" customHeight="1" x14ac:dyDescent="0.2">
      <c r="A2" s="47" t="s">
        <v>1987</v>
      </c>
      <c r="D2" s="48"/>
      <c r="I2" s="1987" t="s">
        <v>978</v>
      </c>
      <c r="J2" s="1986"/>
      <c r="K2" s="1986"/>
      <c r="L2" s="1986"/>
      <c r="M2" s="1986"/>
      <c r="N2" s="1986"/>
      <c r="O2" s="1986"/>
      <c r="P2" s="1986"/>
      <c r="Q2" s="1986"/>
      <c r="R2" s="1986"/>
      <c r="S2" s="1986"/>
    </row>
    <row r="3" spans="1:28" ht="12" customHeight="1" x14ac:dyDescent="0.2">
      <c r="A3" s="155" t="s">
        <v>1939</v>
      </c>
      <c r="B3" s="156"/>
      <c r="C3" s="156"/>
      <c r="D3" s="157"/>
      <c r="I3" s="1987" t="s">
        <v>52</v>
      </c>
      <c r="J3" s="1986"/>
      <c r="K3" s="1986"/>
      <c r="L3" s="1986"/>
      <c r="M3" s="1986"/>
      <c r="N3" s="1986"/>
      <c r="O3" s="1986"/>
      <c r="P3" s="1986"/>
      <c r="Q3" s="1986"/>
      <c r="R3" s="1986"/>
      <c r="S3" s="1986"/>
    </row>
    <row r="4" spans="1:28" ht="12" customHeight="1" x14ac:dyDescent="0.2">
      <c r="A4" s="37"/>
      <c r="I4" s="1987" t="s">
        <v>523</v>
      </c>
      <c r="J4" s="1986"/>
      <c r="K4" s="1986"/>
      <c r="L4" s="1986"/>
      <c r="M4" s="1986"/>
      <c r="N4" s="1986"/>
      <c r="O4" s="1986"/>
      <c r="P4" s="1986"/>
      <c r="Q4" s="1986"/>
      <c r="R4" s="1986"/>
      <c r="S4" s="1986"/>
    </row>
    <row r="5" spans="1:28" ht="14.1" customHeight="1" x14ac:dyDescent="0.2">
      <c r="B5" s="104" t="s">
        <v>2061</v>
      </c>
      <c r="C5" s="26" t="s">
        <v>909</v>
      </c>
      <c r="D5" s="84"/>
      <c r="E5" s="84"/>
      <c r="H5" s="38"/>
      <c r="I5" s="1995" t="s">
        <v>679</v>
      </c>
      <c r="J5" s="1994"/>
      <c r="K5" s="1994"/>
      <c r="L5" s="1994"/>
      <c r="M5" s="1994"/>
      <c r="N5" s="1994"/>
      <c r="O5" s="1994"/>
      <c r="P5" s="1994"/>
      <c r="Q5" s="1994"/>
      <c r="R5" s="1994"/>
      <c r="S5" s="1994"/>
    </row>
    <row r="6" spans="1:28" ht="14.1" customHeight="1" x14ac:dyDescent="0.2">
      <c r="B6" s="104"/>
      <c r="C6" s="26" t="s">
        <v>910</v>
      </c>
      <c r="D6" s="84"/>
      <c r="E6" s="84"/>
      <c r="I6" s="1993" t="s">
        <v>882</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673</v>
      </c>
      <c r="J9" s="1991"/>
      <c r="K9" s="1991"/>
      <c r="L9" s="1991"/>
      <c r="M9" s="1991"/>
      <c r="N9" s="1991"/>
      <c r="O9" s="1991"/>
      <c r="P9" s="1991"/>
      <c r="Q9" s="1991"/>
      <c r="R9" s="1991"/>
      <c r="S9" s="1992"/>
      <c r="T9" s="2006" t="s">
        <v>532</v>
      </c>
      <c r="U9" s="2007"/>
      <c r="V9" s="2007"/>
      <c r="W9" s="2007"/>
      <c r="X9" s="2007"/>
      <c r="Y9" s="2007"/>
      <c r="Z9" s="2007"/>
      <c r="AA9" s="2008"/>
    </row>
    <row r="10" spans="1:28" ht="13.5" customHeight="1" x14ac:dyDescent="0.2">
      <c r="A10" s="2013" t="s">
        <v>674</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954</v>
      </c>
      <c r="B11" s="2017"/>
      <c r="C11" s="2017"/>
      <c r="D11" s="2017"/>
      <c r="E11" s="2017"/>
      <c r="F11" s="2017"/>
      <c r="G11" s="2017"/>
      <c r="H11" s="2018"/>
      <c r="I11" s="27"/>
      <c r="J11" s="74"/>
      <c r="K11" s="27"/>
      <c r="O11" s="148"/>
      <c r="P11" s="100" t="s">
        <v>201</v>
      </c>
      <c r="Q11" s="30"/>
      <c r="R11" s="28"/>
      <c r="S11" s="27"/>
      <c r="T11" s="2010"/>
      <c r="U11" s="2011"/>
      <c r="V11" s="2011"/>
      <c r="W11" s="2011"/>
      <c r="X11" s="2011"/>
      <c r="Y11" s="2011"/>
      <c r="Z11" s="2011"/>
      <c r="AA11" s="2012"/>
    </row>
    <row r="12" spans="1:28" ht="13.5" customHeight="1" x14ac:dyDescent="0.2">
      <c r="A12" s="85" t="s">
        <v>924</v>
      </c>
      <c r="B12" s="76"/>
      <c r="C12" s="76"/>
      <c r="D12" s="76"/>
      <c r="E12" s="76"/>
      <c r="F12" s="76"/>
      <c r="G12" s="76"/>
      <c r="H12" s="53"/>
      <c r="I12" s="29"/>
      <c r="J12" s="30"/>
      <c r="K12" s="28"/>
      <c r="O12" s="149" t="s">
        <v>2061</v>
      </c>
      <c r="P12" s="100" t="s">
        <v>202</v>
      </c>
      <c r="Q12" s="74"/>
      <c r="R12" s="30"/>
      <c r="S12" s="30"/>
      <c r="T12" s="85" t="s">
        <v>264</v>
      </c>
      <c r="U12" s="51"/>
      <c r="V12" s="51"/>
      <c r="W12" s="51"/>
      <c r="X12" s="51"/>
      <c r="Y12" s="45"/>
      <c r="Z12" s="45"/>
      <c r="AA12" s="46"/>
    </row>
    <row r="13" spans="1:28" ht="13.5" customHeight="1" x14ac:dyDescent="0.2">
      <c r="A13" s="2020">
        <v>5016203017</v>
      </c>
      <c r="B13" s="2021"/>
      <c r="C13" s="2021"/>
      <c r="D13" s="2021"/>
      <c r="E13" s="2021"/>
      <c r="F13" s="2021"/>
      <c r="G13" s="2021"/>
      <c r="H13" s="2022"/>
      <c r="I13" s="31"/>
      <c r="J13" s="30"/>
      <c r="K13" s="28"/>
      <c r="L13" s="30"/>
      <c r="M13" s="30"/>
      <c r="N13" s="30"/>
      <c r="O13" s="30"/>
      <c r="P13" s="30"/>
      <c r="Q13" s="30"/>
      <c r="R13" s="30"/>
      <c r="S13" s="30"/>
      <c r="T13" s="2025" t="s">
        <v>2069</v>
      </c>
      <c r="U13" s="2026"/>
      <c r="V13" s="2026"/>
      <c r="W13" s="2026"/>
      <c r="X13" s="2026"/>
      <c r="Y13" s="2027"/>
      <c r="Z13" s="2027"/>
      <c r="AA13" s="202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9" t="s">
        <v>2062</v>
      </c>
      <c r="B15" s="2023"/>
      <c r="C15" s="2023"/>
      <c r="D15" s="2023"/>
      <c r="E15" s="2023"/>
      <c r="F15" s="2023"/>
      <c r="G15" s="2023"/>
      <c r="H15" s="2024"/>
      <c r="T15" s="2029" t="s">
        <v>2070</v>
      </c>
      <c r="U15" s="1973"/>
      <c r="V15" s="1973"/>
      <c r="W15" s="1973"/>
      <c r="X15" s="1973"/>
      <c r="Y15" s="2030"/>
      <c r="Z15" s="2030"/>
      <c r="AA15" s="203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9" t="s">
        <v>2168</v>
      </c>
      <c r="B17" s="1980"/>
      <c r="C17" s="1980"/>
      <c r="D17" s="1980"/>
      <c r="E17" s="1980"/>
      <c r="F17" s="1980"/>
      <c r="G17" s="1980"/>
      <c r="H17" s="2005"/>
      <c r="T17" s="2036" t="s">
        <v>2071</v>
      </c>
      <c r="U17" s="2037"/>
      <c r="V17" s="2037"/>
      <c r="W17" s="2037"/>
      <c r="X17" s="2037"/>
      <c r="Y17" s="2037"/>
      <c r="Z17" s="2037"/>
      <c r="AA17" s="2038"/>
    </row>
    <row r="18" spans="1:27" ht="13.5" customHeight="1" x14ac:dyDescent="0.2">
      <c r="A18" s="85" t="s">
        <v>529</v>
      </c>
      <c r="B18" s="76"/>
      <c r="C18" s="72"/>
      <c r="D18" s="76"/>
      <c r="E18" s="76"/>
      <c r="F18" s="76"/>
      <c r="G18" s="76"/>
      <c r="H18" s="56"/>
      <c r="I18" s="2004" t="s">
        <v>675</v>
      </c>
      <c r="J18" s="1955"/>
      <c r="K18" s="1955"/>
      <c r="L18" s="1955"/>
      <c r="M18" s="1955"/>
      <c r="N18" s="1955"/>
      <c r="O18" s="1955"/>
      <c r="P18" s="1955"/>
      <c r="Q18" s="1955"/>
      <c r="R18" s="1955"/>
      <c r="S18" s="1956"/>
      <c r="T18" s="85" t="s">
        <v>710</v>
      </c>
      <c r="U18" s="51"/>
      <c r="V18" s="72"/>
      <c r="W18" s="50"/>
      <c r="X18" s="85" t="s">
        <v>265</v>
      </c>
      <c r="Y18" s="81"/>
      <c r="Z18" s="159" t="s">
        <v>676</v>
      </c>
      <c r="AA18" s="46"/>
    </row>
    <row r="19" spans="1:27" ht="13.5" customHeight="1" x14ac:dyDescent="0.2">
      <c r="A19" s="2019" t="s">
        <v>2063</v>
      </c>
      <c r="B19" s="1965"/>
      <c r="C19" s="1965"/>
      <c r="D19" s="1965"/>
      <c r="E19" s="1965"/>
      <c r="F19" s="1965"/>
      <c r="G19" s="1965"/>
      <c r="H19" s="1945"/>
      <c r="I19" s="30"/>
      <c r="J19" s="99"/>
      <c r="K19" s="40"/>
      <c r="L19" s="38"/>
      <c r="M19" s="112" t="s">
        <v>314</v>
      </c>
      <c r="P19" s="27"/>
      <c r="Q19" s="27"/>
      <c r="R19" s="27"/>
      <c r="S19" s="31"/>
      <c r="T19" s="2019" t="s">
        <v>2072</v>
      </c>
      <c r="U19" s="1944"/>
      <c r="V19" s="1944"/>
      <c r="W19" s="1945"/>
      <c r="X19" s="2034" t="s">
        <v>2073</v>
      </c>
      <c r="Y19" s="2035"/>
      <c r="Z19" s="2032">
        <v>60606</v>
      </c>
      <c r="AA19" s="203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3" t="s">
        <v>2064</v>
      </c>
      <c r="B21" s="1944"/>
      <c r="C21" s="1944"/>
      <c r="D21" s="1944"/>
      <c r="E21" s="1944"/>
      <c r="F21" s="1944"/>
      <c r="G21" s="1944"/>
      <c r="H21" s="1945"/>
      <c r="I21" s="1999" t="s">
        <v>677</v>
      </c>
      <c r="J21" s="1994"/>
      <c r="K21" s="1994"/>
      <c r="L21" s="1994"/>
      <c r="M21" s="1994"/>
      <c r="N21" s="1994"/>
      <c r="O21" s="1994"/>
      <c r="P21" s="1994"/>
      <c r="Q21" s="1994"/>
      <c r="R21" s="1994"/>
      <c r="S21" s="2000"/>
      <c r="T21" s="2043" t="s">
        <v>2074</v>
      </c>
      <c r="U21" s="2044"/>
      <c r="V21" s="2044"/>
      <c r="W21" s="2044"/>
      <c r="X21" s="2049" t="s">
        <v>2075</v>
      </c>
      <c r="Y21" s="2050"/>
      <c r="Z21" s="2050"/>
      <c r="AA21" s="2051"/>
    </row>
    <row r="22" spans="1:27" ht="13.5" customHeight="1" x14ac:dyDescent="0.2">
      <c r="A22" s="87" t="s">
        <v>530</v>
      </c>
      <c r="B22" s="59"/>
      <c r="C22" s="59"/>
      <c r="D22" s="59"/>
      <c r="E22" s="59"/>
      <c r="F22" s="59"/>
      <c r="G22" s="59"/>
      <c r="H22" s="60"/>
      <c r="I22" s="2001" t="s">
        <v>1428</v>
      </c>
      <c r="J22" s="2002"/>
      <c r="K22" s="2002"/>
      <c r="L22" s="2002"/>
      <c r="M22" s="2002"/>
      <c r="N22" s="2002"/>
      <c r="O22" s="2002"/>
      <c r="P22" s="2002"/>
      <c r="Q22" s="2002"/>
      <c r="R22" s="2002"/>
      <c r="S22" s="2003"/>
      <c r="T22" s="85" t="s">
        <v>1515</v>
      </c>
      <c r="U22" s="51"/>
      <c r="V22" s="72"/>
      <c r="W22" s="51"/>
      <c r="X22" s="160" t="s">
        <v>1317</v>
      </c>
      <c r="Z22" s="45"/>
      <c r="AA22" s="46"/>
    </row>
    <row r="23" spans="1:27" ht="13.5" customHeight="1" x14ac:dyDescent="0.2">
      <c r="A23" s="1996" t="s">
        <v>2065</v>
      </c>
      <c r="B23" s="1997"/>
      <c r="C23" s="1997"/>
      <c r="D23" s="1997"/>
      <c r="E23" s="1997"/>
      <c r="F23" s="1997"/>
      <c r="G23" s="1997"/>
      <c r="H23" s="1998"/>
      <c r="T23" s="1979" t="s">
        <v>2076</v>
      </c>
      <c r="U23" s="2042"/>
      <c r="V23" s="2042"/>
      <c r="W23" s="2042"/>
      <c r="X23" s="2046"/>
      <c r="Y23" s="2047"/>
      <c r="Z23" s="2047"/>
      <c r="AA23" s="2048"/>
    </row>
    <row r="24" spans="1:27" ht="14.1" customHeight="1" x14ac:dyDescent="0.2">
      <c r="A24" s="88" t="s">
        <v>676</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530</v>
      </c>
      <c r="U24" s="106"/>
      <c r="V24" s="106"/>
      <c r="W24" s="106"/>
      <c r="X24" s="107"/>
      <c r="Y24" s="107"/>
      <c r="Z24" s="107"/>
      <c r="AA24" s="108"/>
    </row>
    <row r="25" spans="1:27" ht="14.1" customHeight="1" x14ac:dyDescent="0.2">
      <c r="A25" s="1943">
        <v>60093</v>
      </c>
      <c r="B25" s="1944"/>
      <c r="C25" s="1944"/>
      <c r="D25" s="1944"/>
      <c r="E25" s="1944"/>
      <c r="F25" s="1944"/>
      <c r="G25" s="1944"/>
      <c r="H25" s="1945"/>
      <c r="I25" s="113"/>
      <c r="J25" s="1968"/>
      <c r="K25" s="1968"/>
      <c r="L25" s="1968"/>
      <c r="M25" s="1968"/>
      <c r="N25" s="1968"/>
      <c r="O25" s="1968"/>
      <c r="P25" s="1968"/>
      <c r="Q25" s="1968"/>
      <c r="R25" s="1968"/>
      <c r="S25" s="1969"/>
      <c r="T25" s="2039" t="s">
        <v>2077</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4" t="s">
        <v>1510</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9" t="s">
        <v>2066</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530</v>
      </c>
      <c r="B39" s="1950"/>
      <c r="C39" s="72"/>
      <c r="D39" s="69"/>
      <c r="E39" s="69"/>
      <c r="F39" s="79"/>
      <c r="G39" s="69"/>
      <c r="H39" s="56"/>
      <c r="I39" s="1949" t="s">
        <v>530</v>
      </c>
      <c r="J39" s="1950"/>
      <c r="K39" s="1950"/>
      <c r="L39" s="1950"/>
      <c r="M39" s="1950"/>
      <c r="N39" s="67"/>
      <c r="O39" s="72"/>
      <c r="P39" s="72"/>
      <c r="Q39" s="78"/>
      <c r="R39" s="72"/>
      <c r="S39" s="56"/>
      <c r="T39" s="72" t="s">
        <v>530</v>
      </c>
      <c r="U39" s="51"/>
      <c r="V39" s="72"/>
      <c r="W39" s="50"/>
      <c r="X39" s="78"/>
      <c r="Y39" s="45"/>
      <c r="Z39" s="45"/>
      <c r="AA39" s="46"/>
    </row>
    <row r="40" spans="1:27" ht="13.5" customHeight="1" x14ac:dyDescent="0.2">
      <c r="A40" s="1957" t="s">
        <v>2167</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1" t="s">
        <v>2067</v>
      </c>
      <c r="B42" s="1963"/>
      <c r="C42" s="1964"/>
      <c r="D42" s="1962" t="s">
        <v>2068</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D22" sqref="D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1798</v>
      </c>
      <c r="B2" s="1528" t="s">
        <v>1945</v>
      </c>
      <c r="C2" s="714" t="s">
        <v>1946</v>
      </c>
      <c r="D2" s="714" t="s">
        <v>1947</v>
      </c>
      <c r="E2" s="714" t="s">
        <v>1948</v>
      </c>
      <c r="F2" s="714" t="s">
        <v>1949</v>
      </c>
    </row>
    <row r="3" spans="1:6" ht="12" customHeight="1" x14ac:dyDescent="0.2">
      <c r="A3" s="2186"/>
      <c r="B3" s="1525"/>
      <c r="C3" s="1526"/>
      <c r="D3" s="1527" t="s">
        <v>256</v>
      </c>
      <c r="E3" s="1526"/>
      <c r="F3" s="1527" t="s">
        <v>257</v>
      </c>
    </row>
    <row r="4" spans="1:6" ht="13.7" customHeight="1" x14ac:dyDescent="0.2">
      <c r="A4" s="715" t="s">
        <v>1154</v>
      </c>
      <c r="B4" s="1749">
        <f>'Revenues 9-14'!C5</f>
        <v>88422599</v>
      </c>
      <c r="C4" s="1524">
        <v>47744050</v>
      </c>
      <c r="D4" s="1752">
        <f>B4-C4</f>
        <v>40678549</v>
      </c>
      <c r="E4" s="1524">
        <v>91467667</v>
      </c>
      <c r="F4" s="1752">
        <f>E4-C4</f>
        <v>43723617</v>
      </c>
    </row>
    <row r="5" spans="1:6" ht="13.7" customHeight="1" x14ac:dyDescent="0.2">
      <c r="A5" s="715" t="s">
        <v>869</v>
      </c>
      <c r="B5" s="1750">
        <f>'Revenues 9-14'!D5</f>
        <v>7618722</v>
      </c>
      <c r="C5" s="585">
        <v>4092669</v>
      </c>
      <c r="D5" s="1753">
        <f t="shared" ref="D5:D18" si="0">B5-C5</f>
        <v>3526053</v>
      </c>
      <c r="E5" s="585">
        <v>7840703</v>
      </c>
      <c r="F5" s="1753">
        <f>E5-C5</f>
        <v>3748034</v>
      </c>
    </row>
    <row r="6" spans="1:6" ht="13.7" customHeight="1" x14ac:dyDescent="0.2">
      <c r="A6" s="715" t="s">
        <v>410</v>
      </c>
      <c r="B6" s="1750">
        <f>'Revenues 9-14'!E5</f>
        <v>9742107</v>
      </c>
      <c r="C6" s="585">
        <v>4953760</v>
      </c>
      <c r="D6" s="1753">
        <f t="shared" si="0"/>
        <v>4788347</v>
      </c>
      <c r="E6" s="585">
        <v>9490373</v>
      </c>
      <c r="F6" s="1753">
        <f t="shared" ref="F6:F18" si="1">E6-C6</f>
        <v>4536613</v>
      </c>
    </row>
    <row r="7" spans="1:6" ht="13.7" customHeight="1" x14ac:dyDescent="0.2">
      <c r="A7" s="715" t="s">
        <v>155</v>
      </c>
      <c r="B7" s="1750">
        <f>'Revenues 9-14'!F5</f>
        <v>1478066</v>
      </c>
      <c r="C7" s="585">
        <v>820790</v>
      </c>
      <c r="D7" s="1753">
        <f t="shared" si="0"/>
        <v>657276</v>
      </c>
      <c r="E7" s="585">
        <v>1572463</v>
      </c>
      <c r="F7" s="1753">
        <f t="shared" si="1"/>
        <v>751673</v>
      </c>
    </row>
    <row r="8" spans="1:6" ht="13.7" customHeight="1" x14ac:dyDescent="0.2">
      <c r="A8" s="715" t="s">
        <v>1178</v>
      </c>
      <c r="B8" s="1750">
        <f>'Revenues 9-14'!G5</f>
        <v>2077163</v>
      </c>
      <c r="C8" s="585">
        <v>1114131</v>
      </c>
      <c r="D8" s="1753">
        <f t="shared" si="0"/>
        <v>963032</v>
      </c>
      <c r="E8" s="585">
        <v>2134443</v>
      </c>
      <c r="F8" s="1753">
        <f t="shared" si="1"/>
        <v>1020312</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0</v>
      </c>
      <c r="C10" s="585"/>
      <c r="D10" s="1753">
        <f t="shared" si="0"/>
        <v>0</v>
      </c>
      <c r="E10" s="585"/>
      <c r="F10" s="1753">
        <f t="shared" si="1"/>
        <v>0</v>
      </c>
    </row>
    <row r="11" spans="1:6" x14ac:dyDescent="0.2">
      <c r="A11" s="715" t="s">
        <v>408</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0</v>
      </c>
      <c r="C14" s="585"/>
      <c r="D14" s="1753">
        <f t="shared" si="0"/>
        <v>0</v>
      </c>
      <c r="E14" s="585"/>
      <c r="F14" s="1753">
        <f t="shared" si="1"/>
        <v>0</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1979492</v>
      </c>
      <c r="C16" s="585">
        <v>798226</v>
      </c>
      <c r="D16" s="1753">
        <f t="shared" si="0"/>
        <v>1181266</v>
      </c>
      <c r="E16" s="585">
        <v>1529234</v>
      </c>
      <c r="F16" s="1753">
        <f t="shared" si="1"/>
        <v>731008</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111318149</v>
      </c>
      <c r="C19" s="1751">
        <f>SUM(C4:C18)</f>
        <v>59523626</v>
      </c>
      <c r="D19" s="1751">
        <f>SUM(D4:D18)</f>
        <v>51794523</v>
      </c>
      <c r="E19" s="1751">
        <f>SUM(E4:E18)</f>
        <v>114034883</v>
      </c>
      <c r="F19" s="1751">
        <f>SUM(F4:F18)</f>
        <v>54511257</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Normal="100" workbookViewId="0">
      <selection activeCell="C16" sqref="C16:F1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628</v>
      </c>
      <c r="B1" s="2205"/>
      <c r="C1" s="721"/>
    </row>
    <row r="2" spans="1:7" ht="33.75" x14ac:dyDescent="0.2">
      <c r="A2" s="2212" t="s">
        <v>1798</v>
      </c>
      <c r="B2" s="2213"/>
      <c r="C2" s="1884" t="s">
        <v>1950</v>
      </c>
      <c r="D2" s="723" t="s">
        <v>1951</v>
      </c>
      <c r="E2" s="723" t="s">
        <v>1952</v>
      </c>
      <c r="F2" s="1884" t="s">
        <v>1953</v>
      </c>
    </row>
    <row r="3" spans="1:7" ht="15.75" customHeight="1" x14ac:dyDescent="0.2">
      <c r="A3" s="2214" t="s">
        <v>1113</v>
      </c>
      <c r="B3" s="2215"/>
      <c r="C3" s="2208"/>
      <c r="D3" s="2209"/>
      <c r="E3" s="2209"/>
      <c r="F3" s="2210"/>
    </row>
    <row r="4" spans="1:7" ht="12.75" customHeight="1" thickBot="1" x14ac:dyDescent="0.25">
      <c r="A4" s="2202" t="s">
        <v>629</v>
      </c>
      <c r="B4" s="2203"/>
      <c r="C4" s="581"/>
      <c r="D4" s="581"/>
      <c r="E4" s="581"/>
      <c r="F4" s="1755">
        <f>SUM(C4+D4)-E4</f>
        <v>0</v>
      </c>
    </row>
    <row r="5" spans="1:7" ht="15.75" customHeight="1" thickTop="1" x14ac:dyDescent="0.2">
      <c r="A5" s="2206" t="s">
        <v>1109</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8" t="s">
        <v>630</v>
      </c>
      <c r="B15" s="2199"/>
      <c r="C15" s="1755">
        <f>SUM(C6:C14)</f>
        <v>0</v>
      </c>
      <c r="D15" s="1755">
        <f>SUM(D6:D14)</f>
        <v>0</v>
      </c>
      <c r="E15" s="1755">
        <f>SUM(E6:E14)</f>
        <v>0</v>
      </c>
      <c r="F15" s="1755">
        <f>SUM(F6:F14)</f>
        <v>0</v>
      </c>
      <c r="G15" s="552"/>
    </row>
    <row r="16" spans="1:7" s="202" customFormat="1" ht="15.75" customHeight="1" thickTop="1" x14ac:dyDescent="0.2">
      <c r="A16" s="2211" t="s">
        <v>1110</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387</v>
      </c>
      <c r="B19" s="2194"/>
      <c r="C19" s="726"/>
      <c r="D19" s="585"/>
      <c r="E19" s="726"/>
      <c r="F19" s="1755">
        <f>SUM(C19+D19)-E19</f>
        <v>0</v>
      </c>
    </row>
    <row r="20" spans="1:11" ht="12.75" customHeight="1" thickTop="1" thickBot="1" x14ac:dyDescent="0.25">
      <c r="A20" s="2193" t="s">
        <v>447</v>
      </c>
      <c r="B20" s="2194"/>
      <c r="C20" s="726"/>
      <c r="D20" s="585"/>
      <c r="E20" s="726"/>
      <c r="F20" s="1755">
        <f>SUM(C20+D20)-E20</f>
        <v>0</v>
      </c>
    </row>
    <row r="21" spans="1:11" ht="14.25" thickTop="1" thickBot="1" x14ac:dyDescent="0.25">
      <c r="A21" s="2198" t="s">
        <v>631</v>
      </c>
      <c r="B21" s="2199"/>
      <c r="C21" s="1755">
        <f>SUM(C17:C20)</f>
        <v>0</v>
      </c>
      <c r="D21" s="1755">
        <f>SUM(D17:D20)</f>
        <v>0</v>
      </c>
      <c r="E21" s="1755">
        <f>SUM(E17:E20)</f>
        <v>0</v>
      </c>
      <c r="F21" s="1755">
        <f>SUM(F17:F20)</f>
        <v>0</v>
      </c>
      <c r="G21" s="552"/>
    </row>
    <row r="22" spans="1:11" ht="15.75" customHeight="1" thickTop="1" x14ac:dyDescent="0.2">
      <c r="A22" s="2200" t="s">
        <v>1111</v>
      </c>
      <c r="B22" s="2201"/>
      <c r="C22" s="2195"/>
      <c r="D22" s="2196"/>
      <c r="E22" s="2196"/>
      <c r="F22" s="2197"/>
    </row>
    <row r="23" spans="1:11" ht="13.5" thickBot="1" x14ac:dyDescent="0.25">
      <c r="A23" s="2202" t="s">
        <v>632</v>
      </c>
      <c r="B23" s="2203"/>
      <c r="C23" s="581"/>
      <c r="D23" s="581"/>
      <c r="E23" s="581"/>
      <c r="F23" s="1755">
        <f>SUM(C23+D23)-E23</f>
        <v>0</v>
      </c>
      <c r="G23" s="552"/>
    </row>
    <row r="24" spans="1:11" ht="15.75" customHeight="1" thickTop="1" x14ac:dyDescent="0.2">
      <c r="A24" s="2200" t="s">
        <v>1112</v>
      </c>
      <c r="B24" s="2201"/>
      <c r="C24" s="2195"/>
      <c r="D24" s="2196"/>
      <c r="E24" s="2196"/>
      <c r="F24" s="2197"/>
    </row>
    <row r="25" spans="1:11" ht="13.5" thickBot="1" x14ac:dyDescent="0.25">
      <c r="A25" s="2202" t="s">
        <v>633</v>
      </c>
      <c r="B25" s="2203"/>
      <c r="C25" s="581"/>
      <c r="D25" s="581"/>
      <c r="E25" s="581"/>
      <c r="F25" s="1755">
        <f>SUM(C25+D25)-E25</f>
        <v>0</v>
      </c>
      <c r="G25" s="552"/>
    </row>
    <row r="26" spans="1:11" ht="15.75" customHeight="1" thickTop="1" x14ac:dyDescent="0.2">
      <c r="A26" s="2206" t="s">
        <v>656</v>
      </c>
      <c r="B26" s="2201"/>
      <c r="C26" s="727"/>
      <c r="D26" s="727"/>
      <c r="E26" s="727"/>
      <c r="F26" s="728"/>
    </row>
    <row r="27" spans="1:11" ht="13.5" thickBot="1" x14ac:dyDescent="0.25">
      <c r="A27" s="2198" t="s">
        <v>1069</v>
      </c>
      <c r="B27" s="2199"/>
      <c r="C27" s="585"/>
      <c r="D27" s="585"/>
      <c r="E27" s="585"/>
      <c r="F27" s="1755">
        <f>SUM(C27+D27)-E27</f>
        <v>0</v>
      </c>
      <c r="G27" s="552"/>
    </row>
    <row r="28" spans="1:11" ht="7.5" customHeight="1" thickTop="1" x14ac:dyDescent="0.2">
      <c r="A28" s="593"/>
    </row>
    <row r="29" spans="1:11" ht="23.25" customHeight="1" x14ac:dyDescent="0.2">
      <c r="A29" s="2204" t="s">
        <v>581</v>
      </c>
      <c r="B29" s="2205"/>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2078</v>
      </c>
      <c r="B31" s="733">
        <v>40287</v>
      </c>
      <c r="C31" s="734">
        <v>8315000</v>
      </c>
      <c r="D31" s="735">
        <v>4</v>
      </c>
      <c r="E31" s="734">
        <v>2045000</v>
      </c>
      <c r="F31" s="734"/>
      <c r="G31" s="734"/>
      <c r="H31" s="734">
        <v>2045000</v>
      </c>
      <c r="I31" s="1756">
        <f>((E31+F31)-H31)+G31</f>
        <v>0</v>
      </c>
      <c r="J31" s="734"/>
      <c r="K31" s="736"/>
    </row>
    <row r="32" spans="1:11" ht="12" customHeight="1" x14ac:dyDescent="0.2">
      <c r="A32" s="732" t="s">
        <v>2079</v>
      </c>
      <c r="B32" s="733">
        <v>41157</v>
      </c>
      <c r="C32" s="734">
        <v>4475000</v>
      </c>
      <c r="D32" s="735">
        <v>3</v>
      </c>
      <c r="E32" s="734">
        <v>770000</v>
      </c>
      <c r="F32" s="734"/>
      <c r="G32" s="734"/>
      <c r="H32" s="734">
        <v>770000</v>
      </c>
      <c r="I32" s="1756">
        <f>((E32+F32)-H32)+G32</f>
        <v>0</v>
      </c>
      <c r="J32" s="734"/>
      <c r="K32" s="736"/>
    </row>
    <row r="33" spans="1:11" ht="12" customHeight="1" x14ac:dyDescent="0.2">
      <c r="A33" s="732" t="s">
        <v>2080</v>
      </c>
      <c r="B33" s="733">
        <v>41696</v>
      </c>
      <c r="C33" s="734">
        <v>4150000</v>
      </c>
      <c r="D33" s="735">
        <v>1</v>
      </c>
      <c r="E33" s="734">
        <v>3165000</v>
      </c>
      <c r="F33" s="734"/>
      <c r="G33" s="734"/>
      <c r="H33" s="734"/>
      <c r="I33" s="1756">
        <f t="shared" ref="I33:I48" si="1">((E33+F33)-H33)+G33</f>
        <v>3165000</v>
      </c>
      <c r="J33" s="734">
        <f>1600000</f>
        <v>1600000</v>
      </c>
      <c r="K33" s="736"/>
    </row>
    <row r="34" spans="1:11" ht="12" customHeight="1" x14ac:dyDescent="0.2">
      <c r="A34" s="732" t="s">
        <v>2081</v>
      </c>
      <c r="B34" s="733">
        <v>42038</v>
      </c>
      <c r="C34" s="734">
        <v>86970000</v>
      </c>
      <c r="D34" s="735">
        <v>6</v>
      </c>
      <c r="E34" s="734">
        <v>75230000</v>
      </c>
      <c r="F34" s="734"/>
      <c r="G34" s="734"/>
      <c r="H34" s="734">
        <v>3960000</v>
      </c>
      <c r="I34" s="1756">
        <f t="shared" si="1"/>
        <v>71270000</v>
      </c>
      <c r="J34" s="734">
        <v>67230000</v>
      </c>
      <c r="K34" s="737"/>
    </row>
    <row r="35" spans="1:11" ht="12" customHeight="1" x14ac:dyDescent="0.2">
      <c r="A35" s="732" t="s">
        <v>2082</v>
      </c>
      <c r="B35" s="733">
        <v>42401</v>
      </c>
      <c r="C35" s="738">
        <v>4805000</v>
      </c>
      <c r="D35" s="735">
        <v>4</v>
      </c>
      <c r="E35" s="738">
        <v>4480000</v>
      </c>
      <c r="F35" s="738"/>
      <c r="G35" s="738"/>
      <c r="H35" s="738"/>
      <c r="I35" s="1756">
        <f t="shared" si="1"/>
        <v>4480000</v>
      </c>
      <c r="J35" s="738">
        <v>4055000</v>
      </c>
      <c r="K35" s="737"/>
    </row>
    <row r="36" spans="1:11" ht="12" customHeight="1" x14ac:dyDescent="0.2">
      <c r="A36" s="732" t="s">
        <v>2083</v>
      </c>
      <c r="B36" s="733">
        <v>42401</v>
      </c>
      <c r="C36" s="734">
        <v>1295000</v>
      </c>
      <c r="D36" s="735">
        <v>2</v>
      </c>
      <c r="E36" s="734">
        <v>1010000</v>
      </c>
      <c r="F36" s="734"/>
      <c r="G36" s="734"/>
      <c r="H36" s="734">
        <v>150000</v>
      </c>
      <c r="I36" s="1756">
        <f t="shared" si="1"/>
        <v>860000</v>
      </c>
      <c r="J36" s="734">
        <v>700000</v>
      </c>
      <c r="K36" s="739"/>
    </row>
    <row r="37" spans="1:11" ht="12" customHeight="1" x14ac:dyDescent="0.2">
      <c r="A37" s="732" t="s">
        <v>2084</v>
      </c>
      <c r="B37" s="733">
        <v>42401</v>
      </c>
      <c r="C37" s="467">
        <v>4235000</v>
      </c>
      <c r="D37" s="740">
        <v>6</v>
      </c>
      <c r="E37" s="467">
        <v>4235000</v>
      </c>
      <c r="F37" s="467"/>
      <c r="G37" s="467"/>
      <c r="H37" s="467">
        <v>2075000</v>
      </c>
      <c r="I37" s="1756">
        <f t="shared" si="1"/>
        <v>2160000</v>
      </c>
      <c r="J37" s="467">
        <v>1395000</v>
      </c>
      <c r="K37" s="737"/>
    </row>
    <row r="38" spans="1:11" ht="12" customHeight="1" x14ac:dyDescent="0.2">
      <c r="A38" s="732" t="s">
        <v>2085</v>
      </c>
      <c r="B38" s="733">
        <v>42776</v>
      </c>
      <c r="C38" s="734">
        <v>5260000</v>
      </c>
      <c r="D38" s="741">
        <v>3</v>
      </c>
      <c r="E38" s="742">
        <v>5260000</v>
      </c>
      <c r="F38" s="742"/>
      <c r="G38" s="742"/>
      <c r="H38" s="742">
        <v>70000</v>
      </c>
      <c r="I38" s="1756">
        <f t="shared" si="1"/>
        <v>5190000</v>
      </c>
      <c r="J38" s="743">
        <v>5120000</v>
      </c>
      <c r="K38" s="744"/>
    </row>
    <row r="39" spans="1:11" ht="12" customHeight="1" x14ac:dyDescent="0.2">
      <c r="A39" s="732" t="s">
        <v>2086</v>
      </c>
      <c r="B39" s="733">
        <v>43087</v>
      </c>
      <c r="C39" s="734">
        <v>6200000</v>
      </c>
      <c r="D39" s="741">
        <v>1</v>
      </c>
      <c r="E39" s="742">
        <v>6200000</v>
      </c>
      <c r="F39" s="742"/>
      <c r="G39" s="742"/>
      <c r="H39" s="742">
        <v>155000</v>
      </c>
      <c r="I39" s="1756">
        <f t="shared" si="1"/>
        <v>6045000</v>
      </c>
      <c r="J39" s="743">
        <v>5750000</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125705000</v>
      </c>
      <c r="D49" s="745"/>
      <c r="E49" s="1756">
        <f t="shared" ref="E49:J49" si="2">SUM(E31:E48)</f>
        <v>102395000</v>
      </c>
      <c r="F49" s="1756">
        <f t="shared" si="2"/>
        <v>0</v>
      </c>
      <c r="G49" s="1756">
        <f t="shared" si="2"/>
        <v>0</v>
      </c>
      <c r="H49" s="1756">
        <f t="shared" si="2"/>
        <v>9225000</v>
      </c>
      <c r="I49" s="1756">
        <f t="shared" si="2"/>
        <v>93170000</v>
      </c>
      <c r="J49" s="1756">
        <f t="shared" si="2"/>
        <v>85850000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87" t="s">
        <v>583</v>
      </c>
      <c r="C52" s="2188"/>
      <c r="D52" s="2188"/>
      <c r="E52" s="749" t="s">
        <v>844</v>
      </c>
      <c r="F52" s="2189"/>
      <c r="G52" s="2190"/>
      <c r="H52" s="736"/>
      <c r="I52" s="736"/>
      <c r="J52" s="746"/>
    </row>
    <row r="53" spans="1:11" ht="11.25" customHeight="1" x14ac:dyDescent="0.2">
      <c r="A53" s="750" t="s">
        <v>912</v>
      </c>
      <c r="B53" s="751" t="s">
        <v>950</v>
      </c>
      <c r="C53" s="746"/>
      <c r="D53" s="737"/>
      <c r="E53" s="749" t="s">
        <v>496</v>
      </c>
      <c r="F53" s="2191"/>
      <c r="G53" s="2192"/>
      <c r="H53" s="736"/>
      <c r="I53" s="736"/>
      <c r="J53" s="746"/>
    </row>
    <row r="54" spans="1:11" ht="11.25" customHeight="1" x14ac:dyDescent="0.2">
      <c r="A54" s="752" t="s">
        <v>913</v>
      </c>
      <c r="B54" s="747" t="s">
        <v>951</v>
      </c>
      <c r="C54" s="746"/>
      <c r="D54" s="737"/>
      <c r="E54" s="749" t="s">
        <v>497</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F13" sqref="F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855</v>
      </c>
      <c r="B1" s="2217"/>
      <c r="C1" s="2217"/>
      <c r="D1" s="2217"/>
      <c r="E1" s="2217"/>
      <c r="F1" s="2217"/>
      <c r="G1" s="2218"/>
      <c r="H1" s="1530"/>
      <c r="I1" s="760"/>
      <c r="J1" s="433"/>
    </row>
    <row r="2" spans="1:11" ht="26.25" x14ac:dyDescent="0.2">
      <c r="A2" s="2235" t="s">
        <v>1676</v>
      </c>
      <c r="B2" s="2236"/>
      <c r="C2" s="2236"/>
      <c r="D2" s="2236"/>
      <c r="E2" s="2237"/>
      <c r="F2" s="761" t="s">
        <v>903</v>
      </c>
      <c r="G2" s="762" t="s">
        <v>1673</v>
      </c>
      <c r="H2" s="762" t="s">
        <v>409</v>
      </c>
      <c r="I2" s="762" t="s">
        <v>1157</v>
      </c>
      <c r="J2" s="762" t="s">
        <v>1808</v>
      </c>
      <c r="K2" s="762" t="s">
        <v>138</v>
      </c>
    </row>
    <row r="3" spans="1:11" x14ac:dyDescent="0.2">
      <c r="A3" s="2238" t="s">
        <v>1958</v>
      </c>
      <c r="B3" s="2239"/>
      <c r="C3" s="2239"/>
      <c r="D3" s="2239"/>
      <c r="E3" s="2240"/>
      <c r="F3" s="763"/>
      <c r="G3" s="764"/>
      <c r="H3" s="764"/>
      <c r="I3" s="764"/>
      <c r="J3" s="765"/>
      <c r="K3" s="765"/>
    </row>
    <row r="4" spans="1:11" x14ac:dyDescent="0.2">
      <c r="A4" s="2241" t="s">
        <v>368</v>
      </c>
      <c r="B4" s="2242"/>
      <c r="C4" s="2242"/>
      <c r="D4" s="2242"/>
      <c r="E4" s="2188"/>
      <c r="F4" s="766"/>
      <c r="G4" s="767"/>
      <c r="H4" s="768"/>
      <c r="I4" s="767"/>
      <c r="J4" s="769"/>
      <c r="K4" s="769"/>
    </row>
    <row r="5" spans="1:11" x14ac:dyDescent="0.2">
      <c r="A5" s="2219" t="s">
        <v>1068</v>
      </c>
      <c r="B5" s="2220"/>
      <c r="C5" s="2220"/>
      <c r="D5" s="2220"/>
      <c r="E5" s="2221"/>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19" t="s">
        <v>1809</v>
      </c>
      <c r="B10" s="2220"/>
      <c r="C10" s="2220"/>
      <c r="D10" s="2220"/>
      <c r="E10" s="2222"/>
      <c r="F10" s="783" t="s">
        <v>861</v>
      </c>
      <c r="G10" s="782"/>
      <c r="H10" s="784"/>
      <c r="I10" s="764"/>
      <c r="J10" s="765"/>
      <c r="K10" s="765"/>
    </row>
    <row r="11" spans="1:11" x14ac:dyDescent="0.2">
      <c r="A11" s="2219" t="s">
        <v>160</v>
      </c>
      <c r="B11" s="2220"/>
      <c r="C11" s="2220"/>
      <c r="D11" s="2220"/>
      <c r="E11" s="2221"/>
      <c r="F11" s="770" t="s">
        <v>851</v>
      </c>
      <c r="G11" s="771"/>
      <c r="H11" s="764"/>
      <c r="I11" s="764"/>
      <c r="J11" s="765"/>
      <c r="K11" s="773"/>
    </row>
    <row r="12" spans="1:11" ht="13.5" thickBot="1" x14ac:dyDescent="0.25">
      <c r="A12" s="2246" t="s">
        <v>904</v>
      </c>
      <c r="B12" s="2247"/>
      <c r="C12" s="2247"/>
      <c r="D12" s="2247"/>
      <c r="E12" s="2248"/>
      <c r="F12" s="1757"/>
      <c r="G12" s="1758">
        <f>SUM(G5:G11)</f>
        <v>0</v>
      </c>
      <c r="H12" s="1758">
        <f>SUM(H5:H11)</f>
        <v>0</v>
      </c>
      <c r="I12" s="1758">
        <f>SUM(I5:I11)</f>
        <v>0</v>
      </c>
      <c r="J12" s="1758">
        <f>SUM(J5:J11)</f>
        <v>0</v>
      </c>
      <c r="K12" s="1758">
        <f>SUM(K5:K11)</f>
        <v>0</v>
      </c>
    </row>
    <row r="13" spans="1:11" ht="13.5" thickTop="1" x14ac:dyDescent="0.2">
      <c r="A13" s="2243" t="s">
        <v>369</v>
      </c>
      <c r="B13" s="2244"/>
      <c r="C13" s="2244"/>
      <c r="D13" s="2244"/>
      <c r="E13" s="2245"/>
      <c r="F13" s="785"/>
      <c r="G13" s="786"/>
      <c r="H13" s="787"/>
      <c r="I13" s="788"/>
      <c r="J13" s="788"/>
      <c r="K13" s="788"/>
    </row>
    <row r="14" spans="1:11" x14ac:dyDescent="0.2">
      <c r="A14" s="2226" t="s">
        <v>455</v>
      </c>
      <c r="B14" s="2226"/>
      <c r="C14" s="2226"/>
      <c r="D14" s="2226"/>
      <c r="E14" s="2227"/>
      <c r="F14" s="789" t="s">
        <v>853</v>
      </c>
      <c r="G14" s="782"/>
      <c r="H14" s="764"/>
      <c r="I14" s="771"/>
      <c r="J14" s="773"/>
      <c r="K14" s="765"/>
    </row>
    <row r="15" spans="1:11" x14ac:dyDescent="0.2">
      <c r="A15" s="2220" t="s">
        <v>4</v>
      </c>
      <c r="B15" s="2220"/>
      <c r="C15" s="2220"/>
      <c r="D15" s="2220"/>
      <c r="E15" s="2221"/>
      <c r="F15" s="789" t="s">
        <v>854</v>
      </c>
      <c r="G15" s="771"/>
      <c r="H15" s="764"/>
      <c r="I15" s="764"/>
      <c r="J15" s="765"/>
      <c r="K15" s="765"/>
    </row>
    <row r="16" spans="1:11" x14ac:dyDescent="0.2">
      <c r="A16" s="2220" t="s">
        <v>297</v>
      </c>
      <c r="B16" s="2220"/>
      <c r="C16" s="2220"/>
      <c r="D16" s="2220"/>
      <c r="E16" s="2221"/>
      <c r="F16" s="789" t="s">
        <v>922</v>
      </c>
      <c r="G16" s="772"/>
      <c r="H16" s="767"/>
      <c r="I16" s="767"/>
      <c r="J16" s="769"/>
      <c r="K16" s="769"/>
    </row>
    <row r="17" spans="1:11" x14ac:dyDescent="0.2">
      <c r="A17" s="2251" t="s">
        <v>934</v>
      </c>
      <c r="B17" s="2251"/>
      <c r="C17" s="2251"/>
      <c r="D17" s="2251"/>
      <c r="E17" s="2252"/>
      <c r="F17" s="790"/>
      <c r="G17" s="791"/>
      <c r="H17" s="792"/>
      <c r="I17" s="792"/>
      <c r="J17" s="793"/>
      <c r="K17" s="794"/>
    </row>
    <row r="18" spans="1:11" x14ac:dyDescent="0.2">
      <c r="A18" s="2230" t="s">
        <v>367</v>
      </c>
      <c r="B18" s="2231"/>
      <c r="C18" s="2231"/>
      <c r="D18" s="2231"/>
      <c r="E18" s="2232"/>
      <c r="F18" s="789" t="s">
        <v>931</v>
      </c>
      <c r="G18" s="782"/>
      <c r="H18" s="782"/>
      <c r="I18" s="782"/>
      <c r="J18" s="765"/>
      <c r="K18" s="795"/>
    </row>
    <row r="19" spans="1:11" ht="21.75" customHeight="1" x14ac:dyDescent="0.2">
      <c r="A19" s="2228" t="s">
        <v>1805</v>
      </c>
      <c r="B19" s="2228"/>
      <c r="C19" s="2228"/>
      <c r="D19" s="2228"/>
      <c r="E19" s="2229"/>
      <c r="F19" s="789" t="s">
        <v>932</v>
      </c>
      <c r="G19" s="782"/>
      <c r="H19" s="782"/>
      <c r="I19" s="782"/>
      <c r="J19" s="765"/>
      <c r="K19" s="795"/>
    </row>
    <row r="20" spans="1:11" x14ac:dyDescent="0.2">
      <c r="A20" s="2230" t="s">
        <v>1810</v>
      </c>
      <c r="B20" s="2231"/>
      <c r="C20" s="2231"/>
      <c r="D20" s="2231"/>
      <c r="E20" s="2232"/>
      <c r="F20" s="789" t="s">
        <v>933</v>
      </c>
      <c r="G20" s="782"/>
      <c r="H20" s="782"/>
      <c r="I20" s="782"/>
      <c r="J20" s="765"/>
      <c r="K20" s="795"/>
    </row>
    <row r="21" spans="1:11" ht="13.5" thickBot="1" x14ac:dyDescent="0.25">
      <c r="A21" s="2249" t="s">
        <v>637</v>
      </c>
      <c r="B21" s="2249"/>
      <c r="C21" s="2249"/>
      <c r="D21" s="2249"/>
      <c r="E21" s="2249"/>
      <c r="F21" s="1759"/>
      <c r="G21" s="792"/>
      <c r="H21" s="796"/>
      <c r="I21" s="796"/>
      <c r="J21" s="1760">
        <f>SUM(J18:J20)</f>
        <v>0</v>
      </c>
      <c r="K21" s="793"/>
    </row>
    <row r="22" spans="1:11" ht="13.5" thickTop="1" x14ac:dyDescent="0.2">
      <c r="A22" s="2220" t="s">
        <v>1811</v>
      </c>
      <c r="B22" s="2220"/>
      <c r="C22" s="2220"/>
      <c r="D22" s="2220"/>
      <c r="E22" s="2221"/>
      <c r="F22" s="789" t="s">
        <v>861</v>
      </c>
      <c r="G22" s="782"/>
      <c r="H22" s="764"/>
      <c r="I22" s="764"/>
      <c r="J22" s="797"/>
      <c r="K22" s="765"/>
    </row>
    <row r="23" spans="1:11" ht="13.5" thickBot="1" x14ac:dyDescent="0.25">
      <c r="A23" s="2250" t="s">
        <v>905</v>
      </c>
      <c r="B23" s="2249"/>
      <c r="C23" s="2249"/>
      <c r="D23" s="2249"/>
      <c r="E23" s="2249"/>
      <c r="F23" s="1761"/>
      <c r="G23" s="1758">
        <f>SUM(G14:G16,G21,G22)</f>
        <v>0</v>
      </c>
      <c r="H23" s="1758">
        <f>SUM(H14:H16,H21,H22)</f>
        <v>0</v>
      </c>
      <c r="I23" s="1758">
        <f>SUM(I14:I16,I21,I22)</f>
        <v>0</v>
      </c>
      <c r="J23" s="1758">
        <f>SUM(J14:J16,J21,J22)</f>
        <v>0</v>
      </c>
      <c r="K23" s="1758">
        <f>SUM(K14:K16,K21,K22)</f>
        <v>0</v>
      </c>
    </row>
    <row r="24" spans="1:11" ht="14.25" thickTop="1" thickBot="1" x14ac:dyDescent="0.25">
      <c r="A24" s="2250" t="s">
        <v>1959</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2061</v>
      </c>
      <c r="E30" s="808" t="s">
        <v>767</v>
      </c>
      <c r="F30" s="202"/>
      <c r="G30" s="805"/>
    </row>
    <row r="31" spans="1:11" x14ac:dyDescent="0.2">
      <c r="A31" s="809"/>
      <c r="D31" s="237"/>
      <c r="E31" s="810" t="s">
        <v>768</v>
      </c>
      <c r="F31" s="811" t="s">
        <v>538</v>
      </c>
      <c r="G31" s="764"/>
      <c r="H31" s="2223"/>
      <c r="I31" s="2224"/>
      <c r="J31" s="2224"/>
      <c r="K31" s="2224"/>
    </row>
    <row r="32" spans="1:11" x14ac:dyDescent="0.2">
      <c r="A32" s="809"/>
      <c r="B32" s="237"/>
      <c r="C32" s="237"/>
      <c r="D32" s="237"/>
      <c r="E32" s="805"/>
      <c r="F32" s="811" t="s">
        <v>539</v>
      </c>
      <c r="G32" s="764"/>
      <c r="H32" s="2225"/>
      <c r="I32" s="2224"/>
      <c r="J32" s="2224"/>
      <c r="K32" s="2224"/>
    </row>
    <row r="33" spans="1:11" ht="1.5" customHeight="1" x14ac:dyDescent="0.2">
      <c r="A33" s="812" t="s">
        <v>1168</v>
      </c>
      <c r="B33" s="364"/>
      <c r="C33" s="364"/>
      <c r="D33" s="364"/>
      <c r="E33" s="364"/>
      <c r="F33" s="364"/>
      <c r="G33" s="813"/>
      <c r="H33" s="2225"/>
      <c r="I33" s="2224"/>
      <c r="J33" s="2224"/>
      <c r="K33" s="2224"/>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0" t="s">
        <v>540</v>
      </c>
      <c r="B41" s="2233"/>
      <c r="C41" s="2233"/>
      <c r="D41" s="2233"/>
      <c r="E41" s="2233"/>
      <c r="F41" s="223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B9" sqref="B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1904</v>
      </c>
      <c r="B1" s="2256"/>
      <c r="C1" s="2257"/>
      <c r="D1" s="826"/>
      <c r="E1" s="827"/>
      <c r="F1" s="827"/>
      <c r="G1" s="828"/>
      <c r="H1" s="829"/>
      <c r="I1" s="830"/>
      <c r="J1" s="2253"/>
      <c r="K1" s="2254"/>
      <c r="L1" s="2254"/>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5170483</v>
      </c>
      <c r="D5" s="841"/>
      <c r="E5" s="841"/>
      <c r="F5" s="1760">
        <f>(C5+D5)-E5</f>
        <v>5170483</v>
      </c>
      <c r="G5" s="837"/>
      <c r="H5" s="842"/>
      <c r="I5" s="842"/>
      <c r="J5" s="842"/>
      <c r="K5" s="793"/>
      <c r="L5" s="1769">
        <f>F5-K5</f>
        <v>5170483</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221466988</v>
      </c>
      <c r="D8" s="844">
        <v>10522769</v>
      </c>
      <c r="E8" s="844">
        <v>2200615</v>
      </c>
      <c r="F8" s="1760">
        <f>(C8+D8)-E8</f>
        <v>229789142</v>
      </c>
      <c r="G8" s="843">
        <v>50</v>
      </c>
      <c r="H8" s="765">
        <v>89083268</v>
      </c>
      <c r="I8" s="765">
        <v>9261948</v>
      </c>
      <c r="J8" s="765">
        <v>2017277</v>
      </c>
      <c r="K8" s="1769">
        <f>(H8+I8)-J8</f>
        <v>96327939</v>
      </c>
      <c r="L8" s="1769">
        <f>F8-K8</f>
        <v>133461203</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c r="D10" s="846"/>
      <c r="E10" s="846"/>
      <c r="F10" s="1764">
        <f>(C10+D10)-E10</f>
        <v>0</v>
      </c>
      <c r="G10" s="843">
        <v>20</v>
      </c>
      <c r="H10" s="847"/>
      <c r="I10" s="847"/>
      <c r="J10" s="847"/>
      <c r="K10" s="1769">
        <f>(H10+I10)-J10</f>
        <v>0</v>
      </c>
      <c r="L10" s="1769">
        <f>F10-K10</f>
        <v>0</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41961593</v>
      </c>
      <c r="D12" s="844">
        <v>4191035</v>
      </c>
      <c r="E12" s="844">
        <v>2500625</v>
      </c>
      <c r="F12" s="1760">
        <f>(C12+D12)-E12</f>
        <v>43652003</v>
      </c>
      <c r="G12" s="843">
        <v>10</v>
      </c>
      <c r="H12" s="765">
        <v>24980754</v>
      </c>
      <c r="I12" s="765">
        <v>3023555</v>
      </c>
      <c r="J12" s="765">
        <v>2463887</v>
      </c>
      <c r="K12" s="1769">
        <f>(H12+I12)-J12</f>
        <v>25540422</v>
      </c>
      <c r="L12" s="1769">
        <f>F12-K12</f>
        <v>18111581</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268599064</v>
      </c>
      <c r="D16" s="1760">
        <f>SUM(D3,D5:D6,D8:D10,D12:D15)</f>
        <v>14713804</v>
      </c>
      <c r="E16" s="1760">
        <f>SUM(E3,E5:E6,E8:E10,E12:E15)</f>
        <v>4701240</v>
      </c>
      <c r="F16" s="1760">
        <f>SUM(F3,F5:F6,F8:F10,F12:F15)</f>
        <v>278611628</v>
      </c>
      <c r="G16" s="843"/>
      <c r="H16" s="1760">
        <f>SUM(H3,H6,H8:H10,H12:H14,)</f>
        <v>114064022</v>
      </c>
      <c r="I16" s="1760">
        <f>SUM(I3,I6,I8:I10,I12:I14,)</f>
        <v>12285503</v>
      </c>
      <c r="J16" s="1760">
        <f>SUM(J3,J6,J8:J10,J12:J14,)</f>
        <v>4481164</v>
      </c>
      <c r="K16" s="1760">
        <f>(H16+I16)-J16</f>
        <v>121868361</v>
      </c>
      <c r="L16" s="1760">
        <f>F16-K16</f>
        <v>156743267</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12285503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9" activePane="bottomLeft" state="frozen"/>
      <selection activeCell="A47" sqref="A47"/>
      <selection pane="bottomLeft" activeCell="D187" sqref="D18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1969</v>
      </c>
      <c r="B1" s="2262"/>
      <c r="C1" s="2262"/>
      <c r="D1" s="2262"/>
      <c r="E1" s="2262"/>
      <c r="F1" s="2263"/>
      <c r="G1" s="855"/>
    </row>
    <row r="2" spans="1:7" ht="15" customHeight="1" thickBot="1" x14ac:dyDescent="0.25">
      <c r="A2" s="2264" t="s">
        <v>476</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7"/>
      <c r="B5" s="2268"/>
      <c r="C5" s="2268"/>
      <c r="D5" s="2268"/>
      <c r="E5" s="2268"/>
      <c r="F5" s="2268"/>
    </row>
    <row r="6" spans="1:7" ht="13.5" customHeight="1" thickBot="1" x14ac:dyDescent="0.25">
      <c r="A6" s="2258" t="s">
        <v>1103</v>
      </c>
      <c r="B6" s="2259"/>
      <c r="C6" s="2259"/>
      <c r="D6" s="2259"/>
      <c r="E6" s="2259"/>
      <c r="F6" s="226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91738081</v>
      </c>
      <c r="G8" s="865"/>
    </row>
    <row r="9" spans="1:7" x14ac:dyDescent="0.2">
      <c r="A9" s="869" t="s">
        <v>459</v>
      </c>
      <c r="B9" s="870" t="s">
        <v>1872</v>
      </c>
      <c r="C9" s="871"/>
      <c r="D9" s="869" t="s">
        <v>500</v>
      </c>
      <c r="E9" s="868"/>
      <c r="F9" s="1909">
        <f>'Expenditures 15-22'!K151</f>
        <v>7599714</v>
      </c>
      <c r="G9" s="872"/>
    </row>
    <row r="10" spans="1:7" x14ac:dyDescent="0.2">
      <c r="A10" s="869" t="s">
        <v>498</v>
      </c>
      <c r="B10" s="870" t="s">
        <v>1873</v>
      </c>
      <c r="C10" s="871"/>
      <c r="D10" s="869" t="s">
        <v>500</v>
      </c>
      <c r="E10" s="868"/>
      <c r="F10" s="1909">
        <f>'Expenditures 15-22'!K174</f>
        <v>12371913</v>
      </c>
      <c r="G10" s="872"/>
    </row>
    <row r="11" spans="1:7" x14ac:dyDescent="0.2">
      <c r="A11" s="869" t="s">
        <v>460</v>
      </c>
      <c r="B11" s="870" t="s">
        <v>1874</v>
      </c>
      <c r="C11" s="871"/>
      <c r="D11" s="869" t="s">
        <v>500</v>
      </c>
      <c r="E11" s="868"/>
      <c r="F11" s="1909">
        <f>'Expenditures 15-22'!K210</f>
        <v>2396150</v>
      </c>
      <c r="G11" s="872"/>
    </row>
    <row r="12" spans="1:7" x14ac:dyDescent="0.2">
      <c r="A12" s="869" t="s">
        <v>461</v>
      </c>
      <c r="B12" s="870" t="s">
        <v>1875</v>
      </c>
      <c r="C12" s="871"/>
      <c r="D12" s="869" t="s">
        <v>500</v>
      </c>
      <c r="E12" s="868"/>
      <c r="F12" s="1909">
        <f>'Expenditures 15-22'!K295</f>
        <v>3046061</v>
      </c>
      <c r="G12" s="872"/>
    </row>
    <row r="13" spans="1:7" x14ac:dyDescent="0.2">
      <c r="A13" s="869" t="s">
        <v>106</v>
      </c>
      <c r="B13" s="870" t="s">
        <v>1876</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117151919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4">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1996</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551577</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649344</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3334331</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369349</v>
      </c>
      <c r="G52" s="865"/>
    </row>
    <row r="53" spans="1:7" x14ac:dyDescent="0.2">
      <c r="A53" s="869" t="s">
        <v>458</v>
      </c>
      <c r="B53" s="869" t="s">
        <v>1474</v>
      </c>
      <c r="C53" s="889">
        <f>'Expenditures 15-22'!B102</f>
        <v>4000</v>
      </c>
      <c r="D53" s="888" t="str">
        <f>'Expenditures 15-22'!A102</f>
        <v>Total Payments to Other Govt Units</v>
      </c>
      <c r="E53" s="868"/>
      <c r="F53" s="1913">
        <f>'Expenditures 15-22'!K102</f>
        <v>1446852</v>
      </c>
      <c r="G53" s="865"/>
    </row>
    <row r="54" spans="1:7" x14ac:dyDescent="0.2">
      <c r="A54" s="869" t="s">
        <v>458</v>
      </c>
      <c r="B54" s="869" t="s">
        <v>1475</v>
      </c>
      <c r="C54" s="889" t="s">
        <v>981</v>
      </c>
      <c r="D54" s="885" t="s">
        <v>1094</v>
      </c>
      <c r="E54" s="868"/>
      <c r="F54" s="1913">
        <f>'Expenditures 15-22'!G114</f>
        <v>3310298</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101792</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607367</v>
      </c>
      <c r="G58" s="865"/>
    </row>
    <row r="59" spans="1:7" x14ac:dyDescent="0.2">
      <c r="A59" s="893" t="s">
        <v>459</v>
      </c>
      <c r="B59" s="856" t="s">
        <v>1879</v>
      </c>
      <c r="C59" s="894" t="s">
        <v>981</v>
      </c>
      <c r="D59" s="856" t="s">
        <v>290</v>
      </c>
      <c r="F59" s="1916">
        <f>'Expenditures 15-22'!I151</f>
        <v>0</v>
      </c>
      <c r="G59" s="865"/>
    </row>
    <row r="60" spans="1:7" x14ac:dyDescent="0.2">
      <c r="A60" s="893" t="s">
        <v>498</v>
      </c>
      <c r="B60" s="856" t="s">
        <v>1880</v>
      </c>
      <c r="C60" s="894">
        <v>4000</v>
      </c>
      <c r="D60" s="856" t="s">
        <v>311</v>
      </c>
      <c r="F60" s="1914">
        <f>'Expenditures 15-22'!K160</f>
        <v>0</v>
      </c>
      <c r="G60" s="865"/>
    </row>
    <row r="61" spans="1:7" x14ac:dyDescent="0.2">
      <c r="A61" s="895" t="s">
        <v>498</v>
      </c>
      <c r="B61" s="895" t="s">
        <v>1881</v>
      </c>
      <c r="C61" s="896" t="str">
        <f>'Expenditures 15-22'!B170</f>
        <v>5300</v>
      </c>
      <c r="D61" s="897" t="s">
        <v>310</v>
      </c>
      <c r="E61" s="879"/>
      <c r="F61" s="1913">
        <f>'Expenditures 15-22'!K170</f>
        <v>9225000</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1884</v>
      </c>
      <c r="C64" s="896" t="str">
        <f>'Expenditures 15-22'!B206</f>
        <v>5300</v>
      </c>
      <c r="D64" s="892" t="s">
        <v>310</v>
      </c>
      <c r="E64" s="868"/>
      <c r="F64" s="1913">
        <f>'Expenditures 15-22'!K206</f>
        <v>0</v>
      </c>
      <c r="G64" s="865"/>
    </row>
    <row r="65" spans="1:8" x14ac:dyDescent="0.2">
      <c r="A65" s="869" t="s">
        <v>460</v>
      </c>
      <c r="B65" s="869" t="s">
        <v>1885</v>
      </c>
      <c r="C65" s="886" t="s">
        <v>981</v>
      </c>
      <c r="D65" s="885" t="s">
        <v>1094</v>
      </c>
      <c r="E65" s="868"/>
      <c r="F65" s="1913">
        <f>'Expenditures 15-22'!G210</f>
        <v>77370</v>
      </c>
      <c r="G65" s="865"/>
    </row>
    <row r="66" spans="1:8" x14ac:dyDescent="0.2">
      <c r="A66" s="869" t="s">
        <v>460</v>
      </c>
      <c r="B66" s="869" t="s">
        <v>1886</v>
      </c>
      <c r="C66" s="886" t="s">
        <v>981</v>
      </c>
      <c r="D66" s="885" t="s">
        <v>290</v>
      </c>
      <c r="E66" s="868"/>
      <c r="F66" s="1913">
        <f>'Expenditures 15-22'!I210</f>
        <v>0</v>
      </c>
      <c r="G66" s="865"/>
    </row>
    <row r="67" spans="1:8" x14ac:dyDescent="0.2">
      <c r="A67" s="869" t="s">
        <v>461</v>
      </c>
      <c r="B67" s="869" t="s">
        <v>1887</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52601</v>
      </c>
      <c r="G70" s="865"/>
    </row>
    <row r="71" spans="1:8" x14ac:dyDescent="0.2">
      <c r="A71" s="869" t="s">
        <v>461</v>
      </c>
      <c r="B71" s="869" t="s">
        <v>1890</v>
      </c>
      <c r="C71" s="886">
        <f>'Expenditures 15-22'!B224</f>
        <v>1600</v>
      </c>
      <c r="D71" s="887" t="str">
        <f>'Expenditures 15-22'!A224</f>
        <v>Summer School Programs</v>
      </c>
      <c r="E71" s="868"/>
      <c r="F71" s="1913">
        <f>'Expenditures 15-22'!K224</f>
        <v>18055</v>
      </c>
      <c r="G71" s="865"/>
    </row>
    <row r="72" spans="1:8" x14ac:dyDescent="0.2">
      <c r="A72" s="869" t="s">
        <v>461</v>
      </c>
      <c r="B72" s="869" t="s">
        <v>1891</v>
      </c>
      <c r="C72" s="886">
        <f>'Expenditures 15-22'!B280</f>
        <v>3000</v>
      </c>
      <c r="D72" s="876" t="s">
        <v>448</v>
      </c>
      <c r="E72" s="868"/>
      <c r="F72" s="1913">
        <f>'Expenditures 15-22'!K280</f>
        <v>19746</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19763682</v>
      </c>
      <c r="G76" s="865"/>
    </row>
    <row r="77" spans="1:8" s="893" customFormat="1" ht="12" customHeight="1" thickTop="1" thickBot="1" x14ac:dyDescent="0.25">
      <c r="A77" s="1779"/>
      <c r="B77" s="1776"/>
      <c r="C77" s="1772"/>
      <c r="D77" s="1777" t="s">
        <v>1895</v>
      </c>
      <c r="E77" s="1774"/>
      <c r="F77" s="1780">
        <f>(F14-F76)</f>
        <v>97388237</v>
      </c>
      <c r="G77" s="869"/>
    </row>
    <row r="78" spans="1:8" s="893" customFormat="1" ht="12" customHeight="1" thickTop="1" x14ac:dyDescent="0.2">
      <c r="A78" s="1781"/>
      <c r="B78" s="1776"/>
      <c r="C78" s="1772"/>
      <c r="D78" s="1777" t="s">
        <v>2056</v>
      </c>
      <c r="E78" s="1774"/>
      <c r="F78" s="898">
        <v>3998.31</v>
      </c>
      <c r="G78" s="899"/>
      <c r="H78" s="869"/>
    </row>
    <row r="79" spans="1:8" s="893" customFormat="1" ht="12" customHeight="1" thickBot="1" x14ac:dyDescent="0.25">
      <c r="A79" s="1782"/>
      <c r="B79" s="1776"/>
      <c r="C79" s="1772"/>
      <c r="D79" s="1777" t="s">
        <v>1896</v>
      </c>
      <c r="E79" s="1774" t="s">
        <v>957</v>
      </c>
      <c r="F79" s="1783">
        <f>IF(F78&gt;0,F77/F78," Complete Line 78")</f>
        <v>24357.350230472373</v>
      </c>
      <c r="G79" s="869"/>
    </row>
    <row r="80" spans="1:8" s="893" customFormat="1" ht="8.25" customHeight="1" thickTop="1" x14ac:dyDescent="0.2">
      <c r="A80" s="900"/>
      <c r="B80" s="869"/>
      <c r="C80" s="871"/>
      <c r="D80" s="901"/>
      <c r="E80" s="868"/>
      <c r="F80" s="902"/>
      <c r="G80" s="869"/>
    </row>
    <row r="81" spans="1:7" s="893" customFormat="1" ht="12" thickBot="1" x14ac:dyDescent="0.25">
      <c r="A81" s="2258" t="s">
        <v>1104</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310848</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381910</v>
      </c>
      <c r="G94" s="912"/>
    </row>
    <row r="95" spans="1:7" x14ac:dyDescent="0.2">
      <c r="A95" s="908" t="s">
        <v>140</v>
      </c>
      <c r="B95" s="908" t="s">
        <v>175</v>
      </c>
      <c r="C95" s="910">
        <v>1700</v>
      </c>
      <c r="D95" s="918" t="str">
        <f>'Revenues 9-14'!A82</f>
        <v>Total District/School Activity Income</v>
      </c>
      <c r="E95" s="906"/>
      <c r="F95" s="1789">
        <f>SUM('Revenues 9-14'!C82,'Revenues 9-14'!D82)</f>
        <v>1153170</v>
      </c>
      <c r="G95" s="912"/>
    </row>
    <row r="96" spans="1:7" x14ac:dyDescent="0.2">
      <c r="A96" s="908" t="s">
        <v>458</v>
      </c>
      <c r="B96" s="908" t="s">
        <v>176</v>
      </c>
      <c r="C96" s="910">
        <f>'Revenues 9-14'!B84</f>
        <v>1811</v>
      </c>
      <c r="D96" s="911" t="str">
        <f>'Revenues 9-14'!A84</f>
        <v>Rentals - Regular Textbooks</v>
      </c>
      <c r="E96" s="906"/>
      <c r="F96" s="1789">
        <f>'Revenues 9-14'!C84</f>
        <v>81158</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332711</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1997</v>
      </c>
      <c r="C105" s="913">
        <v>3100</v>
      </c>
      <c r="D105" s="919" t="str">
        <f>'Revenues 9-14'!A132</f>
        <v>Total Special Education</v>
      </c>
      <c r="E105" s="906"/>
      <c r="F105" s="1789">
        <f>SUM('Revenues 9-14'!C132:D132,'Revenues 9-14'!F132)</f>
        <v>196141</v>
      </c>
      <c r="G105" s="912"/>
    </row>
    <row r="106" spans="1:7" x14ac:dyDescent="0.2">
      <c r="A106" s="908" t="s">
        <v>672</v>
      </c>
      <c r="B106" s="908" t="s">
        <v>1998</v>
      </c>
      <c r="C106" s="920">
        <v>3200</v>
      </c>
      <c r="D106" s="911" t="str">
        <f>'Revenues 9-14'!A141</f>
        <v>Total Career and Technical Education</v>
      </c>
      <c r="E106" s="906"/>
      <c r="F106" s="1789">
        <f>SUM('Revenues 9-14'!C141,'Revenues 9-14'!D141,'Revenues 9-14'!G141)</f>
        <v>54199</v>
      </c>
      <c r="G106" s="912"/>
    </row>
    <row r="107" spans="1:7" x14ac:dyDescent="0.2">
      <c r="A107" s="921" t="s">
        <v>663</v>
      </c>
      <c r="B107" s="908" t="s">
        <v>1999</v>
      </c>
      <c r="C107" s="920">
        <v>3300</v>
      </c>
      <c r="D107" s="911" t="str">
        <f>'Revenues 9-14'!A145</f>
        <v>Total Bilingual Ed</v>
      </c>
      <c r="E107" s="906"/>
      <c r="F107" s="1789">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9">
        <f>'Revenues 9-14'!C146</f>
        <v>0</v>
      </c>
      <c r="G108" s="912"/>
    </row>
    <row r="109" spans="1:7" x14ac:dyDescent="0.2">
      <c r="A109" s="908" t="s">
        <v>672</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23617</v>
      </c>
      <c r="G110" s="912"/>
    </row>
    <row r="111" spans="1:7" x14ac:dyDescent="0.2">
      <c r="A111" s="908" t="s">
        <v>667</v>
      </c>
      <c r="B111" s="908" t="s">
        <v>2003</v>
      </c>
      <c r="C111" s="922">
        <v>3500</v>
      </c>
      <c r="D111" s="911" t="str">
        <f>'Revenues 9-14'!A155</f>
        <v>Total Transportation</v>
      </c>
      <c r="E111" s="906"/>
      <c r="F111" s="1789">
        <f>SUM('Revenues 9-14'!C155,'Revenues 9-14'!D155,'Revenues 9-14'!F155,'Revenues 9-14'!G155)</f>
        <v>769966</v>
      </c>
      <c r="G111" s="912"/>
    </row>
    <row r="112" spans="1:7" x14ac:dyDescent="0.2">
      <c r="A112" s="908" t="s">
        <v>458</v>
      </c>
      <c r="B112" s="908" t="s">
        <v>2004</v>
      </c>
      <c r="C112" s="920">
        <f>'Revenues 9-14'!B156</f>
        <v>3610</v>
      </c>
      <c r="D112" s="911" t="str">
        <f>'Revenues 9-14'!A156</f>
        <v>Learning Improvement - Change Grants</v>
      </c>
      <c r="E112" s="906"/>
      <c r="F112" s="1789">
        <f>'Revenues 9-14'!C156</f>
        <v>0</v>
      </c>
      <c r="G112" s="912"/>
    </row>
    <row r="113" spans="1:7" x14ac:dyDescent="0.2">
      <c r="A113" s="908" t="s">
        <v>667</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7">
        <f>SUM('Revenues 9-14'!C163:G163)</f>
        <v>0</v>
      </c>
      <c r="G118" s="912"/>
    </row>
    <row r="119" spans="1:7" x14ac:dyDescent="0.2">
      <c r="A119" s="923" t="s">
        <v>503</v>
      </c>
      <c r="B119" s="923" t="s">
        <v>2011</v>
      </c>
      <c r="C119" s="924">
        <f>'Revenues 9-14'!B164</f>
        <v>3815</v>
      </c>
      <c r="D119" s="925" t="str">
        <f>'Revenues 9-14'!A164</f>
        <v>State Charter Schools</v>
      </c>
      <c r="E119" s="906"/>
      <c r="F119" s="1907">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9">
        <f>'Revenues 9-14'!D167</f>
        <v>0</v>
      </c>
      <c r="G120" s="930"/>
    </row>
    <row r="121" spans="1:7" x14ac:dyDescent="0.2">
      <c r="A121" s="927" t="s">
        <v>499</v>
      </c>
      <c r="B121" s="927" t="s">
        <v>2013</v>
      </c>
      <c r="C121" s="928">
        <f>'Revenues 9-14'!B168</f>
        <v>3999</v>
      </c>
      <c r="D121" s="929" t="s">
        <v>542</v>
      </c>
      <c r="E121" s="931"/>
      <c r="F121" s="1789">
        <f>SUM('Revenues 9-14'!C168:G168,'Revenues 9-14'!J168)</f>
        <v>16768</v>
      </c>
      <c r="G121" s="930"/>
    </row>
    <row r="122" spans="1:7" x14ac:dyDescent="0.2">
      <c r="A122" s="927" t="s">
        <v>458</v>
      </c>
      <c r="B122" s="927" t="s">
        <v>2014</v>
      </c>
      <c r="C122" s="932">
        <f>'Revenues 9-14'!B177</f>
        <v>4045</v>
      </c>
      <c r="D122" s="929" t="str">
        <f>'Revenues 9-14'!A177 &amp; " (Subtract)"</f>
        <v>Head Start (Subtract)</v>
      </c>
      <c r="E122" s="906"/>
      <c r="F122" s="1789">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2016</v>
      </c>
      <c r="C124" s="932">
        <v>4100</v>
      </c>
      <c r="D124" s="933" t="str">
        <f>'Revenues 9-14'!A188</f>
        <v>Total Title V</v>
      </c>
      <c r="E124" s="906"/>
      <c r="F124" s="1789">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9">
        <f>SUM('Revenues 9-14'!C198,'Revenues 9-14'!G198)</f>
        <v>0</v>
      </c>
      <c r="G125" s="930"/>
    </row>
    <row r="126" spans="1:7" x14ac:dyDescent="0.2">
      <c r="A126" s="927" t="s">
        <v>667</v>
      </c>
      <c r="B126" s="927" t="s">
        <v>2018</v>
      </c>
      <c r="C126" s="932">
        <v>4300</v>
      </c>
      <c r="D126" s="933" t="str">
        <f>'Revenues 9-14'!A204</f>
        <v>Total Title I</v>
      </c>
      <c r="E126" s="906"/>
      <c r="F126" s="1789">
        <f>SUM('Revenues 9-14'!C204,'Revenues 9-14'!D204,'Revenues 9-14'!F204,'Revenues 9-14'!G204)</f>
        <v>0</v>
      </c>
      <c r="G126" s="930"/>
    </row>
    <row r="127" spans="1:7" x14ac:dyDescent="0.2">
      <c r="A127" s="927" t="s">
        <v>667</v>
      </c>
      <c r="B127" s="927" t="s">
        <v>2019</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2020</v>
      </c>
      <c r="C128" s="932">
        <f>'Revenues 9-14'!B213</f>
        <v>4620</v>
      </c>
      <c r="D128" s="933" t="str">
        <f>'Revenues 9-14'!A213</f>
        <v>Fed - Spec Education - IDEA - Flow Through</v>
      </c>
      <c r="E128" s="906"/>
      <c r="F128" s="1789">
        <f>SUM('Revenues 9-14'!C213:D213,'Revenues 9-14'!F213:G213)</f>
        <v>857915</v>
      </c>
      <c r="G128" s="930"/>
    </row>
    <row r="129" spans="1:7" x14ac:dyDescent="0.2">
      <c r="A129" s="927" t="s">
        <v>667</v>
      </c>
      <c r="B129" s="927" t="s">
        <v>2021</v>
      </c>
      <c r="C129" s="932">
        <f>'Revenues 9-14'!B214</f>
        <v>4625</v>
      </c>
      <c r="D129" s="933" t="str">
        <f>'Revenues 9-14'!A214</f>
        <v>Fed - Spec Education - IDEA - Room &amp; Board</v>
      </c>
      <c r="E129" s="906"/>
      <c r="F129" s="1789">
        <f>SUM('Revenues 9-14'!C214,'Revenues 9-14'!D214,'Revenues 9-14'!F214,'Revenues 9-14'!G214)</f>
        <v>1519373</v>
      </c>
      <c r="G129" s="930"/>
    </row>
    <row r="130" spans="1:7" x14ac:dyDescent="0.2">
      <c r="A130" s="927" t="s">
        <v>667</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2023</v>
      </c>
      <c r="C132" s="932">
        <v>4700</v>
      </c>
      <c r="D132" s="929" t="str">
        <f>'Revenues 9-14'!A221</f>
        <v>Total CTE - Perkins</v>
      </c>
      <c r="E132" s="906"/>
      <c r="F132" s="1789">
        <f>SUM('Revenues 9-14'!C221,'Revenues 9-14'!D221,'Revenues 9-14'!G221)</f>
        <v>73255</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2038</v>
      </c>
      <c r="C157" s="940" t="s">
        <v>840</v>
      </c>
      <c r="D157" s="941" t="s">
        <v>776</v>
      </c>
      <c r="E157" s="942"/>
      <c r="F157" s="1789">
        <f>SUM(F133:F156)</f>
        <v>0</v>
      </c>
      <c r="G157" s="905"/>
    </row>
    <row r="158" spans="1:7" s="867" customFormat="1" x14ac:dyDescent="0.2">
      <c r="A158" s="938" t="s">
        <v>458</v>
      </c>
      <c r="B158" s="939" t="s">
        <v>2039</v>
      </c>
      <c r="C158" s="940" t="s">
        <v>1426</v>
      </c>
      <c r="D158" s="941" t="s">
        <v>1427</v>
      </c>
      <c r="E158" s="942"/>
      <c r="F158" s="1789">
        <f>SUM('Revenues 9-14'!C253)</f>
        <v>0</v>
      </c>
      <c r="G158" s="905"/>
    </row>
    <row r="159" spans="1:7" s="867" customFormat="1" x14ac:dyDescent="0.2">
      <c r="A159" s="938" t="s">
        <v>499</v>
      </c>
      <c r="B159" s="939" t="s">
        <v>2040</v>
      </c>
      <c r="C159" s="940" t="s">
        <v>1465</v>
      </c>
      <c r="D159" s="941" t="s">
        <v>1466</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2200</v>
      </c>
      <c r="G161" s="943"/>
    </row>
    <row r="162" spans="1:7" x14ac:dyDescent="0.2">
      <c r="A162" s="927" t="s">
        <v>667</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7">
        <f>SUM('Revenues 9-14'!C259,'Revenues 9-14'!D259,'Revenues 9-14'!F259,'Revenues 9-14'!G259)</f>
        <v>21860</v>
      </c>
      <c r="G164" s="930"/>
    </row>
    <row r="165" spans="1:7" x14ac:dyDescent="0.2">
      <c r="A165" s="927" t="s">
        <v>667</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667</v>
      </c>
      <c r="B169" s="927" t="s">
        <v>2048</v>
      </c>
      <c r="C169" s="932">
        <f>'Revenues 9-14'!B264</f>
        <v>4992</v>
      </c>
      <c r="D169" s="933" t="str">
        <f>'Revenues 9-14'!A264</f>
        <v>Medicaid Matching Funds - Fee-for-Service Program</v>
      </c>
      <c r="E169" s="906"/>
      <c r="F169" s="1789">
        <f>SUM('Revenues 9-14'!C264:D264,'Revenues 9-14'!F264:G264)</f>
        <v>269</v>
      </c>
      <c r="G169" s="947"/>
    </row>
    <row r="170" spans="1:7" x14ac:dyDescent="0.2">
      <c r="A170" s="948" t="s">
        <v>667</v>
      </c>
      <c r="B170" s="944" t="s">
        <v>2049</v>
      </c>
      <c r="C170" s="945">
        <f>'Revenues 9-14'!B265</f>
        <v>4999</v>
      </c>
      <c r="D170" s="946" t="str">
        <f>'Revenues 9-14'!A265</f>
        <v>Other Restricted Revenue from Federal Sources (Describe &amp; Itemize)</v>
      </c>
      <c r="E170" s="906"/>
      <c r="F170" s="1789">
        <f>SUM('Revenues 9-14'!C265:D265,'Revenues 9-14'!F265:G265)</f>
        <v>55744</v>
      </c>
      <c r="G170" s="927"/>
    </row>
    <row r="171" spans="1:7" x14ac:dyDescent="0.2">
      <c r="A171" s="1918" t="s">
        <v>5</v>
      </c>
      <c r="B171" s="1919" t="s">
        <v>1915</v>
      </c>
      <c r="C171" s="1920">
        <v>3100</v>
      </c>
      <c r="D171" s="1921" t="s">
        <v>1917</v>
      </c>
      <c r="E171" s="906"/>
      <c r="F171" s="1906"/>
      <c r="G171" s="927"/>
    </row>
    <row r="172" spans="1:7" x14ac:dyDescent="0.2">
      <c r="A172" s="1918" t="s">
        <v>663</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957</v>
      </c>
      <c r="F174" s="1788">
        <f>SUM(F84:F132,F157:F172)</f>
        <v>5851104</v>
      </c>
    </row>
    <row r="175" spans="1:7" ht="12" customHeight="1" x14ac:dyDescent="0.2">
      <c r="A175" s="1770"/>
      <c r="B175" s="1784"/>
      <c r="C175" s="1785"/>
      <c r="D175" s="1786" t="s">
        <v>2051</v>
      </c>
      <c r="E175" s="1787"/>
      <c r="F175" s="1789">
        <f>'PCTC-OEPP 27-28'!F77-F174</f>
        <v>91537133</v>
      </c>
    </row>
    <row r="176" spans="1:7" ht="12" customHeight="1" x14ac:dyDescent="0.2">
      <c r="A176" s="1770"/>
      <c r="B176" s="1784"/>
      <c r="C176" s="1785"/>
      <c r="D176" s="1786" t="s">
        <v>1813</v>
      </c>
      <c r="E176" s="1787"/>
      <c r="F176" s="1789">
        <f>'Cap Outlay Deprec 26'!I18</f>
        <v>12285503</v>
      </c>
    </row>
    <row r="177" spans="1:7" ht="12" customHeight="1" x14ac:dyDescent="0.2">
      <c r="A177" s="1770"/>
      <c r="B177" s="1784"/>
      <c r="C177" s="1785"/>
      <c r="D177" s="1786" t="s">
        <v>2052</v>
      </c>
      <c r="E177" s="1787"/>
      <c r="F177" s="1789">
        <f>F175+F176</f>
        <v>103822636</v>
      </c>
    </row>
    <row r="178" spans="1:7" ht="12" customHeight="1" x14ac:dyDescent="0.2">
      <c r="A178" s="1770"/>
      <c r="B178" s="1790"/>
      <c r="C178" s="1785"/>
      <c r="D178" s="1786" t="str">
        <f>D78</f>
        <v>9 Month ADA from District Average Daily Attendance/Prior General State Aid Inquiry 2018-2019</v>
      </c>
      <c r="E178" s="1787"/>
      <c r="F178" s="1791">
        <f>'PCTC-OEPP 27-28'!F78</f>
        <v>3998.31</v>
      </c>
      <c r="G178" s="930"/>
    </row>
    <row r="179" spans="1:7" ht="12" customHeight="1" thickBot="1" x14ac:dyDescent="0.25">
      <c r="A179" s="1770"/>
      <c r="B179" s="1790"/>
      <c r="C179" s="1785"/>
      <c r="D179" s="1786" t="s">
        <v>2053</v>
      </c>
      <c r="E179" s="1787" t="s">
        <v>1544</v>
      </c>
      <c r="F179" s="1792">
        <f>F177/F178</f>
        <v>25966.62990113323</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topLeftCell="A7" zoomScaleNormal="100" workbookViewId="0">
      <selection activeCell="C30" sqref="C3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2" t="s">
        <v>1814</v>
      </c>
      <c r="B4" s="2273"/>
      <c r="C4" s="2273"/>
      <c r="D4" s="2273"/>
      <c r="E4" s="2273"/>
      <c r="F4" s="2273"/>
      <c r="G4" s="2274"/>
    </row>
    <row r="5" spans="1:7" x14ac:dyDescent="0.25">
      <c r="A5" s="2275"/>
      <c r="B5" s="2276"/>
      <c r="C5" s="2276"/>
      <c r="D5" s="2276"/>
      <c r="E5" s="2276"/>
      <c r="F5" s="2276"/>
      <c r="G5" s="2277"/>
    </row>
    <row r="6" spans="1:7" ht="18.75" x14ac:dyDescent="0.25">
      <c r="A6" s="1939" t="s">
        <v>2060</v>
      </c>
      <c r="B6" s="1940"/>
      <c r="C6" s="1940"/>
      <c r="D6" s="1940"/>
      <c r="E6" s="1940"/>
      <c r="F6" s="1940"/>
      <c r="G6" s="1941"/>
    </row>
    <row r="7" spans="1:7" ht="18.75" x14ac:dyDescent="0.25">
      <c r="A7" s="1534" t="s">
        <v>1815</v>
      </c>
      <c r="B7" s="1535"/>
      <c r="C7" s="1535"/>
      <c r="D7" s="1535"/>
      <c r="E7" s="1535"/>
      <c r="F7" s="1535"/>
      <c r="G7" s="1536"/>
    </row>
    <row r="8" spans="1:7" ht="30.75" customHeight="1" x14ac:dyDescent="0.25">
      <c r="A8" s="2278" t="s">
        <v>1927</v>
      </c>
      <c r="B8" s="2279"/>
      <c r="C8" s="2279"/>
      <c r="D8" s="2279"/>
      <c r="E8" s="2279"/>
      <c r="F8" s="2279"/>
      <c r="G8" s="2280"/>
    </row>
    <row r="9" spans="1:7" ht="15.75" customHeight="1" x14ac:dyDescent="0.25">
      <c r="A9" s="2281" t="s">
        <v>1902</v>
      </c>
      <c r="B9" s="2282"/>
      <c r="C9" s="2282"/>
      <c r="D9" s="2282"/>
      <c r="E9" s="2282"/>
      <c r="F9" s="2282"/>
      <c r="G9" s="2283"/>
    </row>
    <row r="10" spans="1:7" ht="35.25" customHeight="1" x14ac:dyDescent="0.25">
      <c r="A10" s="2278" t="s">
        <v>2059</v>
      </c>
      <c r="B10" s="2279"/>
      <c r="C10" s="2279"/>
      <c r="D10" s="2279"/>
      <c r="E10" s="2279"/>
      <c r="F10" s="2279"/>
      <c r="G10" s="2280"/>
    </row>
    <row r="11" spans="1:7" ht="15" customHeight="1" x14ac:dyDescent="0.25">
      <c r="A11" s="1537" t="s">
        <v>1816</v>
      </c>
      <c r="B11" s="1538"/>
      <c r="C11" s="1538"/>
      <c r="D11" s="1538"/>
      <c r="E11" s="1538"/>
      <c r="F11" s="1538"/>
      <c r="G11" s="1539"/>
    </row>
    <row r="12" spans="1:7" ht="17.25" customHeight="1" x14ac:dyDescent="0.25">
      <c r="A12" s="2278" t="s">
        <v>1929</v>
      </c>
      <c r="B12" s="2279"/>
      <c r="C12" s="2279"/>
      <c r="D12" s="2279"/>
      <c r="E12" s="2279"/>
      <c r="F12" s="2279"/>
      <c r="G12" s="2280"/>
    </row>
    <row r="13" spans="1:7" ht="15" customHeight="1" x14ac:dyDescent="0.25">
      <c r="A13" s="1537" t="s">
        <v>1821</v>
      </c>
      <c r="B13" s="1538"/>
      <c r="C13" s="1538"/>
      <c r="D13" s="1538"/>
      <c r="E13" s="1538"/>
      <c r="F13" s="1538"/>
      <c r="G13" s="1539"/>
    </row>
    <row r="14" spans="1:7" ht="32.25" customHeight="1" x14ac:dyDescent="0.25">
      <c r="A14" s="2269" t="s">
        <v>1970</v>
      </c>
      <c r="B14" s="2270"/>
      <c r="C14" s="2270"/>
      <c r="D14" s="2270"/>
      <c r="E14" s="2270"/>
      <c r="F14" s="2270"/>
      <c r="G14" s="2271"/>
    </row>
    <row r="15" spans="1:7" x14ac:dyDescent="0.25">
      <c r="A15" s="1661" t="s">
        <v>1829</v>
      </c>
      <c r="B15" s="1662"/>
      <c r="C15" s="1662"/>
      <c r="D15" s="1662"/>
      <c r="E15" s="1662"/>
      <c r="F15" s="1662"/>
      <c r="G15" s="1663"/>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t="s">
        <v>2139</v>
      </c>
      <c r="B18" s="1937" t="s">
        <v>2144</v>
      </c>
      <c r="C18" s="1656" t="s">
        <v>2145</v>
      </c>
      <c r="D18" s="1844">
        <v>12896</v>
      </c>
      <c r="E18" s="1540">
        <f t="shared" ref="E18:E142" si="0">IF(D18&lt;=25000,D18,IF(D18&gt;25000,25000,0))</f>
        <v>12896</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12896</v>
      </c>
      <c r="G18" s="1793">
        <f>IF(F18=0,0,D18-F18)</f>
        <v>0</v>
      </c>
      <c r="H18" s="1647"/>
    </row>
    <row r="19" spans="1:8" x14ac:dyDescent="0.25">
      <c r="A19" s="1653" t="s">
        <v>2140</v>
      </c>
      <c r="B19" s="1934" t="s">
        <v>2146</v>
      </c>
      <c r="C19" s="1656" t="s">
        <v>2147</v>
      </c>
      <c r="D19" s="1844">
        <v>1038074</v>
      </c>
      <c r="E19" s="1540">
        <f t="shared" ref="E19:E141" si="2">IF(D19&lt;=25000,D19,IF(D19&gt;25000,25000,0))</f>
        <v>25000</v>
      </c>
      <c r="F19" s="1938">
        <f t="shared" si="1"/>
        <v>25000</v>
      </c>
      <c r="G19" s="1793">
        <f t="shared" ref="G19:G141" si="3">IF(F19=0,0,D19-F19)</f>
        <v>1013074</v>
      </c>
    </row>
    <row r="20" spans="1:8" x14ac:dyDescent="0.25">
      <c r="A20" s="1653" t="s">
        <v>2140</v>
      </c>
      <c r="B20" s="1934" t="s">
        <v>2146</v>
      </c>
      <c r="C20" s="1656" t="s">
        <v>2148</v>
      </c>
      <c r="D20" s="1844">
        <v>140575</v>
      </c>
      <c r="E20" s="1540">
        <f t="shared" si="2"/>
        <v>25000</v>
      </c>
      <c r="F20" s="1938">
        <f t="shared" si="1"/>
        <v>25000</v>
      </c>
      <c r="G20" s="1793">
        <f t="shared" si="3"/>
        <v>115575</v>
      </c>
    </row>
    <row r="21" spans="1:8" x14ac:dyDescent="0.25">
      <c r="A21" s="1653" t="s">
        <v>2140</v>
      </c>
      <c r="B21" s="1934" t="s">
        <v>2146</v>
      </c>
      <c r="C21" s="1656" t="s">
        <v>2149</v>
      </c>
      <c r="D21" s="1844">
        <v>47565</v>
      </c>
      <c r="E21" s="1540">
        <f t="shared" si="2"/>
        <v>25000</v>
      </c>
      <c r="F21" s="1938">
        <f t="shared" si="1"/>
        <v>25000</v>
      </c>
      <c r="G21" s="1793">
        <f t="shared" si="3"/>
        <v>22565</v>
      </c>
    </row>
    <row r="22" spans="1:8" x14ac:dyDescent="0.25">
      <c r="A22" s="1942" t="s">
        <v>2140</v>
      </c>
      <c r="B22" s="1934" t="s">
        <v>2146</v>
      </c>
      <c r="C22" s="1656" t="s">
        <v>2150</v>
      </c>
      <c r="D22" s="1844">
        <v>86341</v>
      </c>
      <c r="E22" s="1540">
        <f t="shared" si="2"/>
        <v>25000</v>
      </c>
      <c r="F22" s="1938">
        <f t="shared" si="1"/>
        <v>25000</v>
      </c>
      <c r="G22" s="1793">
        <f t="shared" si="3"/>
        <v>61341</v>
      </c>
    </row>
    <row r="23" spans="1:8" x14ac:dyDescent="0.25">
      <c r="A23" s="1653" t="s">
        <v>2140</v>
      </c>
      <c r="B23" s="1934" t="s">
        <v>2146</v>
      </c>
      <c r="C23" s="1656" t="s">
        <v>2151</v>
      </c>
      <c r="D23" s="1844">
        <v>498845</v>
      </c>
      <c r="E23" s="1540">
        <f t="shared" si="2"/>
        <v>25000</v>
      </c>
      <c r="F23" s="1938">
        <f t="shared" si="1"/>
        <v>25000</v>
      </c>
      <c r="G23" s="1793">
        <f t="shared" si="3"/>
        <v>473845</v>
      </c>
    </row>
    <row r="24" spans="1:8" x14ac:dyDescent="0.25">
      <c r="A24" s="1653" t="s">
        <v>2140</v>
      </c>
      <c r="B24" s="1934" t="s">
        <v>2146</v>
      </c>
      <c r="C24" s="1656" t="s">
        <v>2152</v>
      </c>
      <c r="D24" s="1844">
        <v>281580</v>
      </c>
      <c r="E24" s="1540">
        <f t="shared" si="2"/>
        <v>25000</v>
      </c>
      <c r="F24" s="1938">
        <f t="shared" si="1"/>
        <v>25000</v>
      </c>
      <c r="G24" s="1793">
        <f t="shared" si="3"/>
        <v>256580</v>
      </c>
    </row>
    <row r="25" spans="1:8" x14ac:dyDescent="0.25">
      <c r="A25" s="1653" t="s">
        <v>2141</v>
      </c>
      <c r="B25" s="1934" t="s">
        <v>2153</v>
      </c>
      <c r="C25" s="1656" t="s">
        <v>2154</v>
      </c>
      <c r="D25" s="1844">
        <v>25960</v>
      </c>
      <c r="E25" s="1540">
        <f t="shared" si="2"/>
        <v>25000</v>
      </c>
      <c r="F25" s="1938">
        <f t="shared" si="1"/>
        <v>25000</v>
      </c>
      <c r="G25" s="1793">
        <f t="shared" si="3"/>
        <v>960</v>
      </c>
    </row>
    <row r="26" spans="1:8" x14ac:dyDescent="0.25">
      <c r="A26" s="1653" t="s">
        <v>2141</v>
      </c>
      <c r="B26" s="1934" t="s">
        <v>2153</v>
      </c>
      <c r="C26" s="1656" t="s">
        <v>2155</v>
      </c>
      <c r="D26" s="1844">
        <v>14874</v>
      </c>
      <c r="E26" s="1540">
        <f t="shared" si="2"/>
        <v>14874</v>
      </c>
      <c r="F26" s="1938">
        <f t="shared" si="1"/>
        <v>14874</v>
      </c>
      <c r="G26" s="1793">
        <f t="shared" si="3"/>
        <v>0</v>
      </c>
    </row>
    <row r="27" spans="1:8" x14ac:dyDescent="0.25">
      <c r="A27" s="1653" t="s">
        <v>2141</v>
      </c>
      <c r="B27" s="1934" t="s">
        <v>2153</v>
      </c>
      <c r="C27" s="1654" t="s">
        <v>2156</v>
      </c>
      <c r="D27" s="1844">
        <v>4800</v>
      </c>
      <c r="E27" s="1540">
        <f t="shared" si="2"/>
        <v>4800</v>
      </c>
      <c r="F27" s="1938">
        <f t="shared" si="1"/>
        <v>4800</v>
      </c>
      <c r="G27" s="1793">
        <f t="shared" si="3"/>
        <v>0</v>
      </c>
    </row>
    <row r="28" spans="1:8" x14ac:dyDescent="0.25">
      <c r="A28" s="1653" t="s">
        <v>2142</v>
      </c>
      <c r="B28" s="1934" t="s">
        <v>2157</v>
      </c>
      <c r="C28" s="1654" t="s">
        <v>2158</v>
      </c>
      <c r="D28" s="1844">
        <v>29391</v>
      </c>
      <c r="E28" s="1540">
        <f t="shared" si="2"/>
        <v>25000</v>
      </c>
      <c r="F28" s="1938">
        <f t="shared" si="1"/>
        <v>25000</v>
      </c>
      <c r="G28" s="1793">
        <f t="shared" si="3"/>
        <v>4391</v>
      </c>
    </row>
    <row r="29" spans="1:8" x14ac:dyDescent="0.25">
      <c r="A29" s="1653" t="s">
        <v>2142</v>
      </c>
      <c r="B29" s="1934" t="s">
        <v>2157</v>
      </c>
      <c r="C29" s="1654" t="s">
        <v>2159</v>
      </c>
      <c r="D29" s="1844">
        <v>345049</v>
      </c>
      <c r="E29" s="1540">
        <f t="shared" si="2"/>
        <v>25000</v>
      </c>
      <c r="F29" s="1938">
        <f t="shared" si="1"/>
        <v>25000</v>
      </c>
      <c r="G29" s="1793">
        <f t="shared" si="3"/>
        <v>320049</v>
      </c>
    </row>
    <row r="30" spans="1:8" x14ac:dyDescent="0.25">
      <c r="A30" s="1653" t="s">
        <v>2142</v>
      </c>
      <c r="B30" s="1934" t="s">
        <v>2160</v>
      </c>
      <c r="C30" s="1654" t="s">
        <v>2161</v>
      </c>
      <c r="D30" s="1844">
        <v>91267</v>
      </c>
      <c r="E30" s="1540">
        <f t="shared" si="2"/>
        <v>25000</v>
      </c>
      <c r="F30" s="1938">
        <f t="shared" si="1"/>
        <v>25000</v>
      </c>
      <c r="G30" s="1793">
        <f t="shared" si="3"/>
        <v>66267</v>
      </c>
    </row>
    <row r="31" spans="1:8" x14ac:dyDescent="0.25">
      <c r="A31" s="1653" t="s">
        <v>2142</v>
      </c>
      <c r="B31" s="1934" t="s">
        <v>2160</v>
      </c>
      <c r="C31" s="1654" t="s">
        <v>2162</v>
      </c>
      <c r="D31" s="1844">
        <v>60602</v>
      </c>
      <c r="E31" s="1540">
        <f t="shared" si="2"/>
        <v>25000</v>
      </c>
      <c r="F31" s="1938">
        <f t="shared" si="1"/>
        <v>25000</v>
      </c>
      <c r="G31" s="1793">
        <f t="shared" si="3"/>
        <v>35602</v>
      </c>
    </row>
    <row r="32" spans="1:8" x14ac:dyDescent="0.25">
      <c r="A32" s="1653" t="s">
        <v>2142</v>
      </c>
      <c r="B32" s="1934" t="s">
        <v>2160</v>
      </c>
      <c r="C32" s="1654" t="s">
        <v>2163</v>
      </c>
      <c r="D32" s="1844">
        <v>32008</v>
      </c>
      <c r="E32" s="1540">
        <f t="shared" si="2"/>
        <v>25000</v>
      </c>
      <c r="F32" s="1938">
        <f t="shared" si="1"/>
        <v>25000</v>
      </c>
      <c r="G32" s="1793">
        <f t="shared" si="3"/>
        <v>7008</v>
      </c>
    </row>
    <row r="33" spans="1:7" x14ac:dyDescent="0.25">
      <c r="A33" s="1653" t="s">
        <v>2143</v>
      </c>
      <c r="B33" s="1934" t="s">
        <v>2164</v>
      </c>
      <c r="C33" s="1654" t="s">
        <v>2165</v>
      </c>
      <c r="D33" s="1844">
        <v>213857</v>
      </c>
      <c r="E33" s="1540">
        <f t="shared" si="2"/>
        <v>25000</v>
      </c>
      <c r="F33" s="1938">
        <f t="shared" si="1"/>
        <v>25000</v>
      </c>
      <c r="G33" s="1793">
        <f t="shared" si="3"/>
        <v>188857</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2923684</v>
      </c>
      <c r="E142" s="1541">
        <f t="shared" si="0"/>
        <v>25000</v>
      </c>
      <c r="F142" s="1933">
        <f>SUM(F18:F141)</f>
        <v>357570</v>
      </c>
      <c r="G142" s="1795">
        <f>SUM(G18:G141)</f>
        <v>2566114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B8" sqref="B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4" t="s">
        <v>1678</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289" t="s">
        <v>1971</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61343645</v>
      </c>
      <c r="F19" s="1799"/>
      <c r="G19" s="1801">
        <f>'Expenditures 15-22'!K33-SUM('Expenditures 15-22'!G33,'Expenditures 15-22'!I33)+'Expenditures 15-22'!D229</f>
        <v>61343645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12429416</v>
      </c>
      <c r="F21" s="1802"/>
      <c r="G21" s="1805">
        <f>'Expenditures 15-22'!K42-SUM('Expenditures 15-22'!G42,'Expenditures 15-22'!I42)+'Expenditures 15-22'!K120-SUM('Expenditures 15-22'!G120,'Expenditures 15-22'!I120)+'Expenditures 15-22'!K180-SUM('Expenditures 15-22'!G180,'Expenditures 15-22'!I180)+'Expenditures 15-22'!D238</f>
        <v>12429416</v>
      </c>
      <c r="H21" s="987"/>
      <c r="I21" s="162"/>
    </row>
    <row r="22" spans="1:9" s="668" customFormat="1" ht="12" customHeight="1" x14ac:dyDescent="0.2">
      <c r="A22" s="994" t="s">
        <v>563</v>
      </c>
      <c r="B22" s="995"/>
      <c r="C22" s="993">
        <v>2200</v>
      </c>
      <c r="D22" s="1802"/>
      <c r="E22" s="1804">
        <f>'Expenditures 15-22'!K47-SUM('Expenditures 15-22'!G47,'Expenditures 15-22'!I47)+'Expenditures 15-22'!D243</f>
        <v>3319484</v>
      </c>
      <c r="F22" s="1802"/>
      <c r="G22" s="1805">
        <f>'Expenditures 15-22'!K47-SUM('Expenditures 15-22'!G47,'Expenditures 15-22'!I47)+'Expenditures 15-22'!D243</f>
        <v>3319484</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1778180</v>
      </c>
      <c r="F23" s="1802"/>
      <c r="G23" s="1804">
        <f>'Expenditures 15-22'!K53-SUM('Expenditures 15-22'!G53,'Expenditures 15-22'!I53)+'Expenditures 15-22'!D257+'Expenditures 15-22'!K330-SUM('Expenditures 15-22'!G330,'Expenditures 15-22'!I330)</f>
        <v>1778180</v>
      </c>
      <c r="H23" s="987"/>
      <c r="I23" s="162"/>
    </row>
    <row r="24" spans="1:9" s="668" customFormat="1" ht="12" customHeight="1" x14ac:dyDescent="0.2">
      <c r="A24" s="994" t="s">
        <v>565</v>
      </c>
      <c r="B24" s="995"/>
      <c r="C24" s="993">
        <v>2400</v>
      </c>
      <c r="D24" s="1802"/>
      <c r="E24" s="1804">
        <f>'Expenditures 15-22'!K57-SUM('Expenditures 15-22'!G57,'Expenditures 15-22'!I57)+'Expenditures 15-22'!D261</f>
        <v>1708043</v>
      </c>
      <c r="F24" s="1802"/>
      <c r="G24" s="1805">
        <f>'Expenditures 15-22'!K57-SUM('Expenditures 15-22'!G57,'Expenditures 15-22'!I57)+'Expenditures 15-22'!D261</f>
        <v>1708043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346814</v>
      </c>
      <c r="E26" s="1804">
        <f>'Expenditures 15-22'!K122-SUM('Expenditures 15-22'!G122,'Expenditures 15-22'!I122)+E7</f>
        <v>0</v>
      </c>
      <c r="F26" s="1804">
        <f>'Expenditures 15-22'!K59-SUM('Expenditures 15-22'!G59,'Expenditures 15-22'!I59)+'Expenditures 15-22'!D263-E7</f>
        <v>346814</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1184156</v>
      </c>
      <c r="E27" s="1804">
        <f>E8</f>
        <v>0</v>
      </c>
      <c r="F27" s="1804">
        <f>'Expenditures 15-22'!K60-SUM('Expenditures 15-22'!G60,'Expenditures 15-22'!I60)+'Expenditures 15-22'!D264-E8</f>
        <v>1184156</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11420342</v>
      </c>
      <c r="F28" s="1806">
        <f>'Expenditures 15-22'!K61-SUM('Expenditures 15-22'!G61,'Expenditures 15-22'!I61)+'Expenditures 15-22'!K124-SUM('Expenditures 15-22'!G124,'Expenditures 15-22'!I124)+'Expenditures 15-22'!D266-E9</f>
        <v>11420342</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2330423</v>
      </c>
      <c r="F29" s="1802"/>
      <c r="G29" s="1805">
        <f>'Expenditures 15-22'!K62-SUM('Expenditures 15-22'!G62,'Expenditures 15-22'!I62)+'Expenditures 15-22'!K125-SUM('Expenditures 15-22'!G125,'Expenditures 15-22'!I125)+'Expenditures 15-22'!K182-SUM('Expenditures 15-22'!G182,'Expenditures 15-22'!I182)+'Expenditures 15-22'!D267</f>
        <v>2330423</v>
      </c>
      <c r="H29" s="985"/>
    </row>
    <row r="30" spans="1:9" ht="12" customHeight="1" x14ac:dyDescent="0.2">
      <c r="A30" s="994" t="s">
        <v>100</v>
      </c>
      <c r="B30" s="997"/>
      <c r="C30" s="993">
        <v>2560</v>
      </c>
      <c r="D30" s="1802"/>
      <c r="E30" s="1804">
        <f>'Expenditures 15-22'!K63-SUM('Expenditures 15-22'!G63,'Expenditures 15-22'!I63)+'Expenditures 15-22'!D268-E10</f>
        <v>57732</v>
      </c>
      <c r="F30" s="1802"/>
      <c r="G30" s="1804">
        <f>'Expenditures 15-22'!K63-SUM('Expenditures 15-22'!G63,'Expenditures 15-22'!I63)+'Expenditures 15-22'!D268-E10</f>
        <v>57732</v>
      </c>
    </row>
    <row r="31" spans="1:9" ht="12" customHeight="1" x14ac:dyDescent="0.2">
      <c r="A31" s="994" t="s">
        <v>101</v>
      </c>
      <c r="B31" s="997"/>
      <c r="C31" s="993">
        <v>2570</v>
      </c>
      <c r="D31" s="1804">
        <f>'Expenditures 15-22'!K64-SUM('Expenditures 15-22'!G64,'Expenditures 15-22'!I64)+'Expenditures 15-22'!D269-E12</f>
        <v>150972</v>
      </c>
      <c r="E31" s="1804">
        <f>E12</f>
        <v>0</v>
      </c>
      <c r="F31" s="1804">
        <f>'Expenditures 15-22'!K64-SUM('Expenditures 15-22'!G64,'Expenditures 15-22'!I64)+'Expenditures 15-22'!D269-E12</f>
        <v>150972</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1246167</v>
      </c>
      <c r="F34" s="1802"/>
      <c r="G34" s="1804">
        <f>'Expenditures 15-22'!K68-SUM('Expenditures 15-22'!G68,'Expenditures 15-22'!I68)+'Expenditures 15-22'!D273</f>
        <v>1246167</v>
      </c>
    </row>
    <row r="35" spans="1:7" ht="12" customHeight="1" x14ac:dyDescent="0.2">
      <c r="A35" s="994" t="s">
        <v>1060</v>
      </c>
      <c r="B35" s="997"/>
      <c r="C35" s="993">
        <v>2630</v>
      </c>
      <c r="D35" s="1802"/>
      <c r="E35" s="1804">
        <f>'Expenditures 15-22'!K69-SUM('Expenditures 15-22'!G69,'Expenditures 15-22'!I69)+'Expenditures 15-22'!D274</f>
        <v>404773</v>
      </c>
      <c r="F35" s="1802"/>
      <c r="G35" s="1804">
        <f>'Expenditures 15-22'!K69-SUM('Expenditures 15-22'!G69,'Expenditures 15-22'!I69)+'Expenditures 15-22'!D274</f>
        <v>404773</v>
      </c>
    </row>
    <row r="36" spans="1:7" ht="12" customHeight="1" x14ac:dyDescent="0.2">
      <c r="A36" s="994" t="s">
        <v>402</v>
      </c>
      <c r="B36" s="997"/>
      <c r="C36" s="993">
        <v>2640</v>
      </c>
      <c r="D36" s="1804">
        <f>'Expenditures 15-22'!K70-SUM('Expenditures 15-22'!G70,'Expenditures 15-22'!I70)+'Expenditures 15-22'!D275-E13</f>
        <v>698583</v>
      </c>
      <c r="E36" s="1804">
        <f>E13</f>
        <v>0</v>
      </c>
      <c r="F36" s="1804">
        <f>'Expenditures 15-22'!K70-SUM('Expenditures 15-22'!G70,'Expenditures 15-22'!I70)+'Expenditures 15-22'!D275-E13</f>
        <v>698583</v>
      </c>
      <c r="G36" s="1804">
        <f>E13</f>
        <v>0</v>
      </c>
    </row>
    <row r="37" spans="1:7" ht="12" customHeight="1" x14ac:dyDescent="0.2">
      <c r="A37" s="994" t="s">
        <v>403</v>
      </c>
      <c r="B37" s="997"/>
      <c r="C37" s="993">
        <v>2660</v>
      </c>
      <c r="D37" s="1804">
        <f>'Expenditures 15-22'!K71-SUM('Expenditures 15-22'!G71,'Expenditures 15-22'!I71)+'Expenditures 15-22'!D276-E14</f>
        <v>428502</v>
      </c>
      <c r="E37" s="1804">
        <f>E14</f>
        <v>0</v>
      </c>
      <c r="F37" s="1804">
        <f>'Expenditures 15-22'!K71-SUM('Expenditures 15-22'!G71,'Expenditures 15-22'!I71)+'Expenditures 15-22'!D276-E14</f>
        <v>428502</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490887</v>
      </c>
      <c r="F39" s="1802"/>
      <c r="G39" s="1804">
        <f>'Expenditures 15-22'!K75-SUM('Expenditures 15-22'!G75,'Expenditures 15-22'!I75)+'Expenditures 15-22'!K130-SUM('Expenditures 15-22'!G130,'Expenditures 15-22'!I130)+'Expenditures 15-22'!K185-SUM('Expenditures 15-22'!G185,'Expenditures 15-22'!I185)+'Expenditures 15-22'!D280</f>
        <v>490887</v>
      </c>
    </row>
    <row r="40" spans="1:7" ht="12" customHeight="1" x14ac:dyDescent="0.2">
      <c r="A40" s="990" t="s">
        <v>1819</v>
      </c>
      <c r="B40" s="991"/>
      <c r="C40" s="993"/>
      <c r="D40" s="1802"/>
      <c r="E40" s="1806">
        <f>-'Contracts Paid in CY 29'!G142</f>
        <v>-2566114</v>
      </c>
      <c r="F40" s="1802"/>
      <c r="G40" s="1806">
        <f>-'Contracts Paid in CY 29'!G142</f>
        <v>-2566114</v>
      </c>
    </row>
    <row r="41" spans="1:7" ht="12" customHeight="1" x14ac:dyDescent="0.2">
      <c r="A41" s="998" t="s">
        <v>156</v>
      </c>
      <c r="B41" s="999"/>
      <c r="C41" s="1000"/>
      <c r="D41" s="1806">
        <f>SUM(D19:D39)</f>
        <v>2809027</v>
      </c>
      <c r="E41" s="1806">
        <f>SUM(E19:E40)</f>
        <v>93962978</v>
      </c>
      <c r="F41" s="1806">
        <f>SUM(F19:F39)</f>
        <v>14229369</v>
      </c>
      <c r="G41" s="1806">
        <f>SUM(G19:G40)</f>
        <v>82542636</v>
      </c>
    </row>
    <row r="42" spans="1:7" x14ac:dyDescent="0.2">
      <c r="A42" s="987"/>
      <c r="B42" s="162"/>
      <c r="C42" s="1001"/>
      <c r="D42" s="2287" t="s">
        <v>521</v>
      </c>
      <c r="E42" s="2288"/>
      <c r="F42" s="1002" t="s">
        <v>522</v>
      </c>
      <c r="G42" s="1003"/>
    </row>
    <row r="43" spans="1:7" ht="12" customHeight="1" x14ac:dyDescent="0.2">
      <c r="A43" s="987"/>
      <c r="B43" s="162"/>
      <c r="C43" s="1001"/>
      <c r="D43" s="1807" t="s">
        <v>472</v>
      </c>
      <c r="E43" s="1808">
        <f>D41</f>
        <v>2809027</v>
      </c>
      <c r="F43" s="1807" t="s">
        <v>472</v>
      </c>
      <c r="G43" s="1808">
        <f>F41</f>
        <v>14229369</v>
      </c>
    </row>
    <row r="44" spans="1:7" ht="12" customHeight="1" x14ac:dyDescent="0.2">
      <c r="A44" s="987"/>
      <c r="B44" s="162"/>
      <c r="C44" s="1001"/>
      <c r="D44" s="1807" t="s">
        <v>473</v>
      </c>
      <c r="E44" s="1808">
        <f>E41</f>
        <v>93962978</v>
      </c>
      <c r="F44" s="1807" t="s">
        <v>473</v>
      </c>
      <c r="G44" s="1808">
        <f>G41</f>
        <v>82542636</v>
      </c>
    </row>
    <row r="45" spans="1:7" ht="12" customHeight="1" x14ac:dyDescent="0.2">
      <c r="A45" s="987"/>
      <c r="B45" s="162"/>
      <c r="C45" s="162"/>
      <c r="D45" s="1809" t="s">
        <v>1005</v>
      </c>
      <c r="E45" s="1810">
        <f>(E43/E44)</f>
        <v>2.9895040150813439E-2</v>
      </c>
      <c r="F45" s="1809" t="s">
        <v>1005</v>
      </c>
      <c r="G45" s="1810">
        <f>(G43/G44)</f>
        <v>0.17238810982484251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26" activePane="bottomLeft" state="frozen"/>
      <selection activeCell="A47" sqref="A47"/>
      <selection pane="bottomLeft" activeCell="F52" sqref="F5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1378</v>
      </c>
      <c r="B1" s="2306"/>
      <c r="C1" s="2306"/>
      <c r="D1" s="2306"/>
      <c r="E1" s="2306"/>
      <c r="F1" s="2306"/>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07" t="s">
        <v>1545</v>
      </c>
      <c r="B5" s="2308"/>
      <c r="C5" s="2309"/>
      <c r="D5" s="2309"/>
      <c r="E5" s="2309"/>
      <c r="F5" s="2309"/>
    </row>
    <row r="6" spans="1:10" ht="12" customHeight="1" x14ac:dyDescent="0.25">
      <c r="A6" s="1850"/>
      <c r="B6" s="1851"/>
      <c r="C6" s="2310" t="str">
        <f>COVER!A17</f>
        <v>New Trier Twp HSD 203</v>
      </c>
      <c r="D6" s="2310"/>
      <c r="E6" s="2310"/>
      <c r="F6" s="1852"/>
    </row>
    <row r="7" spans="1:10" ht="11.25" customHeight="1" thickBot="1" x14ac:dyDescent="0.3">
      <c r="A7" s="1850"/>
      <c r="B7" s="1851"/>
      <c r="C7" s="2311">
        <f>COVER!A13</f>
        <v>5016203017</v>
      </c>
      <c r="D7" s="2311"/>
      <c r="E7" s="2311"/>
      <c r="F7" s="1852"/>
    </row>
    <row r="8" spans="1:10" ht="25.5" customHeight="1" thickBot="1" x14ac:dyDescent="0.25">
      <c r="A8" s="1893" t="s">
        <v>1903</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2061</v>
      </c>
      <c r="D14" s="1865" t="s">
        <v>2061</v>
      </c>
      <c r="E14" s="1868"/>
      <c r="F14" s="1867" t="s">
        <v>2087</v>
      </c>
      <c r="H14" s="1878">
        <f t="shared" si="0"/>
        <v>5</v>
      </c>
      <c r="I14" s="1878">
        <f t="shared" si="1"/>
        <v>5</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t="s">
        <v>2061</v>
      </c>
      <c r="D16" s="1865" t="s">
        <v>2061</v>
      </c>
      <c r="E16" s="1868"/>
      <c r="F16" s="1867" t="s">
        <v>2088</v>
      </c>
      <c r="H16" s="1878">
        <f t="shared" si="0"/>
        <v>5</v>
      </c>
      <c r="I16" s="1878">
        <f t="shared" si="1"/>
        <v>5</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2061</v>
      </c>
      <c r="D19" s="1865" t="s">
        <v>2061</v>
      </c>
      <c r="E19" s="1868"/>
      <c r="F19" s="1867" t="s">
        <v>2089</v>
      </c>
      <c r="H19" s="1878">
        <f t="shared" si="0"/>
        <v>5</v>
      </c>
      <c r="I19" s="1878">
        <f t="shared" si="1"/>
        <v>5</v>
      </c>
      <c r="J19" s="1878">
        <f t="shared" si="2"/>
        <v>0</v>
      </c>
    </row>
    <row r="20" spans="1:12" ht="12" customHeight="1" x14ac:dyDescent="0.2">
      <c r="A20" s="1863" t="s">
        <v>1527</v>
      </c>
      <c r="B20" s="1864"/>
      <c r="C20" s="1865" t="s">
        <v>2061</v>
      </c>
      <c r="D20" s="1865" t="s">
        <v>2061</v>
      </c>
      <c r="E20" s="1868"/>
      <c r="F20" s="1867" t="s">
        <v>2090</v>
      </c>
      <c r="H20" s="1878">
        <f t="shared" si="0"/>
        <v>5</v>
      </c>
      <c r="I20" s="1878">
        <f t="shared" si="1"/>
        <v>5</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t="s">
        <v>2061</v>
      </c>
      <c r="D27" s="1865" t="s">
        <v>2061</v>
      </c>
      <c r="E27" s="1868"/>
      <c r="F27" s="1867" t="s">
        <v>2091</v>
      </c>
      <c r="H27" s="1878">
        <f t="shared" si="0"/>
        <v>5</v>
      </c>
      <c r="I27" s="1878">
        <f t="shared" si="1"/>
        <v>5</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t="s">
        <v>2061</v>
      </c>
      <c r="D29" s="1865" t="s">
        <v>2061</v>
      </c>
      <c r="E29" s="1868"/>
      <c r="F29" s="1867" t="s">
        <v>2092</v>
      </c>
      <c r="H29" s="1878">
        <f t="shared" si="0"/>
        <v>5</v>
      </c>
      <c r="I29" s="1878">
        <f t="shared" si="1"/>
        <v>5</v>
      </c>
      <c r="J29" s="1878">
        <f t="shared" si="2"/>
        <v>0</v>
      </c>
    </row>
    <row r="30" spans="1:12" ht="12" customHeight="1" x14ac:dyDescent="0.2">
      <c r="A30" s="1863" t="s">
        <v>1537</v>
      </c>
      <c r="B30" s="1864"/>
      <c r="C30" s="1865" t="s">
        <v>2061</v>
      </c>
      <c r="D30" s="1865" t="s">
        <v>2061</v>
      </c>
      <c r="E30" s="1868"/>
      <c r="F30" s="1867" t="s">
        <v>2093</v>
      </c>
      <c r="H30" s="1878">
        <f t="shared" si="0"/>
        <v>5</v>
      </c>
      <c r="I30" s="1878">
        <f t="shared" si="1"/>
        <v>5</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t="s">
        <v>2061</v>
      </c>
      <c r="D32" s="1865" t="s">
        <v>2061</v>
      </c>
      <c r="E32" s="1868"/>
      <c r="F32" s="1867" t="s">
        <v>2094</v>
      </c>
      <c r="H32" s="1878">
        <f t="shared" si="0"/>
        <v>5</v>
      </c>
      <c r="I32" s="1878">
        <f t="shared" si="1"/>
        <v>5</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1391</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1390</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9" t="str">
        <f>COVER!A17</f>
        <v>New Trier Twp HSD 203</v>
      </c>
      <c r="J6" s="2320"/>
      <c r="Q6" s="1664"/>
    </row>
    <row r="7" spans="1:17" x14ac:dyDescent="0.2">
      <c r="A7" s="2321" t="s">
        <v>868</v>
      </c>
      <c r="B7" s="2322"/>
      <c r="C7" s="2322"/>
      <c r="D7" s="2322"/>
      <c r="E7" s="2323"/>
      <c r="F7" s="1017"/>
      <c r="G7" s="1009"/>
      <c r="H7" s="1016" t="s">
        <v>371</v>
      </c>
      <c r="I7" s="2324">
        <f>COVER!A13</f>
        <v>5016203017</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5" t="s">
        <v>480</v>
      </c>
      <c r="B11" s="2326"/>
      <c r="C11" s="232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469727</v>
      </c>
      <c r="F12" s="1039"/>
      <c r="G12" s="1811">
        <f t="shared" ref="G12:G18" si="0">SUM(E12:F12)</f>
        <v>469727</v>
      </c>
      <c r="H12" s="1040">
        <v>536076</v>
      </c>
      <c r="I12" s="1039"/>
      <c r="J12" s="1811">
        <f t="shared" ref="J12:J18" si="1">SUM(H12:I12)</f>
        <v>536076</v>
      </c>
    </row>
    <row r="13" spans="1:17" ht="15" customHeight="1" x14ac:dyDescent="0.2">
      <c r="A13" s="1035">
        <v>2</v>
      </c>
      <c r="B13" s="1036" t="s">
        <v>42</v>
      </c>
      <c r="C13" s="1037"/>
      <c r="D13" s="1038">
        <v>2330</v>
      </c>
      <c r="E13" s="1811">
        <f>'Expenditures 15-22'!K51</f>
        <v>1995</v>
      </c>
      <c r="F13" s="1039"/>
      <c r="G13" s="1811">
        <f t="shared" si="0"/>
        <v>1995</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311439</v>
      </c>
      <c r="F15" s="1811">
        <f>'Expenditures 15-22'!K122</f>
        <v>0</v>
      </c>
      <c r="G15" s="1811">
        <f t="shared" si="0"/>
        <v>311439</v>
      </c>
      <c r="H15" s="1040">
        <v>327860</v>
      </c>
      <c r="I15" s="1040"/>
      <c r="J15" s="1811">
        <f t="shared" si="1"/>
        <v>327860</v>
      </c>
    </row>
    <row r="16" spans="1:17" ht="15" customHeight="1" x14ac:dyDescent="0.2">
      <c r="A16" s="1035">
        <v>5</v>
      </c>
      <c r="B16" s="1036" t="s">
        <v>101</v>
      </c>
      <c r="C16" s="1037"/>
      <c r="D16" s="1038">
        <v>2570</v>
      </c>
      <c r="E16" s="1811">
        <f>'Expenditures 15-22'!K64</f>
        <v>144985</v>
      </c>
      <c r="F16" s="1039"/>
      <c r="G16" s="1811">
        <f t="shared" si="0"/>
        <v>144985</v>
      </c>
      <c r="H16" s="1040">
        <v>130682</v>
      </c>
      <c r="I16" s="1039"/>
      <c r="J16" s="1811">
        <f t="shared" si="1"/>
        <v>130682</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928146</v>
      </c>
      <c r="F19" s="1813">
        <f t="shared" si="2"/>
        <v>0</v>
      </c>
      <c r="G19" s="1813">
        <f t="shared" si="2"/>
        <v>928146</v>
      </c>
      <c r="H19" s="1813">
        <f t="shared" si="2"/>
        <v>994618</v>
      </c>
      <c r="I19" s="1813">
        <f t="shared" si="2"/>
        <v>0</v>
      </c>
      <c r="J19" s="1813">
        <f t="shared" si="2"/>
        <v>994618</v>
      </c>
    </row>
    <row r="20" spans="1:10" ht="13.5" thickTop="1" x14ac:dyDescent="0.2">
      <c r="A20" s="1035">
        <v>9</v>
      </c>
      <c r="B20" s="2331" t="s">
        <v>1975</v>
      </c>
      <c r="C20" s="2331"/>
      <c r="D20" s="2332"/>
      <c r="E20" s="1046"/>
      <c r="F20" s="1046"/>
      <c r="G20" s="1046"/>
      <c r="H20" s="1046"/>
      <c r="I20" s="1046"/>
      <c r="J20" s="1814">
        <f>IF(AND(G19&gt;0,J19&gt;0),(((J19-G19)/G19)),"Enter Budget Data")</f>
        <v>7.1618042851016972E-2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1032</v>
      </c>
      <c r="D27" s="1052"/>
      <c r="E27" s="1053"/>
      <c r="F27" s="2333" t="s">
        <v>1508</v>
      </c>
      <c r="G27" s="2333"/>
    </row>
    <row r="28" spans="1:10" ht="28.5" customHeight="1" x14ac:dyDescent="0.2">
      <c r="B28" s="1047"/>
      <c r="C28" s="2335"/>
      <c r="D28" s="2335"/>
      <c r="E28" s="1054"/>
      <c r="F28" s="2335"/>
      <c r="G28" s="2335"/>
    </row>
    <row r="29" spans="1:10" x14ac:dyDescent="0.2">
      <c r="B29" s="1047"/>
      <c r="C29" s="1055" t="s">
        <v>1560</v>
      </c>
      <c r="E29" s="1056"/>
      <c r="F29" s="2334" t="s">
        <v>1509</v>
      </c>
      <c r="G29" s="233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1977</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881</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 Trier Twp HSD 203</v>
      </c>
    </row>
    <row r="65" spans="2:2" x14ac:dyDescent="0.2">
      <c r="B65" s="1070">
        <f>COVER!A13</f>
        <v>5016203017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45" sqref="B4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5" t="s">
        <v>1064</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690</v>
      </c>
      <c r="B40" s="2052"/>
      <c r="C40" s="2052"/>
      <c r="D40" s="2052"/>
      <c r="E40" s="2052"/>
    </row>
    <row r="41" spans="1:5" x14ac:dyDescent="0.2">
      <c r="A41" s="2053" t="s">
        <v>1607</v>
      </c>
      <c r="B41" s="2053"/>
      <c r="C41" s="2053"/>
      <c r="D41" s="2053"/>
      <c r="E41" s="2053"/>
    </row>
    <row r="42" spans="1:5" ht="12.75" customHeight="1" x14ac:dyDescent="0.2">
      <c r="A42" s="2054" t="s">
        <v>1021</v>
      </c>
      <c r="B42" s="2054"/>
      <c r="C42" s="2054"/>
      <c r="D42" s="2054"/>
      <c r="E42" s="2054"/>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16" sqref="C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A9" sqref="A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8" t="s">
        <v>1684</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PDF" dvAspect="DVASPECT_ICON" shapeId="37889" r:id="rId4"/>
      </mc:Fallback>
    </mc:AlternateContent>
    <mc:AlternateContent xmlns:mc="http://schemas.openxmlformats.org/markup-compatibility/2006">
      <mc:Choice Requires="x14">
        <oleObject progId="PDF" dvAspect="DVASPECT_ICON" shapeId="37890" r:id="rId6">
          <objectPr defaultSize="0" r:id="rId7">
            <anchor moveWithCells="1">
              <from>
                <xdr:col>0</xdr:col>
                <xdr:colOff>0</xdr:colOff>
                <xdr:row>4</xdr:row>
                <xdr:rowOff>0</xdr:rowOff>
              </from>
              <to>
                <xdr:col>1</xdr:col>
                <xdr:colOff>781050</xdr:colOff>
                <xdr:row>7</xdr:row>
                <xdr:rowOff>161925</xdr:rowOff>
              </to>
            </anchor>
          </objectPr>
        </oleObject>
      </mc:Choice>
      <mc:Fallback>
        <oleObject progId="PDF" dvAspect="DVASPECT_ICON" shapeId="37890" r:id="rId6"/>
      </mc:Fallback>
    </mc:AlternateContent>
    <mc:AlternateContent xmlns:mc="http://schemas.openxmlformats.org/markup-compatibility/2006">
      <mc:Choice Requires="x14">
        <oleObject progId="PDF" dvAspect="DVASPECT_ICON" shapeId="37891" r:id="rId8">
          <objectPr defaultSize="0" r:id="rId9">
            <anchor moveWithCells="1">
              <from>
                <xdr:col>0</xdr:col>
                <xdr:colOff>0</xdr:colOff>
                <xdr:row>8</xdr:row>
                <xdr:rowOff>0</xdr:rowOff>
              </from>
              <to>
                <xdr:col>1</xdr:col>
                <xdr:colOff>781050</xdr:colOff>
                <xdr:row>11</xdr:row>
                <xdr:rowOff>161925</xdr:rowOff>
              </to>
            </anchor>
          </objectPr>
        </oleObject>
      </mc:Choice>
      <mc:Fallback>
        <oleObject progId="PDF"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923925</xdr:colOff>
                <xdr:row>2</xdr:row>
                <xdr:rowOff>123825</xdr:rowOff>
              </from>
              <to>
                <xdr:col>1</xdr:col>
                <xdr:colOff>1838325</xdr:colOff>
                <xdr:row>7</xdr:row>
                <xdr:rowOff>76200</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1</xdr:col>
                <xdr:colOff>1981200</xdr:colOff>
                <xdr:row>2</xdr:row>
                <xdr:rowOff>142875</xdr:rowOff>
              </from>
              <to>
                <xdr:col>1</xdr:col>
                <xdr:colOff>2895600</xdr:colOff>
                <xdr:row>7</xdr:row>
                <xdr:rowOff>95250</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3057525</xdr:colOff>
                <xdr:row>2</xdr:row>
                <xdr:rowOff>142875</xdr:rowOff>
              </from>
              <to>
                <xdr:col>1</xdr:col>
                <xdr:colOff>3971925</xdr:colOff>
                <xdr:row>7</xdr:row>
                <xdr:rowOff>104775</xdr:rowOff>
              </to>
            </anchor>
          </objectPr>
        </oleObject>
      </mc:Choice>
      <mc:Fallback>
        <oleObject progId="Acrobat Document" dvAspect="DVASPECT_ICON" shapeId="3789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1689</v>
      </c>
      <c r="B1" s="2340"/>
      <c r="C1" s="2340"/>
      <c r="D1" s="2340"/>
      <c r="E1" s="2340"/>
      <c r="F1" s="2341"/>
    </row>
    <row r="2" spans="1:8" ht="45" customHeight="1" x14ac:dyDescent="0.2">
      <c r="A2" s="2349" t="s">
        <v>1981</v>
      </c>
      <c r="B2" s="2350"/>
      <c r="C2" s="2350"/>
      <c r="D2" s="2350"/>
      <c r="E2" s="2350"/>
      <c r="F2" s="2351"/>
      <c r="G2" s="1074"/>
      <c r="H2" s="1074"/>
    </row>
    <row r="3" spans="1:8" ht="57" customHeight="1" x14ac:dyDescent="0.2">
      <c r="A3" s="2352" t="s">
        <v>1685</v>
      </c>
      <c r="B3" s="2353"/>
      <c r="C3" s="2353"/>
      <c r="D3" s="2353"/>
      <c r="E3" s="2353"/>
      <c r="F3" s="2354"/>
      <c r="G3" s="1074"/>
      <c r="H3" s="1074"/>
    </row>
    <row r="4" spans="1:8" ht="14.25" customHeight="1" x14ac:dyDescent="0.2">
      <c r="A4" s="2358" t="s">
        <v>1982</v>
      </c>
      <c r="B4" s="2359"/>
      <c r="C4" s="2359"/>
      <c r="D4" s="2359"/>
      <c r="E4" s="2359"/>
      <c r="F4" s="2360"/>
      <c r="G4" s="1074"/>
      <c r="H4" s="1074"/>
    </row>
    <row r="5" spans="1:8" ht="14.25" customHeight="1" x14ac:dyDescent="0.2">
      <c r="A5" s="2361" t="s">
        <v>1978</v>
      </c>
      <c r="B5" s="2362"/>
      <c r="C5" s="2362"/>
      <c r="D5" s="2362"/>
      <c r="E5" s="2362"/>
      <c r="F5" s="2363"/>
      <c r="G5" s="1074"/>
      <c r="H5" s="1074"/>
    </row>
    <row r="6" spans="1:8" s="1075" customFormat="1" ht="41.25" customHeight="1" x14ac:dyDescent="0.2">
      <c r="A6" s="2355" t="s">
        <v>1690</v>
      </c>
      <c r="B6" s="2356"/>
      <c r="C6" s="2356"/>
      <c r="D6" s="2356"/>
      <c r="E6" s="2356"/>
      <c r="F6" s="235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99189845</v>
      </c>
      <c r="C8" s="1815">
        <f>'Acct Summary 7-8'!D8</f>
        <v>9295900</v>
      </c>
      <c r="D8" s="1815">
        <f>'Acct Summary 7-8'!F8</f>
        <v>2651961</v>
      </c>
      <c r="E8" s="1815">
        <f>'Acct Summary 7-8'!I8</f>
        <v>96278</v>
      </c>
      <c r="F8" s="1815">
        <f>SUM(B8:E8)</f>
        <v>111233984</v>
      </c>
    </row>
    <row r="9" spans="1:8" s="1079" customFormat="1" ht="14.25" customHeight="1" thickBot="1" x14ac:dyDescent="0.25">
      <c r="A9" s="1078" t="s">
        <v>1368</v>
      </c>
      <c r="B9" s="1816">
        <f>'Acct Summary 7-8'!C17</f>
        <v>91738081</v>
      </c>
      <c r="C9" s="1816">
        <f>'Acct Summary 7-8'!D17</f>
        <v>7599714</v>
      </c>
      <c r="D9" s="1816">
        <f>'Acct Summary 7-8'!F17</f>
        <v>2396150</v>
      </c>
      <c r="E9" s="1815"/>
      <c r="F9" s="1815">
        <f>SUM(B9:E9)</f>
        <v>101733945</v>
      </c>
    </row>
    <row r="10" spans="1:8" s="1079" customFormat="1" ht="14.25" thickTop="1" thickBot="1" x14ac:dyDescent="0.25">
      <c r="A10" s="1080" t="s">
        <v>1369</v>
      </c>
      <c r="B10" s="1817">
        <f>(B8-B9)</f>
        <v>7451764</v>
      </c>
      <c r="C10" s="1817">
        <f>(C8-C9)</f>
        <v>1696186</v>
      </c>
      <c r="D10" s="1817">
        <f>(D8-D9)</f>
        <v>255811</v>
      </c>
      <c r="E10" s="1816">
        <f>(E8-E9)</f>
        <v>96278</v>
      </c>
      <c r="F10" s="1818">
        <f>SUM(F8-F9)</f>
        <v>9500039</v>
      </c>
    </row>
    <row r="11" spans="1:8" s="1079" customFormat="1" ht="14.25" thickTop="1" thickBot="1" x14ac:dyDescent="0.25">
      <c r="A11" s="1081" t="s">
        <v>1979</v>
      </c>
      <c r="B11" s="1819">
        <f>'Acct Summary 7-8'!C81</f>
        <v>72539838</v>
      </c>
      <c r="C11" s="1819">
        <f>'Acct Summary 7-8'!D81</f>
        <v>7027269</v>
      </c>
      <c r="D11" s="1819">
        <f>'Acct Summary 7-8'!F81</f>
        <v>3593277</v>
      </c>
      <c r="E11" s="1819">
        <f>'Acct Summary 7-8'!I81</f>
        <v>3427221</v>
      </c>
      <c r="F11" s="1820">
        <f>SUM(B11:E11)</f>
        <v>86587605</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1686</v>
      </c>
      <c r="B16" s="2342"/>
      <c r="C16" s="2342"/>
      <c r="D16" s="2342"/>
      <c r="E16" s="234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10" sqref="C1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664</v>
      </c>
      <c r="B3" s="2365"/>
      <c r="C3" s="2365"/>
      <c r="D3" s="236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5" t="s">
        <v>1503</v>
      </c>
      <c r="D7" s="2376"/>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7" t="s">
        <v>1007</v>
      </c>
      <c r="B15" s="2368"/>
      <c r="C15" s="2368"/>
      <c r="D15" s="2369"/>
    </row>
    <row r="16" spans="1:4" s="668" customFormat="1" ht="24" customHeight="1" x14ac:dyDescent="0.2">
      <c r="A16" s="2370" t="s">
        <v>662</v>
      </c>
      <c r="B16" s="2371"/>
      <c r="C16" s="2371"/>
      <c r="D16" s="237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9" t="s">
        <v>313</v>
      </c>
      <c r="D21" s="2380"/>
    </row>
    <row r="22" spans="1:10" ht="12.75" x14ac:dyDescent="0.2">
      <c r="A22" s="1139"/>
      <c r="B22" s="1140">
        <v>2</v>
      </c>
      <c r="C22" s="2377" t="s">
        <v>1523</v>
      </c>
      <c r="D22" s="2378"/>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1" t="s">
        <v>535</v>
      </c>
      <c r="D43" s="238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3" t="s">
        <v>783</v>
      </c>
      <c r="D56" s="237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3" t="s">
        <v>1695</v>
      </c>
      <c r="D70" s="237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5016203017</v>
      </c>
    </row>
    <row r="3" spans="1:2" x14ac:dyDescent="0.2">
      <c r="A3" t="s">
        <v>955</v>
      </c>
      <c r="B3" s="138" t="str">
        <f>COVER!A15</f>
        <v>Cook</v>
      </c>
    </row>
    <row r="4" spans="1:2" x14ac:dyDescent="0.2">
      <c r="A4" t="s">
        <v>1006</v>
      </c>
      <c r="B4" s="138" t="str">
        <f>COVER!A17</f>
        <v>New Trier Twp HSD 203</v>
      </c>
    </row>
    <row r="5" spans="1:2" x14ac:dyDescent="0.2">
      <c r="A5" t="s">
        <v>703</v>
      </c>
      <c r="B5" s="138" t="str">
        <f>COVER!A38</f>
        <v>Paul Sally</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066-03346</v>
      </c>
    </row>
    <row r="16" spans="1:2" x14ac:dyDescent="0.2">
      <c r="A16" t="s">
        <v>421</v>
      </c>
      <c r="B16" s="138" t="str">
        <f>COVER!T13</f>
        <v>RSM US LLP</v>
      </c>
    </row>
    <row r="17" spans="1:2" x14ac:dyDescent="0.2">
      <c r="A17" t="s">
        <v>883</v>
      </c>
      <c r="B17" s="138" t="str">
        <f>COVER!T15</f>
        <v>Katie Barry</v>
      </c>
    </row>
    <row r="18" spans="1:2" x14ac:dyDescent="0.2">
      <c r="A18" t="s">
        <v>1149</v>
      </c>
      <c r="B18" s="138" t="str">
        <f>COVER!T17</f>
        <v>1 South Wacker Drive, Suite 800</v>
      </c>
    </row>
    <row r="19" spans="1:2" x14ac:dyDescent="0.2">
      <c r="A19" t="s">
        <v>885</v>
      </c>
      <c r="B19" s="138" t="str">
        <f>COVER!T25</f>
        <v>katie.barry@rsmus.com</v>
      </c>
    </row>
    <row r="20" spans="1:2" x14ac:dyDescent="0.2">
      <c r="A20" t="s">
        <v>886</v>
      </c>
      <c r="B20" s="138" t="str">
        <f>COVER!T19</f>
        <v>Chicago</v>
      </c>
    </row>
    <row r="21" spans="1:2" x14ac:dyDescent="0.2">
      <c r="A21" t="s">
        <v>478</v>
      </c>
      <c r="B21" s="138" t="str">
        <f>COVER!X19</f>
        <v>IL</v>
      </c>
    </row>
    <row r="22" spans="1:2" x14ac:dyDescent="0.2">
      <c r="A22" t="s">
        <v>887</v>
      </c>
      <c r="B22" s="138">
        <f>COVER!Z19</f>
        <v>60606</v>
      </c>
    </row>
    <row r="23" spans="1:2" x14ac:dyDescent="0.2">
      <c r="A23" t="s">
        <v>1151</v>
      </c>
      <c r="B23" s="138" t="str">
        <f>COVER!T21</f>
        <v>312-634-3400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34700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42351603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81213373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124910689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44057260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52370851</v>
      </c>
      <c r="C91" s="2" t="s">
        <v>572</v>
      </c>
      <c r="D91" s="2" t="str">
        <f t="shared" si="0"/>
        <v>Error?</v>
      </c>
    </row>
    <row r="92" spans="1:4" x14ac:dyDescent="0.2">
      <c r="A92" s="5">
        <v>31</v>
      </c>
      <c r="B92" s="138">
        <f>'Assets-Liab 5-6'!C39</f>
        <v>72539838</v>
      </c>
      <c r="D92" s="2" t="str">
        <f t="shared" si="0"/>
        <v>Error?</v>
      </c>
    </row>
    <row r="93" spans="1:4" x14ac:dyDescent="0.2">
      <c r="A93" s="5">
        <v>32</v>
      </c>
      <c r="B93" s="138">
        <f>'Assets-Liab 5-6'!C41</f>
        <v>124910689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3806013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2070293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10803739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3743239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3776470</v>
      </c>
      <c r="C122" s="2" t="s">
        <v>572</v>
      </c>
      <c r="D122" s="2" t="str">
        <f t="shared" si="0"/>
        <v>Error?</v>
      </c>
    </row>
    <row r="123" spans="1:4" x14ac:dyDescent="0.2">
      <c r="A123" s="5">
        <v>62</v>
      </c>
      <c r="B123" s="138">
        <f>'Assets-Liab 5-6'!D39</f>
        <v>5847740</v>
      </c>
      <c r="D123" s="2" t="str">
        <f t="shared" si="0"/>
        <v>Error?</v>
      </c>
    </row>
    <row r="124" spans="1:4" x14ac:dyDescent="0.2">
      <c r="A124" s="5">
        <v>63</v>
      </c>
      <c r="B124" s="138">
        <f>'Assets-Liab 5-6'!D41</f>
        <v>10803739</v>
      </c>
      <c r="C124" s="2" t="s">
        <v>572</v>
      </c>
      <c r="D124" s="2" t="str">
        <f t="shared" si="0"/>
        <v>Error?</v>
      </c>
    </row>
    <row r="125" spans="1:4" x14ac:dyDescent="0.2">
      <c r="A125" s="10">
        <v>64</v>
      </c>
      <c r="D125" s="2" t="str">
        <f t="shared" si="0"/>
        <v>OK</v>
      </c>
    </row>
    <row r="126" spans="1:4" x14ac:dyDescent="0.2">
      <c r="A126" s="5">
        <v>65</v>
      </c>
      <c r="B126" s="138">
        <f>'Assets-Liab 5-6'!E6</f>
        <v>4394257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897442</v>
      </c>
      <c r="D129" s="2" t="str">
        <f t="shared" si="1"/>
        <v>Error?</v>
      </c>
    </row>
    <row r="130" spans="1:4" x14ac:dyDescent="0.2">
      <c r="A130" s="5">
        <v>69</v>
      </c>
      <c r="B130" s="138">
        <f>'Assets-Liab 5-6'!E12</f>
        <v>0</v>
      </c>
      <c r="D130" s="2" t="str">
        <f t="shared" si="1"/>
        <v>Error?</v>
      </c>
    </row>
    <row r="131" spans="1:4" x14ac:dyDescent="0.2">
      <c r="A131" s="5">
        <v>70</v>
      </c>
      <c r="B131" s="138">
        <f>'Assets-Liab 5-6'!E13</f>
        <v>8111252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4391779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4391779</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8111252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728086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897652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4622138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928011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1028861</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4622138</v>
      </c>
      <c r="C171" s="2" t="s">
        <v>572</v>
      </c>
      <c r="D171" s="2" t="str">
        <f t="shared" si="1"/>
        <v>Error?</v>
      </c>
    </row>
    <row r="172" spans="1:4" x14ac:dyDescent="0.2">
      <c r="A172" s="10">
        <v>111</v>
      </c>
      <c r="D172" s="2" t="str">
        <f t="shared" si="1"/>
        <v>OK</v>
      </c>
    </row>
    <row r="173" spans="1:4" x14ac:dyDescent="0.2">
      <c r="A173" s="5">
        <v>112</v>
      </c>
      <c r="B173" s="138">
        <f>'Assets-Liab 5-6'!G6</f>
        <v>1696364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624307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5524566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1698200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1698209</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5524566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565778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3407940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5529</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10776</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3407940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5170483</v>
      </c>
      <c r="D273" s="2" t="str">
        <f t="shared" si="3"/>
        <v>Error?</v>
      </c>
    </row>
    <row r="274" spans="1:4" x14ac:dyDescent="0.2">
      <c r="A274" s="5">
        <v>213</v>
      </c>
      <c r="B274" s="138">
        <f>'Assets-Liab 5-6'!M17</f>
        <v>133461203</v>
      </c>
      <c r="D274" s="2" t="str">
        <f t="shared" si="3"/>
        <v>Error?</v>
      </c>
    </row>
    <row r="275" spans="1:4" x14ac:dyDescent="0.2">
      <c r="A275" s="5">
        <v>214</v>
      </c>
      <c r="B275" s="138">
        <f>'Assets-Liab 5-6'!M18</f>
        <v>0</v>
      </c>
      <c r="D275" s="2" t="str">
        <f t="shared" si="3"/>
        <v>Error?</v>
      </c>
    </row>
    <row r="276" spans="1:4" x14ac:dyDescent="0.2">
      <c r="A276" s="5">
        <v>215</v>
      </c>
      <c r="B276" s="138">
        <f>'Assets-Liab 5-6'!M19</f>
        <v>18111581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157144367</v>
      </c>
      <c r="C279" s="2" t="s">
        <v>572</v>
      </c>
      <c r="D279" s="2" t="str">
        <f t="shared" si="3"/>
        <v>Error?</v>
      </c>
    </row>
    <row r="280" spans="1:4" x14ac:dyDescent="0.2">
      <c r="A280" s="5">
        <v>219</v>
      </c>
      <c r="B280" s="138">
        <f>'Assets-Liab 5-6'!M40</f>
        <v>157144367</v>
      </c>
      <c r="D280" s="2" t="str">
        <f t="shared" si="3"/>
        <v>Error?</v>
      </c>
    </row>
    <row r="281" spans="1:4" x14ac:dyDescent="0.2">
      <c r="A281" s="5">
        <v>220</v>
      </c>
      <c r="B281" s="138">
        <f>'Assets-Liab 5-6'!M41</f>
        <v>157144367</v>
      </c>
      <c r="C281" s="2" t="s">
        <v>572</v>
      </c>
      <c r="D281" s="2" t="str">
        <f t="shared" si="3"/>
        <v>Error?</v>
      </c>
    </row>
    <row r="282" spans="1:4" x14ac:dyDescent="0.2">
      <c r="A282" s="5">
        <v>221</v>
      </c>
      <c r="B282" s="138">
        <f>'Assets-Liab 5-6'!N21</f>
        <v>7320000</v>
      </c>
      <c r="D282" s="2" t="str">
        <f t="shared" si="3"/>
        <v>Error?</v>
      </c>
    </row>
    <row r="283" spans="1:4" x14ac:dyDescent="0.2">
      <c r="A283" s="5">
        <v>222</v>
      </c>
      <c r="B283" s="138">
        <f>'Assets-Liab 5-6'!N22</f>
        <v>85850000</v>
      </c>
      <c r="D283" s="2" t="str">
        <f t="shared" si="3"/>
        <v>Error?</v>
      </c>
    </row>
    <row r="284" spans="1:4" x14ac:dyDescent="0.2">
      <c r="A284" s="5">
        <v>223</v>
      </c>
      <c r="B284" s="138">
        <f>'Assets-Liab 5-6'!N23</f>
        <v>93170000</v>
      </c>
      <c r="C284" s="2" t="s">
        <v>572</v>
      </c>
      <c r="D284" s="2" t="str">
        <f t="shared" si="3"/>
        <v>Error?</v>
      </c>
    </row>
    <row r="285" spans="1:4" x14ac:dyDescent="0.2">
      <c r="A285" s="5">
        <v>224</v>
      </c>
      <c r="B285" s="138">
        <f>'Assets-Liab 5-6'!N36</f>
        <v>93170000</v>
      </c>
      <c r="D285" s="2" t="str">
        <f t="shared" si="3"/>
        <v>Error?</v>
      </c>
    </row>
    <row r="286" spans="1:4" x14ac:dyDescent="0.2">
      <c r="A286" s="10">
        <v>225</v>
      </c>
      <c r="D286" s="2" t="str">
        <f t="shared" si="3"/>
        <v>OK</v>
      </c>
    </row>
    <row r="287" spans="1:4" x14ac:dyDescent="0.2">
      <c r="A287" s="5">
        <v>226</v>
      </c>
      <c r="B287" s="138">
        <f>'Assets-Liab 5-6'!N37</f>
        <v>93170000</v>
      </c>
      <c r="C287" s="2" t="s">
        <v>572</v>
      </c>
      <c r="D287" s="2" t="str">
        <f t="shared" si="3"/>
        <v>Error?</v>
      </c>
    </row>
    <row r="288" spans="1:4" x14ac:dyDescent="0.2">
      <c r="A288" s="5">
        <v>227</v>
      </c>
      <c r="B288" s="138">
        <f>'Assets-Liab 5-6'!N41</f>
        <v>93170000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33579194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229686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444710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5649890</v>
      </c>
      <c r="D718" s="2" t="str">
        <f t="shared" si="10"/>
        <v>Error?</v>
      </c>
    </row>
    <row r="719" spans="1:4" x14ac:dyDescent="0.2">
      <c r="A719" s="5">
        <v>658</v>
      </c>
      <c r="B719" s="138">
        <f>'Expenditures 15-22'!C15</f>
        <v>606954</v>
      </c>
      <c r="D719" s="2" t="str">
        <f t="shared" si="10"/>
        <v>Error?</v>
      </c>
    </row>
    <row r="720" spans="1:4" x14ac:dyDescent="0.2">
      <c r="A720" s="5">
        <v>659</v>
      </c>
      <c r="B720" s="138">
        <f>'Expenditures 15-22'!C33</f>
        <v>48151855</v>
      </c>
      <c r="C720" s="2" t="s">
        <v>572</v>
      </c>
      <c r="D720" s="2" t="str">
        <f t="shared" si="10"/>
        <v>Error?</v>
      </c>
    </row>
    <row r="721" spans="1:4" x14ac:dyDescent="0.2">
      <c r="A721" s="5">
        <v>660</v>
      </c>
      <c r="B721" s="138">
        <f>'Expenditures 15-22'!C36</f>
        <v>1381489</v>
      </c>
      <c r="D721" s="2" t="str">
        <f t="shared" si="10"/>
        <v>Error?</v>
      </c>
    </row>
    <row r="722" spans="1:4" x14ac:dyDescent="0.2">
      <c r="A722" s="5">
        <v>661</v>
      </c>
      <c r="B722" s="138">
        <f>'Expenditures 15-22'!C37</f>
        <v>7685535</v>
      </c>
      <c r="D722" s="2" t="str">
        <f t="shared" si="10"/>
        <v>Error?</v>
      </c>
    </row>
    <row r="723" spans="1:4" x14ac:dyDescent="0.2">
      <c r="A723" s="5">
        <v>662</v>
      </c>
      <c r="B723" s="138">
        <f>'Expenditures 15-22'!C38</f>
        <v>420007</v>
      </c>
      <c r="D723" s="2" t="str">
        <f t="shared" si="10"/>
        <v>Error?</v>
      </c>
    </row>
    <row r="724" spans="1:4" x14ac:dyDescent="0.2">
      <c r="A724" s="5">
        <v>663</v>
      </c>
      <c r="B724" s="138">
        <f>'Expenditures 15-22'!C39</f>
        <v>486432</v>
      </c>
      <c r="D724" s="2" t="str">
        <f t="shared" si="10"/>
        <v>Error?</v>
      </c>
    </row>
    <row r="725" spans="1:4" x14ac:dyDescent="0.2">
      <c r="A725" s="5">
        <v>664</v>
      </c>
      <c r="B725" s="138">
        <f>'Expenditures 15-22'!C40</f>
        <v>430203</v>
      </c>
      <c r="D725" s="2" t="str">
        <f t="shared" si="10"/>
        <v>Error?</v>
      </c>
    </row>
    <row r="726" spans="1:4" x14ac:dyDescent="0.2">
      <c r="A726" s="5">
        <v>665</v>
      </c>
      <c r="B726" s="138">
        <f>'Expenditures 15-22'!C41</f>
        <v>125310</v>
      </c>
      <c r="D726" s="2" t="str">
        <f t="shared" si="10"/>
        <v>Error?</v>
      </c>
    </row>
    <row r="727" spans="1:4" x14ac:dyDescent="0.2">
      <c r="A727" s="5">
        <v>666</v>
      </c>
      <c r="B727" s="138">
        <f>'Expenditures 15-22'!C42</f>
        <v>10528976</v>
      </c>
      <c r="C727" s="2" t="s">
        <v>572</v>
      </c>
      <c r="D727" s="2" t="str">
        <f t="shared" si="10"/>
        <v>Error?</v>
      </c>
    </row>
    <row r="728" spans="1:4" x14ac:dyDescent="0.2">
      <c r="A728" s="5">
        <v>667</v>
      </c>
      <c r="B728" s="138">
        <f>'Expenditures 15-22'!C44</f>
        <v>467657</v>
      </c>
      <c r="D728" s="2" t="str">
        <f t="shared" si="10"/>
        <v>Error?</v>
      </c>
    </row>
    <row r="729" spans="1:4" x14ac:dyDescent="0.2">
      <c r="A729" s="5">
        <v>668</v>
      </c>
      <c r="B729" s="138">
        <f>'Expenditures 15-22'!C45</f>
        <v>1594408</v>
      </c>
      <c r="D729" s="2" t="str">
        <f t="shared" si="10"/>
        <v>Error?</v>
      </c>
    </row>
    <row r="730" spans="1:4" x14ac:dyDescent="0.2">
      <c r="A730" s="5">
        <v>669</v>
      </c>
      <c r="B730" s="138">
        <f>'Expenditures 15-22'!C46</f>
        <v>236427</v>
      </c>
      <c r="D730" s="2" t="str">
        <f t="shared" si="10"/>
        <v>Error?</v>
      </c>
    </row>
    <row r="731" spans="1:4" x14ac:dyDescent="0.2">
      <c r="A731" s="5">
        <v>670</v>
      </c>
      <c r="B731" s="138">
        <f>'Expenditures 15-22'!C47</f>
        <v>2298492</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336686</v>
      </c>
      <c r="D733" s="2" t="str">
        <f t="shared" si="10"/>
        <v>Error?</v>
      </c>
    </row>
    <row r="734" spans="1:4" x14ac:dyDescent="0.2">
      <c r="A734" s="5">
        <v>673</v>
      </c>
      <c r="B734" s="138">
        <f>'Expenditures 15-22'!C53</f>
        <v>336686</v>
      </c>
      <c r="C734" s="2" t="s">
        <v>572</v>
      </c>
      <c r="D734" s="2" t="str">
        <f t="shared" si="10"/>
        <v>Error?</v>
      </c>
    </row>
    <row r="735" spans="1:4" x14ac:dyDescent="0.2">
      <c r="A735" s="5">
        <v>674</v>
      </c>
      <c r="B735" s="138">
        <f>'Expenditures 15-22'!C55</f>
        <v>1240873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1240873</v>
      </c>
      <c r="C737" s="2" t="s">
        <v>572</v>
      </c>
      <c r="D737" s="2" t="str">
        <f t="shared" si="10"/>
        <v>Error?</v>
      </c>
    </row>
    <row r="738" spans="1:4" x14ac:dyDescent="0.2">
      <c r="A738" s="5">
        <v>677</v>
      </c>
      <c r="B738" s="138">
        <f>'Expenditures 15-22'!C59</f>
        <v>268713</v>
      </c>
      <c r="D738" s="2" t="str">
        <f t="shared" si="10"/>
        <v>Error?</v>
      </c>
    </row>
    <row r="739" spans="1:4" x14ac:dyDescent="0.2">
      <c r="A739" s="5">
        <v>678</v>
      </c>
      <c r="B739" s="138">
        <f>'Expenditures 15-22'!C60</f>
        <v>521179</v>
      </c>
      <c r="D739" s="2" t="str">
        <f t="shared" si="10"/>
        <v>Error?</v>
      </c>
    </row>
    <row r="740" spans="1:4" x14ac:dyDescent="0.2">
      <c r="A740" s="5">
        <v>679</v>
      </c>
      <c r="B740" s="138">
        <f>'Expenditures 15-22'!C61</f>
        <v>1204898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53008</v>
      </c>
      <c r="D742" s="2" t="str">
        <f t="shared" si="10"/>
        <v>Error?</v>
      </c>
    </row>
    <row r="743" spans="1:4" x14ac:dyDescent="0.2">
      <c r="A743" s="5">
        <v>682</v>
      </c>
      <c r="B743" s="138">
        <f>'Expenditures 15-22'!C64</f>
        <v>41635</v>
      </c>
      <c r="D743" s="2" t="str">
        <f t="shared" si="10"/>
        <v>Error?</v>
      </c>
    </row>
    <row r="744" spans="1:4" x14ac:dyDescent="0.2">
      <c r="A744" s="10">
        <v>683</v>
      </c>
      <c r="D744" s="2" t="str">
        <f t="shared" si="10"/>
        <v>OK</v>
      </c>
    </row>
    <row r="745" spans="1:4" x14ac:dyDescent="0.2">
      <c r="A745" s="5">
        <v>684</v>
      </c>
      <c r="B745" s="138">
        <f>'Expenditures 15-22'!C65</f>
        <v>2089433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250564</v>
      </c>
      <c r="D747" s="2" t="str">
        <f t="shared" si="10"/>
        <v>Error?</v>
      </c>
    </row>
    <row r="748" spans="1:4" x14ac:dyDescent="0.2">
      <c r="A748" s="5">
        <v>687</v>
      </c>
      <c r="B748" s="138">
        <f>'Expenditures 15-22'!C69</f>
        <v>199853</v>
      </c>
      <c r="D748" s="2" t="str">
        <f t="shared" si="10"/>
        <v>Error?</v>
      </c>
    </row>
    <row r="749" spans="1:4" x14ac:dyDescent="0.2">
      <c r="A749" s="5">
        <v>688</v>
      </c>
      <c r="B749" s="138">
        <f>'Expenditures 15-22'!C70</f>
        <v>515778</v>
      </c>
      <c r="D749" s="2" t="str">
        <f t="shared" si="10"/>
        <v>Error?</v>
      </c>
    </row>
    <row r="750" spans="1:4" x14ac:dyDescent="0.2">
      <c r="A750" s="10">
        <v>689</v>
      </c>
      <c r="D750" s="2" t="str">
        <f t="shared" si="10"/>
        <v>OK</v>
      </c>
    </row>
    <row r="751" spans="1:4" x14ac:dyDescent="0.2">
      <c r="A751" s="5">
        <v>690</v>
      </c>
      <c r="B751" s="138">
        <f>'Expenditures 15-22'!C71</f>
        <v>220289</v>
      </c>
      <c r="D751" s="2" t="str">
        <f t="shared" si="10"/>
        <v>Error?</v>
      </c>
    </row>
    <row r="752" spans="1:4" x14ac:dyDescent="0.2">
      <c r="A752" s="10">
        <v>691</v>
      </c>
      <c r="D752" s="2" t="str">
        <f t="shared" si="10"/>
        <v>OK</v>
      </c>
    </row>
    <row r="753" spans="1:4" x14ac:dyDescent="0.2">
      <c r="A753" s="5">
        <v>692</v>
      </c>
      <c r="B753" s="138">
        <f>'Expenditures 15-22'!C72</f>
        <v>1186484</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17680944</v>
      </c>
      <c r="C755" s="2" t="s">
        <v>572</v>
      </c>
      <c r="D755" s="2" t="str">
        <f t="shared" si="10"/>
        <v>Error?</v>
      </c>
    </row>
    <row r="756" spans="1:4" x14ac:dyDescent="0.2">
      <c r="A756" s="5">
        <v>695</v>
      </c>
      <c r="B756" s="138">
        <f>'Expenditures 15-22'!C75</f>
        <v>254414</v>
      </c>
      <c r="D756" s="2" t="str">
        <f t="shared" si="10"/>
        <v>Error?</v>
      </c>
    </row>
    <row r="757" spans="1:4" x14ac:dyDescent="0.2">
      <c r="A757" s="5">
        <v>696</v>
      </c>
      <c r="B757" s="138">
        <f>'Expenditures 15-22'!C114</f>
        <v>66087213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4509180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49514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14115</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195804</v>
      </c>
      <c r="D776" s="2" t="str">
        <f t="shared" si="11"/>
        <v>Error?</v>
      </c>
    </row>
    <row r="777" spans="1:4" x14ac:dyDescent="0.2">
      <c r="A777" s="5">
        <v>716</v>
      </c>
      <c r="B777" s="138">
        <f>'Expenditures 15-22'!D15</f>
        <v>7197</v>
      </c>
      <c r="D777" s="2" t="str">
        <f t="shared" si="11"/>
        <v>Error?</v>
      </c>
    </row>
    <row r="778" spans="1:4" x14ac:dyDescent="0.2">
      <c r="A778" s="5">
        <v>717</v>
      </c>
      <c r="B778" s="138">
        <f>'Expenditures 15-22'!D33</f>
        <v>5994008</v>
      </c>
      <c r="C778" s="2" t="s">
        <v>572</v>
      </c>
      <c r="D778" s="2" t="str">
        <f t="shared" si="11"/>
        <v>Error?</v>
      </c>
    </row>
    <row r="779" spans="1:4" x14ac:dyDescent="0.2">
      <c r="A779" s="5">
        <v>718</v>
      </c>
      <c r="B779" s="138">
        <f>'Expenditures 15-22'!D36</f>
        <v>162561</v>
      </c>
      <c r="D779" s="2" t="str">
        <f t="shared" si="11"/>
        <v>Error?</v>
      </c>
    </row>
    <row r="780" spans="1:4" x14ac:dyDescent="0.2">
      <c r="A780" s="5">
        <v>719</v>
      </c>
      <c r="B780" s="138">
        <f>'Expenditures 15-22'!D37</f>
        <v>972347</v>
      </c>
      <c r="D780" s="2" t="str">
        <f t="shared" si="11"/>
        <v>Error?</v>
      </c>
    </row>
    <row r="781" spans="1:4" x14ac:dyDescent="0.2">
      <c r="A781" s="5">
        <v>720</v>
      </c>
      <c r="B781" s="138">
        <f>'Expenditures 15-22'!D38</f>
        <v>55868</v>
      </c>
      <c r="D781" s="2" t="str">
        <f t="shared" si="11"/>
        <v>Error?</v>
      </c>
    </row>
    <row r="782" spans="1:4" x14ac:dyDescent="0.2">
      <c r="A782" s="5">
        <v>721</v>
      </c>
      <c r="B782" s="138">
        <f>'Expenditures 15-22'!D39</f>
        <v>49215</v>
      </c>
      <c r="D782" s="2" t="str">
        <f t="shared" si="11"/>
        <v>Error?</v>
      </c>
    </row>
    <row r="783" spans="1:4" x14ac:dyDescent="0.2">
      <c r="A783" s="5">
        <v>722</v>
      </c>
      <c r="B783" s="138">
        <f>'Expenditures 15-22'!D40</f>
        <v>72148</v>
      </c>
      <c r="D783" s="2" t="str">
        <f t="shared" si="11"/>
        <v>Error?</v>
      </c>
    </row>
    <row r="784" spans="1:4" x14ac:dyDescent="0.2">
      <c r="A784" s="5">
        <v>723</v>
      </c>
      <c r="B784" s="138">
        <f>'Expenditures 15-22'!D41</f>
        <v>26920</v>
      </c>
      <c r="D784" s="2" t="str">
        <f t="shared" si="11"/>
        <v>Error?</v>
      </c>
    </row>
    <row r="785" spans="1:4" x14ac:dyDescent="0.2">
      <c r="A785" s="5">
        <v>724</v>
      </c>
      <c r="B785" s="138">
        <f>'Expenditures 15-22'!D42</f>
        <v>1339059</v>
      </c>
      <c r="C785" s="2" t="s">
        <v>572</v>
      </c>
      <c r="D785" s="2" t="str">
        <f t="shared" si="11"/>
        <v>Error?</v>
      </c>
    </row>
    <row r="786" spans="1:4" x14ac:dyDescent="0.2">
      <c r="A786" s="5">
        <v>725</v>
      </c>
      <c r="B786" s="138">
        <f>'Expenditures 15-22'!D44</f>
        <v>89729</v>
      </c>
      <c r="D786" s="2" t="str">
        <f t="shared" si="11"/>
        <v>Error?</v>
      </c>
    </row>
    <row r="787" spans="1:4" x14ac:dyDescent="0.2">
      <c r="A787" s="5">
        <v>726</v>
      </c>
      <c r="B787" s="138">
        <f>'Expenditures 15-22'!D45</f>
        <v>219756</v>
      </c>
      <c r="D787" s="2" t="str">
        <f t="shared" si="11"/>
        <v>Error?</v>
      </c>
    </row>
    <row r="788" spans="1:4" x14ac:dyDescent="0.2">
      <c r="A788" s="5">
        <v>727</v>
      </c>
      <c r="B788" s="138">
        <f>'Expenditures 15-22'!D46</f>
        <v>31215</v>
      </c>
      <c r="D788" s="2" t="str">
        <f t="shared" si="11"/>
        <v>Error?</v>
      </c>
    </row>
    <row r="789" spans="1:4" x14ac:dyDescent="0.2">
      <c r="A789" s="5">
        <v>728</v>
      </c>
      <c r="B789" s="138">
        <f>'Expenditures 15-22'!D47</f>
        <v>340700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55437</v>
      </c>
      <c r="D791" s="2" t="str">
        <f t="shared" si="11"/>
        <v>Error?</v>
      </c>
    </row>
    <row r="792" spans="1:4" x14ac:dyDescent="0.2">
      <c r="A792" s="5">
        <v>731</v>
      </c>
      <c r="B792" s="138">
        <f>'Expenditures 15-22'!D53</f>
        <v>55437</v>
      </c>
      <c r="C792" s="2" t="s">
        <v>572</v>
      </c>
      <c r="D792" s="2" t="str">
        <f t="shared" si="11"/>
        <v>Error?</v>
      </c>
    </row>
    <row r="793" spans="1:4" x14ac:dyDescent="0.2">
      <c r="A793" s="5">
        <v>732</v>
      </c>
      <c r="B793" s="138">
        <f>'Expenditures 15-22'!D55</f>
        <v>202454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202454</v>
      </c>
      <c r="C795" s="2" t="s">
        <v>572</v>
      </c>
      <c r="D795" s="2" t="str">
        <f t="shared" si="11"/>
        <v>Error?</v>
      </c>
    </row>
    <row r="796" spans="1:4" x14ac:dyDescent="0.2">
      <c r="A796" s="5">
        <v>735</v>
      </c>
      <c r="B796" s="138">
        <f>'Expenditures 15-22'!D59</f>
        <v>30253</v>
      </c>
      <c r="D796" s="2" t="str">
        <f t="shared" si="11"/>
        <v>Error?</v>
      </c>
    </row>
    <row r="797" spans="1:4" x14ac:dyDescent="0.2">
      <c r="A797" s="5">
        <v>736</v>
      </c>
      <c r="B797" s="138">
        <f>'Expenditures 15-22'!D60</f>
        <v>77230</v>
      </c>
      <c r="D797" s="2" t="str">
        <f t="shared" si="11"/>
        <v>Error?</v>
      </c>
    </row>
    <row r="798" spans="1:4" x14ac:dyDescent="0.2">
      <c r="A798" s="5">
        <v>737</v>
      </c>
      <c r="B798" s="138">
        <f>'Expenditures 15-22'!D61</f>
        <v>235981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345</v>
      </c>
      <c r="D800" s="2" t="str">
        <f t="shared" si="11"/>
        <v>Error?</v>
      </c>
    </row>
    <row r="801" spans="1:4" x14ac:dyDescent="0.2">
      <c r="A801" s="5">
        <v>740</v>
      </c>
      <c r="B801" s="138">
        <f>'Expenditures 15-22'!D64</f>
        <v>7056</v>
      </c>
      <c r="D801" s="2" t="str">
        <f t="shared" si="11"/>
        <v>Error?</v>
      </c>
    </row>
    <row r="802" spans="1:4" x14ac:dyDescent="0.2">
      <c r="A802" s="10">
        <v>741</v>
      </c>
      <c r="D802" s="2" t="str">
        <f t="shared" si="11"/>
        <v>OK</v>
      </c>
    </row>
    <row r="803" spans="1:4" x14ac:dyDescent="0.2">
      <c r="A803" s="5">
        <v>742</v>
      </c>
      <c r="B803" s="138">
        <f>'Expenditures 15-22'!D65</f>
        <v>350865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51611</v>
      </c>
      <c r="D805" s="2" t="str">
        <f t="shared" si="11"/>
        <v>Error?</v>
      </c>
    </row>
    <row r="806" spans="1:4" x14ac:dyDescent="0.2">
      <c r="A806" s="5">
        <v>745</v>
      </c>
      <c r="B806" s="138">
        <f>'Expenditures 15-22'!D69</f>
        <v>23783</v>
      </c>
      <c r="D806" s="2" t="str">
        <f t="shared" si="11"/>
        <v>Error?</v>
      </c>
    </row>
    <row r="807" spans="1:4" x14ac:dyDescent="0.2">
      <c r="A807" s="5">
        <v>746</v>
      </c>
      <c r="B807" s="138">
        <f>'Expenditures 15-22'!D70</f>
        <v>83395</v>
      </c>
      <c r="D807" s="2" t="str">
        <f t="shared" si="11"/>
        <v>Error?</v>
      </c>
    </row>
    <row r="808" spans="1:4" x14ac:dyDescent="0.2">
      <c r="A808" s="10">
        <v>747</v>
      </c>
      <c r="D808" s="2" t="str">
        <f t="shared" si="11"/>
        <v>OK</v>
      </c>
    </row>
    <row r="809" spans="1:4" x14ac:dyDescent="0.2">
      <c r="A809" s="5">
        <v>748</v>
      </c>
      <c r="B809" s="138">
        <f>'Expenditures 15-22'!D71</f>
        <v>28965</v>
      </c>
      <c r="D809" s="2" t="str">
        <f t="shared" si="11"/>
        <v>Error?</v>
      </c>
    </row>
    <row r="810" spans="1:4" x14ac:dyDescent="0.2">
      <c r="A810" s="10">
        <v>749</v>
      </c>
      <c r="D810" s="2" t="str">
        <f t="shared" si="11"/>
        <v>OK</v>
      </c>
    </row>
    <row r="811" spans="1:4" x14ac:dyDescent="0.2">
      <c r="A811" s="5">
        <v>750</v>
      </c>
      <c r="B811" s="138">
        <f>'Expenditures 15-22'!D72</f>
        <v>187754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2476269</v>
      </c>
      <c r="C813" s="2" t="s">
        <v>572</v>
      </c>
      <c r="D813" s="2" t="str">
        <f t="shared" si="11"/>
        <v>Error?</v>
      </c>
    </row>
    <row r="814" spans="1:4" x14ac:dyDescent="0.2">
      <c r="A814" s="5">
        <v>753</v>
      </c>
      <c r="B814" s="138">
        <f>'Expenditures 15-22'!D75</f>
        <v>54845</v>
      </c>
      <c r="D814" s="2" t="str">
        <f t="shared" si="11"/>
        <v>Error?</v>
      </c>
    </row>
    <row r="815" spans="1:4" x14ac:dyDescent="0.2">
      <c r="A815" s="5">
        <v>754</v>
      </c>
      <c r="B815" s="138">
        <f>'Expenditures 15-22'!D114</f>
        <v>8525122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433271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4387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84079</v>
      </c>
      <c r="D832" s="2" t="str">
        <f t="shared" si="12"/>
        <v>Error?</v>
      </c>
    </row>
    <row r="833" spans="1:4" x14ac:dyDescent="0.2">
      <c r="A833" s="5">
        <v>772</v>
      </c>
      <c r="B833" s="138">
        <f>'Expenditures 15-22'!E13</f>
        <v>2335</v>
      </c>
      <c r="D833" s="2" t="str">
        <f t="shared" si="12"/>
        <v>Error?</v>
      </c>
    </row>
    <row r="834" spans="1:4" x14ac:dyDescent="0.2">
      <c r="A834" s="5">
        <v>773</v>
      </c>
      <c r="B834" s="138">
        <f>'Expenditures 15-22'!E14</f>
        <v>564122</v>
      </c>
      <c r="D834" s="2" t="str">
        <f t="shared" si="12"/>
        <v>Error?</v>
      </c>
    </row>
    <row r="835" spans="1:4" x14ac:dyDescent="0.2">
      <c r="A835" s="5">
        <v>774</v>
      </c>
      <c r="B835" s="138">
        <f>'Expenditures 15-22'!E15</f>
        <v>8929</v>
      </c>
      <c r="D835" s="2" t="str">
        <f t="shared" si="12"/>
        <v>Error?</v>
      </c>
    </row>
    <row r="836" spans="1:4" x14ac:dyDescent="0.2">
      <c r="A836" s="5">
        <v>775</v>
      </c>
      <c r="B836" s="138">
        <f>'Expenditures 15-22'!E33</f>
        <v>1220333</v>
      </c>
      <c r="C836" s="2" t="s">
        <v>572</v>
      </c>
      <c r="D836" s="2" t="str">
        <f t="shared" si="12"/>
        <v>Error?</v>
      </c>
    </row>
    <row r="837" spans="1:4" x14ac:dyDescent="0.2">
      <c r="A837" s="5">
        <v>776</v>
      </c>
      <c r="B837" s="138">
        <f>'Expenditures 15-22'!E36</f>
        <v>12407</v>
      </c>
      <c r="D837" s="2" t="str">
        <f t="shared" si="12"/>
        <v>Error?</v>
      </c>
    </row>
    <row r="838" spans="1:4" x14ac:dyDescent="0.2">
      <c r="A838" s="5">
        <v>777</v>
      </c>
      <c r="B838" s="138">
        <f>'Expenditures 15-22'!E37</f>
        <v>117566</v>
      </c>
      <c r="D838" s="2" t="str">
        <f t="shared" si="12"/>
        <v>Error?</v>
      </c>
    </row>
    <row r="839" spans="1:4" x14ac:dyDescent="0.2">
      <c r="A839" s="5">
        <v>778</v>
      </c>
      <c r="B839" s="138">
        <f>'Expenditures 15-22'!E38</f>
        <v>41804</v>
      </c>
      <c r="D839" s="2" t="str">
        <f t="shared" si="12"/>
        <v>Error?</v>
      </c>
    </row>
    <row r="840" spans="1:4" x14ac:dyDescent="0.2">
      <c r="A840" s="5">
        <v>779</v>
      </c>
      <c r="B840" s="138">
        <f>'Expenditures 15-22'!E39</f>
        <v>2022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4303</v>
      </c>
      <c r="D842" s="2" t="str">
        <f t="shared" si="12"/>
        <v>Error?</v>
      </c>
    </row>
    <row r="843" spans="1:4" x14ac:dyDescent="0.2">
      <c r="A843" s="5">
        <v>782</v>
      </c>
      <c r="B843" s="138">
        <f>'Expenditures 15-22'!E42</f>
        <v>178102</v>
      </c>
      <c r="C843" s="2" t="s">
        <v>572</v>
      </c>
      <c r="D843" s="2" t="str">
        <f t="shared" si="12"/>
        <v>Error?</v>
      </c>
    </row>
    <row r="844" spans="1:4" x14ac:dyDescent="0.2">
      <c r="A844" s="5">
        <v>783</v>
      </c>
      <c r="B844" s="138">
        <f>'Expenditures 15-22'!E44</f>
        <v>89851</v>
      </c>
      <c r="D844" s="2" t="str">
        <f t="shared" si="12"/>
        <v>Error?</v>
      </c>
    </row>
    <row r="845" spans="1:4" x14ac:dyDescent="0.2">
      <c r="A845" s="5">
        <v>784</v>
      </c>
      <c r="B845" s="138">
        <f>'Expenditures 15-22'!E45</f>
        <v>84866</v>
      </c>
      <c r="D845" s="2" t="str">
        <f t="shared" si="12"/>
        <v>Error?</v>
      </c>
    </row>
    <row r="846" spans="1:4" x14ac:dyDescent="0.2">
      <c r="A846" s="5">
        <v>785</v>
      </c>
      <c r="B846" s="138">
        <f>'Expenditures 15-22'!E46</f>
        <v>67843</v>
      </c>
      <c r="D846" s="2" t="str">
        <f t="shared" si="12"/>
        <v>Error?</v>
      </c>
    </row>
    <row r="847" spans="1:4" x14ac:dyDescent="0.2">
      <c r="A847" s="5">
        <v>786</v>
      </c>
      <c r="B847" s="138">
        <f>'Expenditures 15-22'!E47</f>
        <v>242560</v>
      </c>
      <c r="C847" s="2" t="s">
        <v>572</v>
      </c>
      <c r="D847" s="2" t="str">
        <f t="shared" si="12"/>
        <v>Error?</v>
      </c>
    </row>
    <row r="848" spans="1:4" x14ac:dyDescent="0.2">
      <c r="A848" s="5">
        <v>787</v>
      </c>
      <c r="B848" s="138">
        <f>'Expenditures 15-22'!E49</f>
        <v>1030721</v>
      </c>
      <c r="D848" s="2" t="str">
        <f t="shared" si="12"/>
        <v>Error?</v>
      </c>
    </row>
    <row r="849" spans="1:4" x14ac:dyDescent="0.2">
      <c r="A849" s="5">
        <v>788</v>
      </c>
      <c r="B849" s="138">
        <f>'Expenditures 15-22'!E50</f>
        <v>32921</v>
      </c>
      <c r="D849" s="2" t="str">
        <f t="shared" si="12"/>
        <v>Error?</v>
      </c>
    </row>
    <row r="850" spans="1:4" x14ac:dyDescent="0.2">
      <c r="A850" s="5">
        <v>789</v>
      </c>
      <c r="B850" s="138">
        <f>'Expenditures 15-22'!E53</f>
        <v>1063642</v>
      </c>
      <c r="C850" s="2" t="s">
        <v>572</v>
      </c>
      <c r="D850" s="2" t="str">
        <f t="shared" si="12"/>
        <v>Error?</v>
      </c>
    </row>
    <row r="851" spans="1:4" x14ac:dyDescent="0.2">
      <c r="A851" s="5">
        <v>790</v>
      </c>
      <c r="B851" s="138">
        <f>'Expenditures 15-22'!E55</f>
        <v>92858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92858</v>
      </c>
      <c r="C853" s="2" t="s">
        <v>572</v>
      </c>
      <c r="D853" s="2" t="str">
        <f t="shared" si="12"/>
        <v>Error?</v>
      </c>
    </row>
    <row r="854" spans="1:4" x14ac:dyDescent="0.2">
      <c r="A854" s="5">
        <v>793</v>
      </c>
      <c r="B854" s="138">
        <f>'Expenditures 15-22'!E59</f>
        <v>3787</v>
      </c>
      <c r="D854" s="2" t="str">
        <f t="shared" si="12"/>
        <v>Error?</v>
      </c>
    </row>
    <row r="855" spans="1:4" x14ac:dyDescent="0.2">
      <c r="A855" s="5">
        <v>794</v>
      </c>
      <c r="B855" s="138">
        <f>'Expenditures 15-22'!E60</f>
        <v>244916</v>
      </c>
      <c r="D855" s="2" t="str">
        <f t="shared" si="12"/>
        <v>Error?</v>
      </c>
    </row>
    <row r="856" spans="1:4" x14ac:dyDescent="0.2">
      <c r="A856" s="5">
        <v>795</v>
      </c>
      <c r="B856" s="138">
        <f>'Expenditures 15-22'!E61</f>
        <v>548468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13009</v>
      </c>
      <c r="D859" s="2" t="str">
        <f t="shared" si="12"/>
        <v>Error?</v>
      </c>
    </row>
    <row r="860" spans="1:4" x14ac:dyDescent="0.2">
      <c r="A860" s="10">
        <v>799</v>
      </c>
      <c r="D860" s="2" t="str">
        <f t="shared" si="12"/>
        <v>OK</v>
      </c>
    </row>
    <row r="861" spans="1:4" x14ac:dyDescent="0.2">
      <c r="A861" s="5">
        <v>800</v>
      </c>
      <c r="B861" s="138">
        <f>'Expenditures 15-22'!E65</f>
        <v>810180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892537</v>
      </c>
      <c r="D863" s="2" t="str">
        <f t="shared" si="12"/>
        <v>Error?</v>
      </c>
    </row>
    <row r="864" spans="1:4" x14ac:dyDescent="0.2">
      <c r="A864" s="5">
        <v>803</v>
      </c>
      <c r="B864" s="138">
        <f>'Expenditures 15-22'!E69</f>
        <v>140350</v>
      </c>
      <c r="D864" s="2" t="str">
        <f t="shared" si="12"/>
        <v>Error?</v>
      </c>
    </row>
    <row r="865" spans="1:4" x14ac:dyDescent="0.2">
      <c r="A865" s="5">
        <v>804</v>
      </c>
      <c r="B865" s="138">
        <f>'Expenditures 15-22'!E70</f>
        <v>24909</v>
      </c>
      <c r="D865" s="2" t="str">
        <f t="shared" si="12"/>
        <v>Error?</v>
      </c>
    </row>
    <row r="866" spans="1:4" x14ac:dyDescent="0.2">
      <c r="A866" s="10">
        <v>805</v>
      </c>
      <c r="D866" s="2" t="str">
        <f t="shared" si="12"/>
        <v>OK</v>
      </c>
    </row>
    <row r="867" spans="1:4" x14ac:dyDescent="0.2">
      <c r="A867" s="5">
        <v>806</v>
      </c>
      <c r="B867" s="138">
        <f>'Expenditures 15-22'!E71</f>
        <v>116273</v>
      </c>
      <c r="D867" s="2" t="str">
        <f t="shared" si="12"/>
        <v>Error?</v>
      </c>
    </row>
    <row r="868" spans="1:4" x14ac:dyDescent="0.2">
      <c r="A868" s="10">
        <v>807</v>
      </c>
      <c r="D868" s="2" t="str">
        <f t="shared" si="12"/>
        <v>OK</v>
      </c>
    </row>
    <row r="869" spans="1:4" x14ac:dyDescent="0.2">
      <c r="A869" s="5">
        <v>808</v>
      </c>
      <c r="B869" s="138">
        <f>'Expenditures 15-22'!E72</f>
        <v>1174069</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3561411</v>
      </c>
      <c r="C871" s="2" t="s">
        <v>572</v>
      </c>
      <c r="D871" s="2" t="str">
        <f t="shared" si="12"/>
        <v>Error?</v>
      </c>
    </row>
    <row r="872" spans="1:4" x14ac:dyDescent="0.2">
      <c r="A872" s="5">
        <v>811</v>
      </c>
      <c r="B872" s="138">
        <f>'Expenditures 15-22'!E75</f>
        <v>42285</v>
      </c>
      <c r="D872" s="2" t="str">
        <f t="shared" si="12"/>
        <v>Error?</v>
      </c>
    </row>
    <row r="873" spans="1:4" x14ac:dyDescent="0.2">
      <c r="A873" s="5">
        <v>812</v>
      </c>
      <c r="B873" s="138">
        <f>'Expenditures 15-22'!E114</f>
        <v>4824029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638771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4137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7989</v>
      </c>
      <c r="D890" s="2" t="str">
        <f t="shared" si="12"/>
        <v>Error?</v>
      </c>
    </row>
    <row r="891" spans="1:4" x14ac:dyDescent="0.2">
      <c r="A891" s="5">
        <v>830</v>
      </c>
      <c r="B891" s="138">
        <f>'Expenditures 15-22'!F13</f>
        <v>2084</v>
      </c>
      <c r="D891" s="2" t="str">
        <f t="shared" si="12"/>
        <v>Error?</v>
      </c>
    </row>
    <row r="892" spans="1:4" x14ac:dyDescent="0.2">
      <c r="A892" s="5">
        <v>831</v>
      </c>
      <c r="B892" s="138">
        <f>'Expenditures 15-22'!F14</f>
        <v>291816</v>
      </c>
      <c r="D892" s="2" t="str">
        <f t="shared" si="12"/>
        <v>Error?</v>
      </c>
    </row>
    <row r="893" spans="1:4" x14ac:dyDescent="0.2">
      <c r="A893" s="5">
        <v>832</v>
      </c>
      <c r="B893" s="138">
        <f>'Expenditures 15-22'!F15</f>
        <v>20064</v>
      </c>
      <c r="D893" s="2" t="str">
        <f t="shared" si="12"/>
        <v>Error?</v>
      </c>
    </row>
    <row r="894" spans="1:4" x14ac:dyDescent="0.2">
      <c r="A894" s="5">
        <v>833</v>
      </c>
      <c r="B894" s="138">
        <f>'Expenditures 15-22'!F33</f>
        <v>1024288</v>
      </c>
      <c r="C894" s="2" t="s">
        <v>572</v>
      </c>
      <c r="D894" s="2" t="str">
        <f t="shared" si="12"/>
        <v>Error?</v>
      </c>
    </row>
    <row r="895" spans="1:4" x14ac:dyDescent="0.2">
      <c r="A895" s="5">
        <v>834</v>
      </c>
      <c r="B895" s="138">
        <f>'Expenditures 15-22'!F36</f>
        <v>7597</v>
      </c>
      <c r="D895" s="2" t="str">
        <f t="shared" ref="D895:D958" si="13">IF(ISBLANK(B895),"OK",IF(A895-B895=0,"OK","Error?"))</f>
        <v>Error?</v>
      </c>
    </row>
    <row r="896" spans="1:4" x14ac:dyDescent="0.2">
      <c r="A896" s="5">
        <v>835</v>
      </c>
      <c r="B896" s="138">
        <f>'Expenditures 15-22'!F37</f>
        <v>57314</v>
      </c>
      <c r="D896" s="2" t="str">
        <f t="shared" si="13"/>
        <v>Error?</v>
      </c>
    </row>
    <row r="897" spans="1:4" x14ac:dyDescent="0.2">
      <c r="A897" s="5">
        <v>836</v>
      </c>
      <c r="B897" s="138">
        <f>'Expenditures 15-22'!F38</f>
        <v>13449</v>
      </c>
      <c r="D897" s="2" t="str">
        <f t="shared" si="13"/>
        <v>Error?</v>
      </c>
    </row>
    <row r="898" spans="1:4" x14ac:dyDescent="0.2">
      <c r="A898" s="5">
        <v>837</v>
      </c>
      <c r="B898" s="138">
        <f>'Expenditures 15-22'!F39</f>
        <v>1266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29304</v>
      </c>
      <c r="D900" s="2" t="str">
        <f t="shared" si="13"/>
        <v>Error?</v>
      </c>
    </row>
    <row r="901" spans="1:4" x14ac:dyDescent="0.2">
      <c r="A901" s="5">
        <v>840</v>
      </c>
      <c r="B901" s="138">
        <f>'Expenditures 15-22'!F42</f>
        <v>108930</v>
      </c>
      <c r="C901" s="2" t="s">
        <v>572</v>
      </c>
      <c r="D901" s="2" t="str">
        <f t="shared" si="13"/>
        <v>Error?</v>
      </c>
    </row>
    <row r="902" spans="1:4" x14ac:dyDescent="0.2">
      <c r="A902" s="5">
        <v>841</v>
      </c>
      <c r="B902" s="138">
        <f>'Expenditures 15-22'!F44</f>
        <v>57603</v>
      </c>
      <c r="D902" s="2" t="str">
        <f t="shared" si="13"/>
        <v>Error?</v>
      </c>
    </row>
    <row r="903" spans="1:4" x14ac:dyDescent="0.2">
      <c r="A903" s="5">
        <v>842</v>
      </c>
      <c r="B903" s="138">
        <f>'Expenditures 15-22'!F45</f>
        <v>63436</v>
      </c>
      <c r="D903" s="2" t="str">
        <f t="shared" si="13"/>
        <v>Error?</v>
      </c>
    </row>
    <row r="904" spans="1:4" x14ac:dyDescent="0.2">
      <c r="A904" s="5">
        <v>843</v>
      </c>
      <c r="B904" s="138">
        <f>'Expenditures 15-22'!F46</f>
        <v>141862</v>
      </c>
      <c r="D904" s="2" t="str">
        <f t="shared" si="13"/>
        <v>Error?</v>
      </c>
    </row>
    <row r="905" spans="1:4" x14ac:dyDescent="0.2">
      <c r="A905" s="5">
        <v>844</v>
      </c>
      <c r="B905" s="138">
        <f>'Expenditures 15-22'!F47</f>
        <v>262901</v>
      </c>
      <c r="C905" s="2" t="s">
        <v>572</v>
      </c>
      <c r="D905" s="2" t="str">
        <f t="shared" si="13"/>
        <v>Error?</v>
      </c>
    </row>
    <row r="906" spans="1:4" x14ac:dyDescent="0.2">
      <c r="A906" s="5">
        <v>845</v>
      </c>
      <c r="B906" s="138">
        <f>'Expenditures 15-22'!F49</f>
        <v>39790</v>
      </c>
      <c r="D906" s="2" t="str">
        <f t="shared" si="13"/>
        <v>Error?</v>
      </c>
    </row>
    <row r="907" spans="1:4" x14ac:dyDescent="0.2">
      <c r="A907" s="5">
        <v>846</v>
      </c>
      <c r="B907" s="138">
        <f>'Expenditures 15-22'!F50</f>
        <v>16318</v>
      </c>
      <c r="D907" s="2" t="str">
        <f t="shared" si="13"/>
        <v>Error?</v>
      </c>
    </row>
    <row r="908" spans="1:4" x14ac:dyDescent="0.2">
      <c r="A908" s="5">
        <v>847</v>
      </c>
      <c r="B908" s="138">
        <f>'Expenditures 15-22'!F53</f>
        <v>58103</v>
      </c>
      <c r="C908" s="2" t="s">
        <v>572</v>
      </c>
      <c r="D908" s="2" t="str">
        <f t="shared" si="13"/>
        <v>Error?</v>
      </c>
    </row>
    <row r="909" spans="1:4" x14ac:dyDescent="0.2">
      <c r="A909" s="5">
        <v>848</v>
      </c>
      <c r="B909" s="138">
        <f>'Expenditures 15-22'!F55</f>
        <v>107689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107689</v>
      </c>
      <c r="C911" s="2" t="s">
        <v>572</v>
      </c>
      <c r="D911" s="2" t="str">
        <f t="shared" si="13"/>
        <v>Error?</v>
      </c>
    </row>
    <row r="912" spans="1:4" x14ac:dyDescent="0.2">
      <c r="A912" s="5">
        <v>851</v>
      </c>
      <c r="B912" s="138">
        <f>'Expenditures 15-22'!F59</f>
        <v>6202</v>
      </c>
      <c r="D912" s="2" t="str">
        <f t="shared" si="13"/>
        <v>Error?</v>
      </c>
    </row>
    <row r="913" spans="1:4" x14ac:dyDescent="0.2">
      <c r="A913" s="5">
        <v>852</v>
      </c>
      <c r="B913" s="138">
        <f>'Expenditures 15-22'!F60</f>
        <v>69436</v>
      </c>
      <c r="D913" s="2" t="str">
        <f t="shared" si="13"/>
        <v>Error?</v>
      </c>
    </row>
    <row r="914" spans="1:4" x14ac:dyDescent="0.2">
      <c r="A914" s="5">
        <v>853</v>
      </c>
      <c r="B914" s="138">
        <f>'Expenditures 15-22'!F61</f>
        <v>1764422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83285</v>
      </c>
      <c r="D917" s="2" t="str">
        <f t="shared" si="13"/>
        <v>Error?</v>
      </c>
    </row>
    <row r="918" spans="1:4" x14ac:dyDescent="0.2">
      <c r="A918" s="10">
        <v>857</v>
      </c>
      <c r="D918" s="2" t="str">
        <f t="shared" si="13"/>
        <v>OK</v>
      </c>
    </row>
    <row r="919" spans="1:4" x14ac:dyDescent="0.2">
      <c r="A919" s="5">
        <v>858</v>
      </c>
      <c r="B919" s="138">
        <f>'Expenditures 15-22'!F65</f>
        <v>1923345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36264</v>
      </c>
      <c r="D921" s="2" t="str">
        <f t="shared" si="13"/>
        <v>Error?</v>
      </c>
    </row>
    <row r="922" spans="1:4" x14ac:dyDescent="0.2">
      <c r="A922" s="5">
        <v>861</v>
      </c>
      <c r="B922" s="138">
        <f>'Expenditures 15-22'!F69</f>
        <v>4516</v>
      </c>
      <c r="D922" s="2" t="str">
        <f t="shared" si="13"/>
        <v>Error?</v>
      </c>
    </row>
    <row r="923" spans="1:4" x14ac:dyDescent="0.2">
      <c r="A923" s="5">
        <v>862</v>
      </c>
      <c r="B923" s="138">
        <f>'Expenditures 15-22'!F70</f>
        <v>7552</v>
      </c>
      <c r="D923" s="2" t="str">
        <f t="shared" si="13"/>
        <v>Error?</v>
      </c>
    </row>
    <row r="924" spans="1:4" x14ac:dyDescent="0.2">
      <c r="A924" s="10">
        <v>863</v>
      </c>
      <c r="D924" s="2" t="str">
        <f t="shared" si="13"/>
        <v>OK</v>
      </c>
    </row>
    <row r="925" spans="1:4" x14ac:dyDescent="0.2">
      <c r="A925" s="5">
        <v>864</v>
      </c>
      <c r="B925" s="138">
        <f>'Expenditures 15-22'!F71</f>
        <v>31886</v>
      </c>
      <c r="D925" s="2" t="str">
        <f t="shared" si="13"/>
        <v>Error?</v>
      </c>
    </row>
    <row r="926" spans="1:4" x14ac:dyDescent="0.2">
      <c r="A926" s="10">
        <v>865</v>
      </c>
      <c r="D926" s="2" t="str">
        <f t="shared" si="13"/>
        <v>OK</v>
      </c>
    </row>
    <row r="927" spans="1:4" x14ac:dyDescent="0.2">
      <c r="A927" s="5">
        <v>866</v>
      </c>
      <c r="B927" s="138">
        <f>'Expenditures 15-22'!F72</f>
        <v>80218</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2541186</v>
      </c>
      <c r="C929" s="2" t="s">
        <v>572</v>
      </c>
      <c r="D929" s="2" t="str">
        <f t="shared" si="13"/>
        <v>Error?</v>
      </c>
    </row>
    <row r="930" spans="1:4" x14ac:dyDescent="0.2">
      <c r="A930" s="5">
        <v>869</v>
      </c>
      <c r="B930" s="138">
        <f>'Expenditures 15-22'!F75</f>
        <v>17805</v>
      </c>
      <c r="D930" s="2" t="str">
        <f t="shared" si="13"/>
        <v>Error?</v>
      </c>
    </row>
    <row r="931" spans="1:4" x14ac:dyDescent="0.2">
      <c r="A931" s="5">
        <v>870</v>
      </c>
      <c r="B931" s="138">
        <f>'Expenditures 15-22'!F114</f>
        <v>3583279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321302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105043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462655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74708</v>
      </c>
      <c r="D954" s="2" t="str">
        <f t="shared" si="13"/>
        <v>Error?</v>
      </c>
    </row>
    <row r="955" spans="1:4" x14ac:dyDescent="0.2">
      <c r="A955" s="5">
        <v>894</v>
      </c>
      <c r="B955" s="138">
        <f>'Expenditures 15-22'!G38</f>
        <v>5177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79885</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1266402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1266402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8671</v>
      </c>
      <c r="D965" s="2" t="str">
        <f t="shared" si="14"/>
        <v>Error?</v>
      </c>
    </row>
    <row r="966" spans="1:4" x14ac:dyDescent="0.2">
      <c r="A966" s="5">
        <v>905</v>
      </c>
      <c r="B966" s="138">
        <f>'Expenditures 15-22'!G53</f>
        <v>8671</v>
      </c>
      <c r="C966" s="2" t="s">
        <v>572</v>
      </c>
      <c r="D966" s="2" t="str">
        <f t="shared" si="14"/>
        <v>Error?</v>
      </c>
    </row>
    <row r="967" spans="1:4" x14ac:dyDescent="0.2">
      <c r="A967" s="5">
        <v>906</v>
      </c>
      <c r="B967" s="138">
        <f>'Expenditures 15-22'!G55</f>
        <v>18827</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18827</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5969</v>
      </c>
      <c r="D971" s="2" t="str">
        <f t="shared" si="14"/>
        <v>Error?</v>
      </c>
    </row>
    <row r="972" spans="1:4" x14ac:dyDescent="0.2">
      <c r="A972" s="5">
        <v>911</v>
      </c>
      <c r="B972" s="138">
        <f>'Expenditures 15-22'!G61</f>
        <v>858499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864468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602145</v>
      </c>
      <c r="D979" s="2" t="str">
        <f t="shared" si="14"/>
        <v>Error?</v>
      </c>
    </row>
    <row r="980" spans="1:4" x14ac:dyDescent="0.2">
      <c r="A980" s="5">
        <v>919</v>
      </c>
      <c r="B980" s="138">
        <f>'Expenditures 15-22'!G69</f>
        <v>0</v>
      </c>
      <c r="D980" s="2" t="str">
        <f t="shared" si="14"/>
        <v>Error?</v>
      </c>
    </row>
    <row r="981" spans="1:4" x14ac:dyDescent="0.2">
      <c r="A981" s="5">
        <v>920</v>
      </c>
      <c r="B981" s="138">
        <f>'Expenditures 15-22'!G70</f>
        <v>7245</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609390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2847643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3310298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684</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124898</v>
      </c>
      <c r="D1008" s="2" t="str">
        <f t="shared" si="14"/>
        <v>Error?</v>
      </c>
    </row>
    <row r="1009" spans="1:4" x14ac:dyDescent="0.2">
      <c r="A1009" s="5">
        <v>948</v>
      </c>
      <c r="B1009" s="138">
        <f>'Expenditures 15-22'!H15</f>
        <v>6200</v>
      </c>
      <c r="D1009" s="2" t="str">
        <f t="shared" si="14"/>
        <v>Error?</v>
      </c>
    </row>
    <row r="1010" spans="1:4" x14ac:dyDescent="0.2">
      <c r="A1010" s="5">
        <v>949</v>
      </c>
      <c r="B1010" s="138">
        <f>'Expenditures 15-22'!H33</f>
        <v>3495074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2732</v>
      </c>
      <c r="D1012" s="2" t="str">
        <f t="shared" si="14"/>
        <v>Error?</v>
      </c>
    </row>
    <row r="1013" spans="1:4" x14ac:dyDescent="0.2">
      <c r="A1013" s="5">
        <v>952</v>
      </c>
      <c r="B1013" s="138">
        <f>'Expenditures 15-22'!H38</f>
        <v>426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3158</v>
      </c>
      <c r="C1017" s="2" t="s">
        <v>572</v>
      </c>
      <c r="D1017" s="2" t="str">
        <f t="shared" si="14"/>
        <v>Error?</v>
      </c>
    </row>
    <row r="1018" spans="1:4" x14ac:dyDescent="0.2">
      <c r="A1018" s="5">
        <v>957</v>
      </c>
      <c r="B1018" s="138">
        <f>'Expenditures 15-22'!H44</f>
        <v>6125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535</v>
      </c>
      <c r="D1020" s="2" t="str">
        <f t="shared" si="14"/>
        <v>Error?</v>
      </c>
    </row>
    <row r="1021" spans="1:4" x14ac:dyDescent="0.2">
      <c r="A1021" s="5">
        <v>960</v>
      </c>
      <c r="B1021" s="138">
        <f>'Expenditures 15-22'!H47</f>
        <v>6660</v>
      </c>
      <c r="C1021" s="2" t="s">
        <v>572</v>
      </c>
      <c r="D1021" s="2" t="str">
        <f t="shared" si="14"/>
        <v>Error?</v>
      </c>
    </row>
    <row r="1022" spans="1:4" x14ac:dyDescent="0.2">
      <c r="A1022" s="5">
        <v>961</v>
      </c>
      <c r="B1022" s="138">
        <f>'Expenditures 15-22'!H49</f>
        <v>228933</v>
      </c>
      <c r="D1022" s="2" t="str">
        <f t="shared" si="14"/>
        <v>Error?</v>
      </c>
    </row>
    <row r="1023" spans="1:4" x14ac:dyDescent="0.2">
      <c r="A1023" s="5">
        <v>962</v>
      </c>
      <c r="B1023" s="138">
        <f>'Expenditures 15-22'!H50</f>
        <v>19694</v>
      </c>
      <c r="D1023" s="2" t="str">
        <f t="shared" ref="D1023:D1086" si="15">IF(ISBLANK(B1023),"OK",IF(A1023-B1023=0,"OK","Error?"))</f>
        <v>Error?</v>
      </c>
    </row>
    <row r="1024" spans="1:4" x14ac:dyDescent="0.2">
      <c r="A1024" s="5">
        <v>963</v>
      </c>
      <c r="B1024" s="138">
        <f>'Expenditures 15-22'!H53</f>
        <v>248627</v>
      </c>
      <c r="C1024" s="2" t="s">
        <v>572</v>
      </c>
      <c r="D1024" s="2" t="str">
        <f t="shared" si="15"/>
        <v>Error?</v>
      </c>
    </row>
    <row r="1025" spans="1:4" x14ac:dyDescent="0.2">
      <c r="A1025" s="5">
        <v>964</v>
      </c>
      <c r="B1025" s="138">
        <f>'Expenditures 15-22'!H55</f>
        <v>4122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4122</v>
      </c>
      <c r="C1027" s="2" t="s">
        <v>572</v>
      </c>
      <c r="D1027" s="2" t="str">
        <f t="shared" si="15"/>
        <v>Error?</v>
      </c>
    </row>
    <row r="1028" spans="1:4" x14ac:dyDescent="0.2">
      <c r="A1028" s="5">
        <v>967</v>
      </c>
      <c r="B1028" s="138">
        <f>'Expenditures 15-22'!H59</f>
        <v>2484</v>
      </c>
      <c r="D1028" s="2" t="str">
        <f t="shared" si="15"/>
        <v>Error?</v>
      </c>
    </row>
    <row r="1029" spans="1:4" x14ac:dyDescent="0.2">
      <c r="A1029" s="5">
        <v>968</v>
      </c>
      <c r="B1029" s="138">
        <f>'Expenditures 15-22'!H60</f>
        <v>197189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199673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1260</v>
      </c>
      <c r="D1038" s="2" t="str">
        <f t="shared" si="15"/>
        <v>Error?</v>
      </c>
    </row>
    <row r="1039" spans="1:4" x14ac:dyDescent="0.2">
      <c r="A1039" s="5">
        <v>978</v>
      </c>
      <c r="B1039" s="138">
        <f>'Expenditures 15-22'!H70</f>
        <v>2714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3974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466214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1446852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5408140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39488666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287724</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551577</v>
      </c>
      <c r="C1104" s="2" t="s">
        <v>572</v>
      </c>
      <c r="D1104" s="2" t="str">
        <f t="shared" si="16"/>
        <v>Error?</v>
      </c>
    </row>
    <row r="1105" spans="1:4" x14ac:dyDescent="0.2">
      <c r="A1105" s="5">
        <v>1044</v>
      </c>
      <c r="B1105" s="138">
        <f>'Expenditures 15-22'!K13</f>
        <v>4419</v>
      </c>
      <c r="C1105" s="2" t="s">
        <v>572</v>
      </c>
      <c r="D1105" s="2" t="str">
        <f t="shared" si="16"/>
        <v>Error?</v>
      </c>
    </row>
    <row r="1106" spans="1:4" x14ac:dyDescent="0.2">
      <c r="A1106" s="5">
        <v>1045</v>
      </c>
      <c r="B1106" s="138">
        <f>'Expenditures 15-22'!K14</f>
        <v>6931573</v>
      </c>
      <c r="C1106" s="2" t="s">
        <v>572</v>
      </c>
      <c r="D1106" s="2" t="str">
        <f t="shared" si="16"/>
        <v>Error?</v>
      </c>
    </row>
    <row r="1107" spans="1:4" x14ac:dyDescent="0.2">
      <c r="A1107" s="5">
        <v>1046</v>
      </c>
      <c r="B1107" s="138">
        <f>'Expenditures 15-22'!K15</f>
        <v>649344</v>
      </c>
      <c r="C1107" s="2" t="s">
        <v>572</v>
      </c>
      <c r="D1107" s="2" t="str">
        <f t="shared" si="16"/>
        <v>Error?</v>
      </c>
    </row>
    <row r="1108" spans="1:4" x14ac:dyDescent="0.2">
      <c r="A1108" s="5">
        <v>1047</v>
      </c>
      <c r="B1108" s="138">
        <f>'Expenditures 15-22'!K33</f>
        <v>60348213</v>
      </c>
      <c r="C1108" s="2" t="s">
        <v>572</v>
      </c>
      <c r="D1108" s="2" t="str">
        <f t="shared" si="16"/>
        <v>Error?</v>
      </c>
    </row>
    <row r="1109" spans="1:4" x14ac:dyDescent="0.2">
      <c r="A1109" s="5">
        <v>1048</v>
      </c>
      <c r="B1109" s="138">
        <f>'Expenditures 15-22'!K36</f>
        <v>1564054</v>
      </c>
      <c r="C1109" s="2" t="s">
        <v>572</v>
      </c>
      <c r="D1109" s="2" t="str">
        <f t="shared" si="16"/>
        <v>Error?</v>
      </c>
    </row>
    <row r="1110" spans="1:4" x14ac:dyDescent="0.2">
      <c r="A1110" s="5">
        <v>1049</v>
      </c>
      <c r="B1110" s="138">
        <f>'Expenditures 15-22'!K37</f>
        <v>8910202</v>
      </c>
      <c r="C1110" s="2" t="s">
        <v>572</v>
      </c>
      <c r="D1110" s="2" t="str">
        <f t="shared" si="16"/>
        <v>Error?</v>
      </c>
    </row>
    <row r="1111" spans="1:4" x14ac:dyDescent="0.2">
      <c r="A1111" s="5">
        <v>1050</v>
      </c>
      <c r="B1111" s="138">
        <f>'Expenditures 15-22'!K38</f>
        <v>536731</v>
      </c>
      <c r="C1111" s="2" t="s">
        <v>572</v>
      </c>
      <c r="D1111" s="2" t="str">
        <f t="shared" si="16"/>
        <v>Error?</v>
      </c>
    </row>
    <row r="1112" spans="1:4" x14ac:dyDescent="0.2">
      <c r="A1112" s="5">
        <v>1051</v>
      </c>
      <c r="B1112" s="138">
        <f>'Expenditures 15-22'!K39</f>
        <v>538935</v>
      </c>
      <c r="C1112" s="2" t="s">
        <v>572</v>
      </c>
      <c r="D1112" s="2" t="str">
        <f t="shared" si="16"/>
        <v>Error?</v>
      </c>
    </row>
    <row r="1113" spans="1:4" x14ac:dyDescent="0.2">
      <c r="A1113" s="5">
        <v>1052</v>
      </c>
      <c r="B1113" s="138">
        <f>'Expenditures 15-22'!K40</f>
        <v>502351</v>
      </c>
      <c r="C1113" s="2" t="s">
        <v>572</v>
      </c>
      <c r="D1113" s="2" t="str">
        <f t="shared" si="16"/>
        <v>Error?</v>
      </c>
    </row>
    <row r="1114" spans="1:4" x14ac:dyDescent="0.2">
      <c r="A1114" s="5">
        <v>1053</v>
      </c>
      <c r="B1114" s="138">
        <f>'Expenditures 15-22'!K41</f>
        <v>185837</v>
      </c>
      <c r="C1114" s="2" t="s">
        <v>572</v>
      </c>
      <c r="D1114" s="2" t="str">
        <f t="shared" si="16"/>
        <v>Error?</v>
      </c>
    </row>
    <row r="1115" spans="1:4" x14ac:dyDescent="0.2">
      <c r="A1115" s="5">
        <v>1054</v>
      </c>
      <c r="B1115" s="138">
        <f>'Expenditures 15-22'!K42</f>
        <v>12238110</v>
      </c>
      <c r="C1115" s="2" t="s">
        <v>572</v>
      </c>
      <c r="D1115" s="2" t="str">
        <f t="shared" si="16"/>
        <v>Error?</v>
      </c>
    </row>
    <row r="1116" spans="1:4" x14ac:dyDescent="0.2">
      <c r="A1116" s="5">
        <v>1055</v>
      </c>
      <c r="B1116" s="138">
        <f>'Expenditures 15-22'!K44</f>
        <v>710965</v>
      </c>
      <c r="C1116" s="2" t="s">
        <v>572</v>
      </c>
      <c r="D1116" s="2" t="str">
        <f t="shared" si="16"/>
        <v>Error?</v>
      </c>
    </row>
    <row r="1117" spans="1:4" x14ac:dyDescent="0.2">
      <c r="A1117" s="5">
        <v>1056</v>
      </c>
      <c r="B1117" s="138">
        <f>'Expenditures 15-22'!K45</f>
        <v>3228868</v>
      </c>
      <c r="C1117" s="2" t="s">
        <v>572</v>
      </c>
      <c r="D1117" s="2" t="str">
        <f t="shared" si="16"/>
        <v>Error?</v>
      </c>
    </row>
    <row r="1118" spans="1:4" x14ac:dyDescent="0.2">
      <c r="A1118" s="5">
        <v>1057</v>
      </c>
      <c r="B1118" s="138">
        <f>'Expenditures 15-22'!K46</f>
        <v>477882</v>
      </c>
      <c r="C1118" s="2" t="s">
        <v>572</v>
      </c>
      <c r="D1118" s="2" t="str">
        <f t="shared" si="16"/>
        <v>Error?</v>
      </c>
    </row>
    <row r="1119" spans="1:4" x14ac:dyDescent="0.2">
      <c r="A1119" s="5">
        <v>1058</v>
      </c>
      <c r="B1119" s="138">
        <f>'Expenditures 15-22'!K47</f>
        <v>4417715</v>
      </c>
      <c r="C1119" s="2" t="s">
        <v>572</v>
      </c>
      <c r="D1119" s="2" t="str">
        <f t="shared" si="16"/>
        <v>Error?</v>
      </c>
    </row>
    <row r="1120" spans="1:4" x14ac:dyDescent="0.2">
      <c r="A1120" s="5">
        <v>1059</v>
      </c>
      <c r="B1120" s="138">
        <f>'Expenditures 15-22'!K49</f>
        <v>1299444</v>
      </c>
      <c r="C1120" s="2" t="s">
        <v>572</v>
      </c>
      <c r="D1120" s="2" t="str">
        <f t="shared" si="16"/>
        <v>Error?</v>
      </c>
    </row>
    <row r="1121" spans="1:4" x14ac:dyDescent="0.2">
      <c r="A1121" s="5">
        <v>1060</v>
      </c>
      <c r="B1121" s="138">
        <f>'Expenditures 15-22'!K50</f>
        <v>469727</v>
      </c>
      <c r="C1121" s="2" t="s">
        <v>572</v>
      </c>
      <c r="D1121" s="2" t="str">
        <f t="shared" si="16"/>
        <v>Error?</v>
      </c>
    </row>
    <row r="1122" spans="1:4" x14ac:dyDescent="0.2">
      <c r="A1122" s="5">
        <v>1061</v>
      </c>
      <c r="B1122" s="138">
        <f>'Expenditures 15-22'!K53</f>
        <v>1771166</v>
      </c>
      <c r="C1122" s="2" t="s">
        <v>572</v>
      </c>
      <c r="D1122" s="2" t="str">
        <f t="shared" si="16"/>
        <v>Error?</v>
      </c>
    </row>
    <row r="1123" spans="1:4" x14ac:dyDescent="0.2">
      <c r="A1123" s="5">
        <v>1062</v>
      </c>
      <c r="B1123" s="138">
        <f>'Expenditures 15-22'!K55</f>
        <v>1666823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1666823</v>
      </c>
      <c r="C1125" s="2" t="s">
        <v>572</v>
      </c>
      <c r="D1125" s="2" t="str">
        <f t="shared" si="16"/>
        <v>Error?</v>
      </c>
    </row>
    <row r="1126" spans="1:4" x14ac:dyDescent="0.2">
      <c r="A1126" s="5">
        <v>1065</v>
      </c>
      <c r="B1126" s="138">
        <f>'Expenditures 15-22'!K59</f>
        <v>311439</v>
      </c>
      <c r="C1126" s="2" t="s">
        <v>572</v>
      </c>
      <c r="D1126" s="2" t="str">
        <f t="shared" si="16"/>
        <v>Error?</v>
      </c>
    </row>
    <row r="1127" spans="1:4" x14ac:dyDescent="0.2">
      <c r="A1127" s="5">
        <v>1066</v>
      </c>
      <c r="B1127" s="138">
        <f>'Expenditures 15-22'!K60</f>
        <v>1115919</v>
      </c>
      <c r="C1127" s="2" t="s">
        <v>572</v>
      </c>
      <c r="D1127" s="2" t="str">
        <f t="shared" si="16"/>
        <v>Error?</v>
      </c>
    </row>
    <row r="1128" spans="1:4" x14ac:dyDescent="0.2">
      <c r="A1128" s="5">
        <v>1067</v>
      </c>
      <c r="B1128" s="138">
        <f>'Expenditures 15-22'!K61</f>
        <v>4612268</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53353</v>
      </c>
      <c r="C1130" s="2" t="s">
        <v>572</v>
      </c>
      <c r="D1130" s="2" t="str">
        <f t="shared" si="16"/>
        <v>Error?</v>
      </c>
    </row>
    <row r="1131" spans="1:4" x14ac:dyDescent="0.2">
      <c r="A1131" s="5">
        <v>1070</v>
      </c>
      <c r="B1131" s="138">
        <f>'Expenditures 15-22'!K64</f>
        <v>144985</v>
      </c>
      <c r="C1131" s="2" t="s">
        <v>572</v>
      </c>
      <c r="D1131" s="2" t="str">
        <f t="shared" si="16"/>
        <v>Error?</v>
      </c>
    </row>
    <row r="1132" spans="1:4" x14ac:dyDescent="0.2">
      <c r="A1132" s="10">
        <v>1071</v>
      </c>
      <c r="D1132" s="2" t="str">
        <f t="shared" si="16"/>
        <v>OK</v>
      </c>
    </row>
    <row r="1133" spans="1:4" x14ac:dyDescent="0.2">
      <c r="A1133" s="5">
        <v>1072</v>
      </c>
      <c r="B1133" s="138">
        <f>'Expenditures 15-22'!K65</f>
        <v>6237964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1833121</v>
      </c>
      <c r="C1135" s="2" t="s">
        <v>572</v>
      </c>
      <c r="D1135" s="2" t="str">
        <f t="shared" si="16"/>
        <v>Error?</v>
      </c>
    </row>
    <row r="1136" spans="1:4" x14ac:dyDescent="0.2">
      <c r="A1136" s="5">
        <v>1075</v>
      </c>
      <c r="B1136" s="138">
        <f>'Expenditures 15-22'!K69</f>
        <v>369762</v>
      </c>
      <c r="C1136" s="2" t="s">
        <v>572</v>
      </c>
      <c r="D1136" s="2" t="str">
        <f t="shared" si="16"/>
        <v>Error?</v>
      </c>
    </row>
    <row r="1137" spans="1:4" x14ac:dyDescent="0.2">
      <c r="A1137" s="5">
        <v>1076</v>
      </c>
      <c r="B1137" s="138">
        <f>'Expenditures 15-22'!K70</f>
        <v>641593</v>
      </c>
      <c r="C1137" s="2" t="s">
        <v>572</v>
      </c>
      <c r="D1137" s="2" t="str">
        <f t="shared" si="16"/>
        <v>Error?</v>
      </c>
    </row>
    <row r="1138" spans="1:4" x14ac:dyDescent="0.2">
      <c r="A1138" s="10">
        <v>1077</v>
      </c>
      <c r="D1138" s="2" t="str">
        <f t="shared" si="16"/>
        <v>OK</v>
      </c>
    </row>
    <row r="1139" spans="1:4" x14ac:dyDescent="0.2">
      <c r="A1139" s="5">
        <v>1078</v>
      </c>
      <c r="B1139" s="138">
        <f>'Expenditures 15-22'!K71</f>
        <v>397413</v>
      </c>
      <c r="C1139" s="2" t="s">
        <v>572</v>
      </c>
      <c r="D1139" s="2" t="str">
        <f t="shared" si="16"/>
        <v>Error?</v>
      </c>
    </row>
    <row r="1140" spans="1:4" x14ac:dyDescent="0.2">
      <c r="A1140" s="10">
        <v>1079</v>
      </c>
      <c r="D1140" s="2" t="str">
        <f t="shared" si="16"/>
        <v>OK</v>
      </c>
    </row>
    <row r="1141" spans="1:4" x14ac:dyDescent="0.2">
      <c r="A1141" s="5">
        <v>1080</v>
      </c>
      <c r="B1141" s="138">
        <f>'Expenditures 15-22'!K72</f>
        <v>3241889</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29573667</v>
      </c>
      <c r="C1143" s="2" t="s">
        <v>572</v>
      </c>
      <c r="D1143" s="2" t="str">
        <f t="shared" si="16"/>
        <v>Error?</v>
      </c>
    </row>
    <row r="1144" spans="1:4" x14ac:dyDescent="0.2">
      <c r="A1144" s="5">
        <v>1083</v>
      </c>
      <c r="B1144" s="138">
        <f>'Expenditures 15-22'!K75</f>
        <v>369349</v>
      </c>
      <c r="C1144" s="2" t="s">
        <v>572</v>
      </c>
      <c r="D1144" s="2" t="str">
        <f t="shared" si="16"/>
        <v>Error?</v>
      </c>
    </row>
    <row r="1145" spans="1:4" x14ac:dyDescent="0.2">
      <c r="A1145" s="5">
        <v>1084</v>
      </c>
      <c r="B1145" s="138">
        <f>'Expenditures 15-22'!K102</f>
        <v>1446852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91738081</v>
      </c>
      <c r="C1152" s="2" t="s">
        <v>572</v>
      </c>
      <c r="D1152" s="2" t="str">
        <f t="shared" si="17"/>
        <v>Error?</v>
      </c>
    </row>
    <row r="1153" spans="1:4" x14ac:dyDescent="0.2">
      <c r="A1153" s="5">
        <v>1092</v>
      </c>
      <c r="B1153" s="138">
        <f>'Expenditures 15-22'!K115</f>
        <v>7451764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4223151</v>
      </c>
      <c r="D1221" s="2" t="str">
        <f t="shared" si="18"/>
        <v>Error?</v>
      </c>
    </row>
    <row r="1222" spans="1:4" x14ac:dyDescent="0.2">
      <c r="A1222" s="10">
        <v>1161</v>
      </c>
      <c r="D1222" s="2" t="str">
        <f t="shared" si="18"/>
        <v>OK</v>
      </c>
    </row>
    <row r="1223" spans="1:4" x14ac:dyDescent="0.2">
      <c r="A1223" s="5">
        <v>1162</v>
      </c>
      <c r="B1223" s="138">
        <f>'Expenditures 15-22'!C127</f>
        <v>4223151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4223151</v>
      </c>
      <c r="C1225" s="2" t="s">
        <v>572</v>
      </c>
      <c r="D1225" s="2" t="str">
        <f t="shared" si="18"/>
        <v>Error?</v>
      </c>
    </row>
    <row r="1226" spans="1:4" x14ac:dyDescent="0.2">
      <c r="A1226" s="5">
        <v>1165</v>
      </c>
      <c r="B1226" s="138">
        <f>'Expenditures 15-22'!C151</f>
        <v>4324943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799160</v>
      </c>
      <c r="D1229" s="2" t="str">
        <f t="shared" si="18"/>
        <v>Error?</v>
      </c>
    </row>
    <row r="1230" spans="1:4" x14ac:dyDescent="0.2">
      <c r="A1230" s="10">
        <v>1169</v>
      </c>
      <c r="D1230" s="2" t="str">
        <f t="shared" si="18"/>
        <v>OK</v>
      </c>
    </row>
    <row r="1231" spans="1:4" x14ac:dyDescent="0.2">
      <c r="A1231" s="5">
        <v>1170</v>
      </c>
      <c r="B1231" s="138">
        <f>'Expenditures 15-22'!D127</f>
        <v>799160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799160</v>
      </c>
      <c r="C1233" s="2" t="s">
        <v>572</v>
      </c>
      <c r="D1233" s="2" t="str">
        <f t="shared" si="18"/>
        <v>Error?</v>
      </c>
    </row>
    <row r="1234" spans="1:4" x14ac:dyDescent="0.2">
      <c r="A1234" s="5">
        <v>1173</v>
      </c>
      <c r="B1234" s="138">
        <f>'Expenditures 15-22'!D151</f>
        <v>799160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1167424</v>
      </c>
      <c r="D1237" s="2" t="str">
        <f t="shared" si="18"/>
        <v>Error?</v>
      </c>
    </row>
    <row r="1238" spans="1:4" x14ac:dyDescent="0.2">
      <c r="A1238" s="10">
        <v>1177</v>
      </c>
      <c r="D1238" s="2" t="str">
        <f t="shared" si="18"/>
        <v>OK</v>
      </c>
    </row>
    <row r="1239" spans="1:4" x14ac:dyDescent="0.2">
      <c r="A1239" s="5">
        <v>1178</v>
      </c>
      <c r="B1239" s="138">
        <f>'Expenditures 15-22'!E127</f>
        <v>1167424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1167424</v>
      </c>
      <c r="C1241" s="2" t="s">
        <v>572</v>
      </c>
      <c r="D1241" s="2" t="str">
        <f t="shared" si="18"/>
        <v>Error?</v>
      </c>
    </row>
    <row r="1242" spans="1:4" x14ac:dyDescent="0.2">
      <c r="A1242" s="5">
        <v>1181</v>
      </c>
      <c r="B1242" s="138">
        <f>'Expenditures 15-22'!E151</f>
        <v>1167424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693611</v>
      </c>
      <c r="D1245" s="2" t="str">
        <f t="shared" si="18"/>
        <v>Error?</v>
      </c>
    </row>
    <row r="1246" spans="1:4" x14ac:dyDescent="0.2">
      <c r="A1246" s="10">
        <v>1185</v>
      </c>
      <c r="D1246" s="2" t="str">
        <f t="shared" si="18"/>
        <v>OK</v>
      </c>
    </row>
    <row r="1247" spans="1:4" x14ac:dyDescent="0.2">
      <c r="A1247" s="5">
        <v>1186</v>
      </c>
      <c r="B1247" s="138">
        <f>'Expenditures 15-22'!F127</f>
        <v>693611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693611</v>
      </c>
      <c r="C1249" s="2" t="s">
        <v>572</v>
      </c>
      <c r="D1249" s="2" t="str">
        <f t="shared" si="18"/>
        <v>Error?</v>
      </c>
    </row>
    <row r="1250" spans="1:4" x14ac:dyDescent="0.2">
      <c r="A1250" s="5">
        <v>1189</v>
      </c>
      <c r="B1250" s="138">
        <f>'Expenditures 15-22'!F151</f>
        <v>693611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138757</v>
      </c>
      <c r="D1252" s="2" t="str">
        <f t="shared" si="18"/>
        <v>Error?</v>
      </c>
    </row>
    <row r="1253" spans="1:4" x14ac:dyDescent="0.2">
      <c r="A1253" s="5">
        <v>1192</v>
      </c>
      <c r="B1253" s="138">
        <f>'Expenditures 15-22'!G124</f>
        <v>468610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607367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607367</v>
      </c>
      <c r="C1258" s="2" t="s">
        <v>572</v>
      </c>
      <c r="D1258" s="2" t="str">
        <f t="shared" si="18"/>
        <v>Error?</v>
      </c>
    </row>
    <row r="1259" spans="1:4" x14ac:dyDescent="0.2">
      <c r="A1259" s="5">
        <v>1198</v>
      </c>
      <c r="B1259" s="138">
        <f>'Expenditures 15-22'!G151</f>
        <v>607367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7209</v>
      </c>
      <c r="D1262" s="2" t="str">
        <f t="shared" si="18"/>
        <v>Error?</v>
      </c>
    </row>
    <row r="1263" spans="1:4" x14ac:dyDescent="0.2">
      <c r="A1263" s="10">
        <v>1202</v>
      </c>
      <c r="D1263" s="2" t="str">
        <f t="shared" si="18"/>
        <v>OK</v>
      </c>
    </row>
    <row r="1264" spans="1:4" x14ac:dyDescent="0.2">
      <c r="A1264" s="5">
        <v>1203</v>
      </c>
      <c r="B1264" s="138">
        <f>'Expenditures 15-22'!H127</f>
        <v>7209</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7209</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7209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138757</v>
      </c>
      <c r="C1275" s="2" t="s">
        <v>572</v>
      </c>
      <c r="D1275" s="2" t="str">
        <f t="shared" si="18"/>
        <v>Error?</v>
      </c>
    </row>
    <row r="1276" spans="1:4" x14ac:dyDescent="0.2">
      <c r="A1276" s="5">
        <v>1215</v>
      </c>
      <c r="B1276" s="138">
        <f>'Expenditures 15-22'!K124</f>
        <v>7359165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7497922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7497922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7599714</v>
      </c>
      <c r="C1288" s="2" t="s">
        <v>572</v>
      </c>
      <c r="D1288" s="2" t="str">
        <f t="shared" si="19"/>
        <v>Error?</v>
      </c>
    </row>
    <row r="1289" spans="1:4" x14ac:dyDescent="0.2">
      <c r="A1289" s="5">
        <v>1228</v>
      </c>
      <c r="B1289" s="138">
        <f>'Expenditures 15-22'!K152</f>
        <v>1696186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3143788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9225000</v>
      </c>
      <c r="D1315" s="2" t="str">
        <f t="shared" si="19"/>
        <v>Error?</v>
      </c>
    </row>
    <row r="1316" spans="1:4" x14ac:dyDescent="0.2">
      <c r="A1316" s="5">
        <v>1255</v>
      </c>
      <c r="B1316" s="138">
        <f>'Expenditures 15-22'!H171</f>
        <v>3125</v>
      </c>
      <c r="D1316" s="2" t="str">
        <f t="shared" si="19"/>
        <v>Error?</v>
      </c>
    </row>
    <row r="1317" spans="1:4" x14ac:dyDescent="0.2">
      <c r="A1317" s="5">
        <v>1256</v>
      </c>
      <c r="B1317" s="138">
        <f>'Expenditures 15-22'!H172</f>
        <v>12371913</v>
      </c>
      <c r="C1317" s="2" t="s">
        <v>572</v>
      </c>
      <c r="D1317" s="2" t="str">
        <f t="shared" si="19"/>
        <v>Error?</v>
      </c>
    </row>
    <row r="1318" spans="1:4" x14ac:dyDescent="0.2">
      <c r="A1318" s="5">
        <v>1257</v>
      </c>
      <c r="B1318" s="138">
        <f>'Expenditures 15-22'!H174</f>
        <v>12371913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3143788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9225000</v>
      </c>
      <c r="C1329" s="2" t="s">
        <v>572</v>
      </c>
      <c r="D1329" s="2" t="str">
        <f t="shared" si="19"/>
        <v>Error?</v>
      </c>
    </row>
    <row r="1330" spans="1:4" x14ac:dyDescent="0.2">
      <c r="A1330" s="5">
        <v>1269</v>
      </c>
      <c r="B1330" s="138">
        <f>'Expenditures 15-22'!K171</f>
        <v>3125</v>
      </c>
      <c r="C1330" s="2" t="s">
        <v>572</v>
      </c>
      <c r="D1330" s="2" t="str">
        <f t="shared" si="19"/>
        <v>Error?</v>
      </c>
    </row>
    <row r="1331" spans="1:4" x14ac:dyDescent="0.2">
      <c r="A1331" s="5">
        <v>1270</v>
      </c>
      <c r="B1331" s="138">
        <f>'Expenditures 15-22'!K172</f>
        <v>12371913</v>
      </c>
      <c r="C1331" s="2" t="s">
        <v>572</v>
      </c>
      <c r="D1331" s="2" t="str">
        <f t="shared" si="19"/>
        <v>Error?</v>
      </c>
    </row>
    <row r="1332" spans="1:4" x14ac:dyDescent="0.2">
      <c r="A1332" s="5">
        <v>1271</v>
      </c>
      <c r="B1332" s="138">
        <f>'Expenditures 15-22'!K174</f>
        <v>12371913</v>
      </c>
      <c r="C1332" s="2" t="s">
        <v>572</v>
      </c>
      <c r="D1332" s="2" t="str">
        <f t="shared" si="19"/>
        <v>Error?</v>
      </c>
    </row>
    <row r="1333" spans="1:4" x14ac:dyDescent="0.2">
      <c r="A1333" s="5">
        <v>1272</v>
      </c>
      <c r="B1333" s="138">
        <f>'Expenditures 15-22'!K175</f>
        <v>-192548</v>
      </c>
      <c r="C1333" s="2" t="s">
        <v>572</v>
      </c>
      <c r="D1333" s="2" t="str">
        <f t="shared" si="19"/>
        <v>Error?</v>
      </c>
    </row>
    <row r="1334" spans="1:4" x14ac:dyDescent="0.2">
      <c r="A1334" s="10">
        <v>1273</v>
      </c>
      <c r="D1334" s="2" t="str">
        <f t="shared" si="19"/>
        <v>OK</v>
      </c>
    </row>
    <row r="1335" spans="1:4" x14ac:dyDescent="0.2">
      <c r="A1335" s="5">
        <v>1274</v>
      </c>
      <c r="B1335" s="138">
        <f>'Expenditures 15-22'!C182</f>
        <v>82666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82666</v>
      </c>
      <c r="C1339" s="2" t="s">
        <v>572</v>
      </c>
      <c r="D1339" s="2" t="str">
        <f t="shared" si="19"/>
        <v>Error?</v>
      </c>
    </row>
    <row r="1340" spans="1:4" x14ac:dyDescent="0.2">
      <c r="A1340" s="5">
        <v>1279</v>
      </c>
      <c r="B1340" s="138">
        <f>'Expenditures 15-22'!C210</f>
        <v>82666</v>
      </c>
      <c r="C1340" s="2" t="s">
        <v>572</v>
      </c>
      <c r="D1340" s="2" t="str">
        <f t="shared" si="19"/>
        <v>Error?</v>
      </c>
    </row>
    <row r="1341" spans="1:4" x14ac:dyDescent="0.2">
      <c r="A1341" s="5">
        <v>1280</v>
      </c>
      <c r="B1341" s="138">
        <f>'Expenditures 15-22'!D182</f>
        <v>16685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16685</v>
      </c>
      <c r="C1345" s="2" t="s">
        <v>572</v>
      </c>
      <c r="D1345" s="2" t="str">
        <f t="shared" si="20"/>
        <v>Error?</v>
      </c>
    </row>
    <row r="1346" spans="1:4" x14ac:dyDescent="0.2">
      <c r="A1346" s="5">
        <v>1285</v>
      </c>
      <c r="B1346" s="138">
        <f>'Expenditures 15-22'!D210</f>
        <v>16685</v>
      </c>
      <c r="C1346" s="2" t="s">
        <v>572</v>
      </c>
      <c r="D1346" s="2" t="str">
        <f t="shared" si="20"/>
        <v>Error?</v>
      </c>
    </row>
    <row r="1347" spans="1:4" x14ac:dyDescent="0.2">
      <c r="A1347" s="5">
        <v>1286</v>
      </c>
      <c r="B1347" s="138">
        <f>'Expenditures 15-22'!E182</f>
        <v>2149116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2149116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2149116</v>
      </c>
      <c r="C1353" s="2" t="s">
        <v>572</v>
      </c>
      <c r="D1353" s="2" t="str">
        <f t="shared" si="20"/>
        <v>Error?</v>
      </c>
    </row>
    <row r="1354" spans="1:4" x14ac:dyDescent="0.2">
      <c r="A1354" s="5">
        <v>1293</v>
      </c>
      <c r="B1354" s="138">
        <f>'Expenditures 15-22'!F182</f>
        <v>70313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70313</v>
      </c>
      <c r="C1358" s="2" t="s">
        <v>572</v>
      </c>
      <c r="D1358" s="2" t="str">
        <f t="shared" si="20"/>
        <v>Error?</v>
      </c>
    </row>
    <row r="1359" spans="1:4" x14ac:dyDescent="0.2">
      <c r="A1359" s="5">
        <v>1298</v>
      </c>
      <c r="B1359" s="138">
        <f>'Expenditures 15-22'!F210</f>
        <v>70313</v>
      </c>
      <c r="C1359" s="2" t="s">
        <v>572</v>
      </c>
      <c r="D1359" s="2" t="str">
        <f t="shared" si="20"/>
        <v>Error?</v>
      </c>
    </row>
    <row r="1360" spans="1:4" x14ac:dyDescent="0.2">
      <c r="A1360" s="5">
        <v>1299</v>
      </c>
      <c r="B1360" s="138">
        <f>'Expenditures 15-22'!G182</f>
        <v>77370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77370</v>
      </c>
      <c r="C1364" s="2" t="s">
        <v>572</v>
      </c>
      <c r="D1364" s="2" t="str">
        <f t="shared" si="20"/>
        <v>Error?</v>
      </c>
    </row>
    <row r="1365" spans="1:4" x14ac:dyDescent="0.2">
      <c r="A1365" s="5">
        <v>1304</v>
      </c>
      <c r="B1365" s="138">
        <f>'Expenditures 15-22'!G210</f>
        <v>77370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2396150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2396150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2396150</v>
      </c>
      <c r="C1388" s="2" t="s">
        <v>572</v>
      </c>
      <c r="D1388" s="2" t="str">
        <f t="shared" si="20"/>
        <v>Error?</v>
      </c>
    </row>
    <row r="1389" spans="1:4" x14ac:dyDescent="0.2">
      <c r="A1389" s="5">
        <v>1328</v>
      </c>
      <c r="B1389" s="138">
        <f>'Expenditures 15-22'!K211</f>
        <v>255811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16692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52601</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291174</v>
      </c>
      <c r="D1408" s="2" t="str">
        <f t="shared" si="21"/>
        <v>Error?</v>
      </c>
    </row>
    <row r="1409" spans="1:4" x14ac:dyDescent="0.2">
      <c r="A1409" s="5">
        <v>1348</v>
      </c>
      <c r="B1409" s="138">
        <f>'Expenditures 15-22'!D224</f>
        <v>18055</v>
      </c>
      <c r="D1409" s="2" t="str">
        <f t="shared" si="21"/>
        <v>Error?</v>
      </c>
    </row>
    <row r="1410" spans="1:4" x14ac:dyDescent="0.2">
      <c r="A1410" s="5">
        <v>1349</v>
      </c>
      <c r="B1410" s="138">
        <f>'Expenditures 15-22'!D229</f>
        <v>1458087</v>
      </c>
      <c r="C1410" s="2" t="s">
        <v>572</v>
      </c>
      <c r="D1410" s="2" t="str">
        <f t="shared" si="21"/>
        <v>Error?</v>
      </c>
    </row>
    <row r="1411" spans="1:4" x14ac:dyDescent="0.2">
      <c r="A1411" s="5">
        <v>1350</v>
      </c>
      <c r="B1411" s="138">
        <f>'Expenditures 15-22'!D232</f>
        <v>30874</v>
      </c>
      <c r="D1411" s="2" t="str">
        <f t="shared" si="21"/>
        <v>Error?</v>
      </c>
    </row>
    <row r="1412" spans="1:4" x14ac:dyDescent="0.2">
      <c r="A1412" s="5">
        <v>1351</v>
      </c>
      <c r="B1412" s="138">
        <f>'Expenditures 15-22'!D233</f>
        <v>168626</v>
      </c>
      <c r="D1412" s="2" t="str">
        <f t="shared" si="21"/>
        <v>Error?</v>
      </c>
    </row>
    <row r="1413" spans="1:4" x14ac:dyDescent="0.2">
      <c r="A1413" s="5">
        <v>1352</v>
      </c>
      <c r="B1413" s="138">
        <f>'Expenditures 15-22'!D234</f>
        <v>39453</v>
      </c>
      <c r="D1413" s="2" t="str">
        <f t="shared" si="21"/>
        <v>Error?</v>
      </c>
    </row>
    <row r="1414" spans="1:4" x14ac:dyDescent="0.2">
      <c r="A1414" s="5">
        <v>1353</v>
      </c>
      <c r="B1414" s="138">
        <f>'Expenditures 15-22'!D235</f>
        <v>9556</v>
      </c>
      <c r="D1414" s="2" t="str">
        <f t="shared" si="21"/>
        <v>Error?</v>
      </c>
    </row>
    <row r="1415" spans="1:4" x14ac:dyDescent="0.2">
      <c r="A1415" s="5">
        <v>1354</v>
      </c>
      <c r="B1415" s="138">
        <f>'Expenditures 15-22'!D236</f>
        <v>5899</v>
      </c>
      <c r="D1415" s="2" t="str">
        <f t="shared" si="21"/>
        <v>Error?</v>
      </c>
    </row>
    <row r="1416" spans="1:4" x14ac:dyDescent="0.2">
      <c r="A1416" s="5">
        <v>1355</v>
      </c>
      <c r="B1416" s="138">
        <f>'Expenditures 15-22'!D237</f>
        <v>16783</v>
      </c>
      <c r="D1416" s="2" t="str">
        <f t="shared" si="21"/>
        <v>Error?</v>
      </c>
    </row>
    <row r="1417" spans="1:4" x14ac:dyDescent="0.2">
      <c r="A1417" s="5">
        <v>1356</v>
      </c>
      <c r="B1417" s="138">
        <f>'Expenditures 15-22'!D238</f>
        <v>271191</v>
      </c>
      <c r="C1417" s="2" t="s">
        <v>572</v>
      </c>
      <c r="D1417" s="2" t="str">
        <f t="shared" si="21"/>
        <v>Error?</v>
      </c>
    </row>
    <row r="1418" spans="1:4" x14ac:dyDescent="0.2">
      <c r="A1418" s="5">
        <v>1357</v>
      </c>
      <c r="B1418" s="138">
        <f>'Expenditures 15-22'!D240</f>
        <v>16379</v>
      </c>
      <c r="D1418" s="2" t="str">
        <f t="shared" si="21"/>
        <v>Error?</v>
      </c>
    </row>
    <row r="1419" spans="1:4" x14ac:dyDescent="0.2">
      <c r="A1419" s="5">
        <v>1358</v>
      </c>
      <c r="B1419" s="138">
        <f>'Expenditures 15-22'!D241</f>
        <v>126303</v>
      </c>
      <c r="D1419" s="2" t="str">
        <f t="shared" si="21"/>
        <v>Error?</v>
      </c>
    </row>
    <row r="1420" spans="1:4" x14ac:dyDescent="0.2">
      <c r="A1420" s="5">
        <v>1359</v>
      </c>
      <c r="B1420" s="138">
        <f>'Expenditures 15-22'!D242</f>
        <v>25489</v>
      </c>
      <c r="D1420" s="2" t="str">
        <f t="shared" si="21"/>
        <v>Error?</v>
      </c>
    </row>
    <row r="1421" spans="1:4" x14ac:dyDescent="0.2">
      <c r="A1421" s="5">
        <v>1360</v>
      </c>
      <c r="B1421" s="138">
        <f>'Expenditures 15-22'!D243</f>
        <v>168171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15685</v>
      </c>
      <c r="D1423" s="2" t="str">
        <f t="shared" si="21"/>
        <v>Error?</v>
      </c>
    </row>
    <row r="1424" spans="1:4" x14ac:dyDescent="0.2">
      <c r="A1424" s="5">
        <v>1363</v>
      </c>
      <c r="B1424" s="138">
        <f>'Expenditures 15-22'!D257</f>
        <v>15685</v>
      </c>
      <c r="C1424" s="2" t="s">
        <v>572</v>
      </c>
      <c r="D1424" s="2" t="str">
        <f t="shared" si="21"/>
        <v>Error?</v>
      </c>
    </row>
    <row r="1425" spans="1:4" x14ac:dyDescent="0.2">
      <c r="A1425" s="5">
        <v>1364</v>
      </c>
      <c r="B1425" s="138">
        <f>'Expenditures 15-22'!D259</f>
        <v>60047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60047</v>
      </c>
      <c r="C1427" s="2" t="s">
        <v>572</v>
      </c>
      <c r="D1427" s="2" t="str">
        <f t="shared" si="21"/>
        <v>Error?</v>
      </c>
    </row>
    <row r="1428" spans="1:4" x14ac:dyDescent="0.2">
      <c r="A1428" s="5">
        <v>1367</v>
      </c>
      <c r="B1428" s="138">
        <f>'Expenditures 15-22'!D263</f>
        <v>35375</v>
      </c>
      <c r="D1428" s="2" t="str">
        <f t="shared" si="21"/>
        <v>Error?</v>
      </c>
    </row>
    <row r="1429" spans="1:4" x14ac:dyDescent="0.2">
      <c r="A1429" s="5">
        <v>1368</v>
      </c>
      <c r="B1429" s="138">
        <f>'Expenditures 15-22'!D264</f>
        <v>74206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776018</v>
      </c>
      <c r="D1431" s="2" t="str">
        <f t="shared" si="21"/>
        <v>Error?</v>
      </c>
    </row>
    <row r="1432" spans="1:4" x14ac:dyDescent="0.2">
      <c r="A1432" s="5">
        <v>1371</v>
      </c>
      <c r="B1432" s="138">
        <f>'Expenditures 15-22'!D267</f>
        <v>11643</v>
      </c>
      <c r="D1432" s="2" t="str">
        <f t="shared" si="21"/>
        <v>Error?</v>
      </c>
    </row>
    <row r="1433" spans="1:4" x14ac:dyDescent="0.2">
      <c r="A1433" s="5">
        <v>1372</v>
      </c>
      <c r="B1433" s="138">
        <f>'Expenditures 15-22'!D268</f>
        <v>4379</v>
      </c>
      <c r="D1433" s="2" t="str">
        <f t="shared" si="21"/>
        <v>Error?</v>
      </c>
    </row>
    <row r="1434" spans="1:4" x14ac:dyDescent="0.2">
      <c r="A1434" s="5">
        <v>1373</v>
      </c>
      <c r="B1434" s="138">
        <f>'Expenditures 15-22'!D269</f>
        <v>5987</v>
      </c>
      <c r="D1434" s="2" t="str">
        <f t="shared" si="21"/>
        <v>Error?</v>
      </c>
    </row>
    <row r="1435" spans="1:4" x14ac:dyDescent="0.2">
      <c r="A1435" s="10">
        <v>1374</v>
      </c>
      <c r="D1435" s="2" t="str">
        <f t="shared" si="21"/>
        <v>OK</v>
      </c>
    </row>
    <row r="1436" spans="1:4" x14ac:dyDescent="0.2">
      <c r="A1436" s="5">
        <v>1375</v>
      </c>
      <c r="B1436" s="138">
        <f>'Expenditures 15-22'!D270</f>
        <v>907608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15191</v>
      </c>
      <c r="D1438" s="2" t="str">
        <f t="shared" si="21"/>
        <v>Error?</v>
      </c>
    </row>
    <row r="1439" spans="1:4" x14ac:dyDescent="0.2">
      <c r="A1439" s="5">
        <v>1378</v>
      </c>
      <c r="B1439" s="138">
        <f>'Expenditures 15-22'!D274</f>
        <v>35011</v>
      </c>
      <c r="D1439" s="2" t="str">
        <f t="shared" si="21"/>
        <v>Error?</v>
      </c>
    </row>
    <row r="1440" spans="1:4" x14ac:dyDescent="0.2">
      <c r="A1440" s="5">
        <v>1379</v>
      </c>
      <c r="B1440" s="138">
        <f>'Expenditures 15-22'!D275</f>
        <v>64235</v>
      </c>
      <c r="D1440" s="2" t="str">
        <f t="shared" si="21"/>
        <v>Error?</v>
      </c>
    </row>
    <row r="1441" spans="1:4" x14ac:dyDescent="0.2">
      <c r="A1441" s="10">
        <v>1380</v>
      </c>
      <c r="D1441" s="2" t="str">
        <f t="shared" si="21"/>
        <v>OK</v>
      </c>
    </row>
    <row r="1442" spans="1:4" x14ac:dyDescent="0.2">
      <c r="A1442" s="5">
        <v>1381</v>
      </c>
      <c r="B1442" s="138">
        <f>'Expenditures 15-22'!D276</f>
        <v>31089</v>
      </c>
      <c r="D1442" s="2" t="str">
        <f t="shared" si="21"/>
        <v>Error?</v>
      </c>
    </row>
    <row r="1443" spans="1:4" x14ac:dyDescent="0.2">
      <c r="A1443" s="10">
        <v>1382</v>
      </c>
      <c r="D1443" s="2" t="str">
        <f t="shared" si="21"/>
        <v>OK</v>
      </c>
    </row>
    <row r="1444" spans="1:4" x14ac:dyDescent="0.2">
      <c r="A1444" s="5">
        <v>1383</v>
      </c>
      <c r="B1444" s="138">
        <f>'Expenditures 15-22'!D277</f>
        <v>145526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1568228</v>
      </c>
      <c r="C1446" s="2" t="s">
        <v>572</v>
      </c>
      <c r="D1446" s="2" t="str">
        <f t="shared" si="21"/>
        <v>Error?</v>
      </c>
    </row>
    <row r="1447" spans="1:4" x14ac:dyDescent="0.2">
      <c r="A1447" s="5">
        <v>1386</v>
      </c>
      <c r="B1447" s="138">
        <f>'Expenditures 15-22'!D280</f>
        <v>19746</v>
      </c>
      <c r="D1447" s="2" t="str">
        <f t="shared" si="21"/>
        <v>Error?</v>
      </c>
    </row>
    <row r="1448" spans="1:4" x14ac:dyDescent="0.2">
      <c r="A1448" s="5">
        <v>1387</v>
      </c>
      <c r="B1448" s="138">
        <f>'Expenditures 15-22'!D295</f>
        <v>3046061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16692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52601</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291174</v>
      </c>
      <c r="C1472" s="2" t="s">
        <v>572</v>
      </c>
      <c r="D1472" s="2" t="str">
        <f t="shared" si="22"/>
        <v>Error?</v>
      </c>
    </row>
    <row r="1473" spans="1:4" x14ac:dyDescent="0.2">
      <c r="A1473" s="5">
        <v>1412</v>
      </c>
      <c r="B1473" s="138">
        <f>'Expenditures 15-22'!K224</f>
        <v>18055</v>
      </c>
      <c r="C1473" s="2" t="s">
        <v>572</v>
      </c>
      <c r="D1473" s="2" t="str">
        <f t="shared" si="22"/>
        <v>Error?</v>
      </c>
    </row>
    <row r="1474" spans="1:4" x14ac:dyDescent="0.2">
      <c r="A1474" s="5">
        <v>1413</v>
      </c>
      <c r="B1474" s="138">
        <f>'Expenditures 15-22'!K229</f>
        <v>1458087</v>
      </c>
      <c r="C1474" s="2" t="s">
        <v>572</v>
      </c>
      <c r="D1474" s="2" t="str">
        <f t="shared" si="22"/>
        <v>Error?</v>
      </c>
    </row>
    <row r="1475" spans="1:4" x14ac:dyDescent="0.2">
      <c r="A1475" s="5">
        <v>1414</v>
      </c>
      <c r="B1475" s="138">
        <f>'Expenditures 15-22'!K232</f>
        <v>30874</v>
      </c>
      <c r="C1475" s="2" t="s">
        <v>572</v>
      </c>
      <c r="D1475" s="2" t="str">
        <f t="shared" si="22"/>
        <v>Error?</v>
      </c>
    </row>
    <row r="1476" spans="1:4" x14ac:dyDescent="0.2">
      <c r="A1476" s="5">
        <v>1415</v>
      </c>
      <c r="B1476" s="138">
        <f>'Expenditures 15-22'!K233</f>
        <v>168626</v>
      </c>
      <c r="C1476" s="2" t="s">
        <v>572</v>
      </c>
      <c r="D1476" s="2" t="str">
        <f t="shared" si="22"/>
        <v>Error?</v>
      </c>
    </row>
    <row r="1477" spans="1:4" x14ac:dyDescent="0.2">
      <c r="A1477" s="5">
        <v>1416</v>
      </c>
      <c r="B1477" s="138">
        <f>'Expenditures 15-22'!K234</f>
        <v>39453</v>
      </c>
      <c r="C1477" s="2" t="s">
        <v>572</v>
      </c>
      <c r="D1477" s="2" t="str">
        <f t="shared" si="22"/>
        <v>Error?</v>
      </c>
    </row>
    <row r="1478" spans="1:4" x14ac:dyDescent="0.2">
      <c r="A1478" s="5">
        <v>1417</v>
      </c>
      <c r="B1478" s="138">
        <f>'Expenditures 15-22'!K235</f>
        <v>9556</v>
      </c>
      <c r="C1478" s="2" t="s">
        <v>572</v>
      </c>
      <c r="D1478" s="2" t="str">
        <f t="shared" si="22"/>
        <v>Error?</v>
      </c>
    </row>
    <row r="1479" spans="1:4" x14ac:dyDescent="0.2">
      <c r="A1479" s="5">
        <v>1418</v>
      </c>
      <c r="B1479" s="138">
        <f>'Expenditures 15-22'!K236</f>
        <v>5899</v>
      </c>
      <c r="C1479" s="2" t="s">
        <v>572</v>
      </c>
      <c r="D1479" s="2" t="str">
        <f t="shared" si="22"/>
        <v>Error?</v>
      </c>
    </row>
    <row r="1480" spans="1:4" x14ac:dyDescent="0.2">
      <c r="A1480" s="5">
        <v>1419</v>
      </c>
      <c r="B1480" s="138">
        <f>'Expenditures 15-22'!K237</f>
        <v>16783</v>
      </c>
      <c r="C1480" s="2" t="s">
        <v>572</v>
      </c>
      <c r="D1480" s="2" t="str">
        <f t="shared" si="22"/>
        <v>Error?</v>
      </c>
    </row>
    <row r="1481" spans="1:4" x14ac:dyDescent="0.2">
      <c r="A1481" s="5">
        <v>1420</v>
      </c>
      <c r="B1481" s="138">
        <f>'Expenditures 15-22'!K238</f>
        <v>271191</v>
      </c>
      <c r="C1481" s="2" t="s">
        <v>572</v>
      </c>
      <c r="D1481" s="2" t="str">
        <f t="shared" si="22"/>
        <v>Error?</v>
      </c>
    </row>
    <row r="1482" spans="1:4" x14ac:dyDescent="0.2">
      <c r="A1482" s="5">
        <v>1421</v>
      </c>
      <c r="B1482" s="138">
        <f>'Expenditures 15-22'!K240</f>
        <v>16379</v>
      </c>
      <c r="C1482" s="2" t="s">
        <v>572</v>
      </c>
      <c r="D1482" s="2" t="str">
        <f t="shared" si="22"/>
        <v>Error?</v>
      </c>
    </row>
    <row r="1483" spans="1:4" x14ac:dyDescent="0.2">
      <c r="A1483" s="5">
        <v>1422</v>
      </c>
      <c r="B1483" s="138">
        <f>'Expenditures 15-22'!K241</f>
        <v>126303</v>
      </c>
      <c r="C1483" s="2" t="s">
        <v>572</v>
      </c>
      <c r="D1483" s="2" t="str">
        <f t="shared" si="22"/>
        <v>Error?</v>
      </c>
    </row>
    <row r="1484" spans="1:4" x14ac:dyDescent="0.2">
      <c r="A1484" s="5">
        <v>1423</v>
      </c>
      <c r="B1484" s="138">
        <f>'Expenditures 15-22'!K242</f>
        <v>25489</v>
      </c>
      <c r="C1484" s="2" t="s">
        <v>572</v>
      </c>
      <c r="D1484" s="2" t="str">
        <f t="shared" si="22"/>
        <v>Error?</v>
      </c>
    </row>
    <row r="1485" spans="1:4" x14ac:dyDescent="0.2">
      <c r="A1485" s="5">
        <v>1424</v>
      </c>
      <c r="B1485" s="138">
        <f>'Expenditures 15-22'!K243</f>
        <v>168171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15685</v>
      </c>
      <c r="C1487" s="2" t="s">
        <v>572</v>
      </c>
      <c r="D1487" s="2" t="str">
        <f t="shared" si="22"/>
        <v>Error?</v>
      </c>
    </row>
    <row r="1488" spans="1:4" x14ac:dyDescent="0.2">
      <c r="A1488" s="5">
        <v>1427</v>
      </c>
      <c r="B1488" s="138">
        <f>'Expenditures 15-22'!K257</f>
        <v>15685</v>
      </c>
      <c r="C1488" s="2" t="s">
        <v>572</v>
      </c>
      <c r="D1488" s="2" t="str">
        <f t="shared" si="22"/>
        <v>Error?</v>
      </c>
    </row>
    <row r="1489" spans="1:4" x14ac:dyDescent="0.2">
      <c r="A1489" s="5">
        <v>1428</v>
      </c>
      <c r="B1489" s="138">
        <f>'Expenditures 15-22'!K259</f>
        <v>60047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60047</v>
      </c>
      <c r="C1491" s="2" t="s">
        <v>572</v>
      </c>
      <c r="D1491" s="2" t="str">
        <f t="shared" si="22"/>
        <v>Error?</v>
      </c>
    </row>
    <row r="1492" spans="1:4" x14ac:dyDescent="0.2">
      <c r="A1492" s="5">
        <v>1431</v>
      </c>
      <c r="B1492" s="138">
        <f>'Expenditures 15-22'!K263</f>
        <v>35375</v>
      </c>
      <c r="C1492" s="2" t="s">
        <v>572</v>
      </c>
      <c r="D1492" s="2" t="str">
        <f t="shared" si="22"/>
        <v>Error?</v>
      </c>
    </row>
    <row r="1493" spans="1:4" x14ac:dyDescent="0.2">
      <c r="A1493" s="5">
        <v>1432</v>
      </c>
      <c r="B1493" s="138">
        <f>'Expenditures 15-22'!K264</f>
        <v>74206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776018</v>
      </c>
      <c r="C1495" s="2" t="s">
        <v>572</v>
      </c>
      <c r="D1495" s="2" t="str">
        <f t="shared" si="22"/>
        <v>Error?</v>
      </c>
    </row>
    <row r="1496" spans="1:4" x14ac:dyDescent="0.2">
      <c r="A1496" s="5">
        <v>1435</v>
      </c>
      <c r="B1496" s="138">
        <f>'Expenditures 15-22'!K267</f>
        <v>11643</v>
      </c>
      <c r="C1496" s="2" t="s">
        <v>572</v>
      </c>
      <c r="D1496" s="2" t="str">
        <f t="shared" si="22"/>
        <v>Error?</v>
      </c>
    </row>
    <row r="1497" spans="1:4" x14ac:dyDescent="0.2">
      <c r="A1497" s="5">
        <v>1436</v>
      </c>
      <c r="B1497" s="138">
        <f>'Expenditures 15-22'!K268</f>
        <v>4379</v>
      </c>
      <c r="C1497" s="2" t="s">
        <v>572</v>
      </c>
      <c r="D1497" s="2" t="str">
        <f t="shared" si="22"/>
        <v>Error?</v>
      </c>
    </row>
    <row r="1498" spans="1:4" x14ac:dyDescent="0.2">
      <c r="A1498" s="5">
        <v>1437</v>
      </c>
      <c r="B1498" s="138">
        <f>'Expenditures 15-22'!K269</f>
        <v>5987</v>
      </c>
      <c r="C1498" s="2" t="s">
        <v>572</v>
      </c>
      <c r="D1498" s="2" t="str">
        <f t="shared" si="22"/>
        <v>Error?</v>
      </c>
    </row>
    <row r="1499" spans="1:4" x14ac:dyDescent="0.2">
      <c r="A1499" s="10">
        <v>1438</v>
      </c>
      <c r="D1499" s="2" t="str">
        <f t="shared" si="22"/>
        <v>OK</v>
      </c>
    </row>
    <row r="1500" spans="1:4" x14ac:dyDescent="0.2">
      <c r="A1500" s="5">
        <v>1439</v>
      </c>
      <c r="B1500" s="138">
        <f>'Expenditures 15-22'!K270</f>
        <v>907608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15191</v>
      </c>
      <c r="C1502" s="2" t="s">
        <v>572</v>
      </c>
      <c r="D1502" s="2" t="str">
        <f t="shared" si="22"/>
        <v>Error?</v>
      </c>
    </row>
    <row r="1503" spans="1:4" x14ac:dyDescent="0.2">
      <c r="A1503" s="5">
        <v>1442</v>
      </c>
      <c r="B1503" s="138">
        <f>'Expenditures 15-22'!K274</f>
        <v>35011</v>
      </c>
      <c r="C1503" s="2" t="s">
        <v>572</v>
      </c>
      <c r="D1503" s="2" t="str">
        <f t="shared" si="22"/>
        <v>Error?</v>
      </c>
    </row>
    <row r="1504" spans="1:4" x14ac:dyDescent="0.2">
      <c r="A1504" s="5">
        <v>1443</v>
      </c>
      <c r="B1504" s="138">
        <f>'Expenditures 15-22'!K275</f>
        <v>64235</v>
      </c>
      <c r="C1504" s="2" t="s">
        <v>572</v>
      </c>
      <c r="D1504" s="2" t="str">
        <f t="shared" si="22"/>
        <v>Error?</v>
      </c>
    </row>
    <row r="1505" spans="1:4" x14ac:dyDescent="0.2">
      <c r="A1505" s="10">
        <v>1444</v>
      </c>
      <c r="D1505" s="2" t="str">
        <f t="shared" si="22"/>
        <v>OK</v>
      </c>
    </row>
    <row r="1506" spans="1:4" x14ac:dyDescent="0.2">
      <c r="A1506" s="5">
        <v>1445</v>
      </c>
      <c r="B1506" s="138">
        <f>'Expenditures 15-22'!K276</f>
        <v>31089</v>
      </c>
      <c r="C1506" s="2" t="s">
        <v>572</v>
      </c>
      <c r="D1506" s="2" t="str">
        <f t="shared" si="22"/>
        <v>Error?</v>
      </c>
    </row>
    <row r="1507" spans="1:4" x14ac:dyDescent="0.2">
      <c r="A1507" s="10">
        <v>1446</v>
      </c>
      <c r="D1507" s="2" t="str">
        <f t="shared" si="22"/>
        <v>OK</v>
      </c>
    </row>
    <row r="1508" spans="1:4" x14ac:dyDescent="0.2">
      <c r="A1508" s="5">
        <v>1447</v>
      </c>
      <c r="B1508" s="138">
        <f>'Expenditures 15-22'!K277</f>
        <v>145526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1568228</v>
      </c>
      <c r="C1510" s="2" t="s">
        <v>572</v>
      </c>
      <c r="D1510" s="2" t="str">
        <f t="shared" si="22"/>
        <v>Error?</v>
      </c>
    </row>
    <row r="1511" spans="1:4" x14ac:dyDescent="0.2">
      <c r="A1511" s="5">
        <v>1450</v>
      </c>
      <c r="B1511" s="138">
        <f>'Expenditures 15-22'!K280</f>
        <v>19746</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3046061</v>
      </c>
      <c r="C1517" s="2" t="s">
        <v>572</v>
      </c>
      <c r="D1517" s="2" t="str">
        <f t="shared" si="22"/>
        <v>Error?</v>
      </c>
    </row>
    <row r="1518" spans="1:4" x14ac:dyDescent="0.2">
      <c r="A1518" s="5">
        <v>1457</v>
      </c>
      <c r="B1518" s="138">
        <f>'Expenditures 15-22'!K296</f>
        <v>1141011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339565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339565</v>
      </c>
      <c r="C1535" s="2" t="s">
        <v>572</v>
      </c>
      <c r="D1535" s="2" t="str">
        <f t="shared" ref="D1535:D1598" si="23">IF(ISBLANK(B1535),"OK",IF(A1535-B1535=0,"OK","Error?"))</f>
        <v>Error?</v>
      </c>
    </row>
    <row r="1536" spans="1:4" x14ac:dyDescent="0.2">
      <c r="A1536" s="5">
        <v>1475</v>
      </c>
      <c r="B1536" s="138">
        <f>'Expenditures 15-22'!E312</f>
        <v>339565</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7793511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7793511</v>
      </c>
      <c r="C1547" s="2" t="s">
        <v>572</v>
      </c>
      <c r="D1547" s="2" t="str">
        <f t="shared" si="23"/>
        <v>Error?</v>
      </c>
    </row>
    <row r="1548" spans="1:4" x14ac:dyDescent="0.2">
      <c r="A1548" s="5">
        <v>1487</v>
      </c>
      <c r="B1548" s="138">
        <f>'Expenditures 15-22'!G312</f>
        <v>7793511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8133076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8133076</v>
      </c>
      <c r="C1559" s="2" t="s">
        <v>572</v>
      </c>
      <c r="D1559" s="2" t="str">
        <f t="shared" si="23"/>
        <v>Error?</v>
      </c>
    </row>
    <row r="1560" spans="1:4" x14ac:dyDescent="0.2">
      <c r="A1560" s="5">
        <v>1499</v>
      </c>
      <c r="B1560" s="138">
        <f>'Expenditures 15-22'!K312</f>
        <v>8133076</v>
      </c>
      <c r="C1560" s="2" t="s">
        <v>572</v>
      </c>
      <c r="D1560" s="2" t="str">
        <f t="shared" si="23"/>
        <v>Error?</v>
      </c>
    </row>
    <row r="1561" spans="1:4" x14ac:dyDescent="0.2">
      <c r="A1561" s="5">
        <v>1500</v>
      </c>
      <c r="B1561" s="138">
        <f>'Expenditures 15-22'!K313</f>
        <v>-7701450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68100143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72539838</v>
      </c>
      <c r="C1630" s="2" t="s">
        <v>572</v>
      </c>
      <c r="D1630" s="2" t="str">
        <f t="shared" si="24"/>
        <v>Error?</v>
      </c>
    </row>
    <row r="1631" spans="1:4" x14ac:dyDescent="0.2">
      <c r="A1631" s="5">
        <v>1570</v>
      </c>
      <c r="B1631" s="138">
        <f>'Acct Summary 7-8'!D79</f>
        <v>5702499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7027269</v>
      </c>
      <c r="C1644" s="2" t="s">
        <v>572</v>
      </c>
      <c r="D1644" s="2" t="str">
        <f t="shared" si="24"/>
        <v>Error?</v>
      </c>
    </row>
    <row r="1645" spans="1:4" x14ac:dyDescent="0.2">
      <c r="A1645" s="5">
        <v>1584</v>
      </c>
      <c r="B1645" s="138">
        <f>'Acct Summary 7-8'!E79</f>
        <v>3540605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3719473</v>
      </c>
      <c r="C1658" s="2" t="s">
        <v>572</v>
      </c>
      <c r="D1658" s="2" t="str">
        <f t="shared" si="24"/>
        <v>Error?</v>
      </c>
    </row>
    <row r="1659" spans="1:4" x14ac:dyDescent="0.2">
      <c r="A1659" s="5">
        <v>1598</v>
      </c>
      <c r="B1659" s="138">
        <f>'Acct Summary 7-8'!F79</f>
        <v>3323665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3593277</v>
      </c>
      <c r="C1672" s="2" t="s">
        <v>572</v>
      </c>
      <c r="D1672" s="2" t="str">
        <f t="shared" si="25"/>
        <v>Error?</v>
      </c>
    </row>
    <row r="1673" spans="1:4" x14ac:dyDescent="0.2">
      <c r="A1673" s="5">
        <v>1612</v>
      </c>
      <c r="B1673" s="138">
        <f>'Acct Summary 7-8'!G79</f>
        <v>2685346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3826357</v>
      </c>
      <c r="C1686" s="2" t="s">
        <v>572</v>
      </c>
      <c r="D1686" s="2" t="str">
        <f t="shared" si="25"/>
        <v>Error?</v>
      </c>
    </row>
    <row r="1687" spans="1:4" x14ac:dyDescent="0.2">
      <c r="A1687" s="5">
        <v>1626</v>
      </c>
      <c r="B1687" s="138">
        <f>'Acct Summary 7-8'!H79</f>
        <v>8077517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3397164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88422599</v>
      </c>
      <c r="C1744" s="2" t="s">
        <v>572</v>
      </c>
      <c r="D1744" s="2" t="str">
        <f t="shared" si="26"/>
        <v>Error?</v>
      </c>
    </row>
    <row r="1745" spans="1:5" x14ac:dyDescent="0.2">
      <c r="A1745" s="5">
        <v>1684</v>
      </c>
      <c r="B1745" s="138">
        <f>'Tax Sched 23'!B5</f>
        <v>7618722</v>
      </c>
      <c r="C1745" s="2" t="s">
        <v>572</v>
      </c>
      <c r="D1745" s="2" t="str">
        <f t="shared" si="26"/>
        <v>Error?</v>
      </c>
    </row>
    <row r="1746" spans="1:5" x14ac:dyDescent="0.2">
      <c r="A1746" s="5">
        <v>1685</v>
      </c>
      <c r="B1746" s="138">
        <f>'Tax Sched 23'!B6</f>
        <v>9742107</v>
      </c>
      <c r="C1746" s="2" t="s">
        <v>572</v>
      </c>
      <c r="D1746" s="2" t="str">
        <f t="shared" si="26"/>
        <v>Error?</v>
      </c>
    </row>
    <row r="1747" spans="1:5" x14ac:dyDescent="0.2">
      <c r="A1747" s="5">
        <v>1686</v>
      </c>
      <c r="B1747" s="138">
        <f>'Tax Sched 23'!B7</f>
        <v>1478066</v>
      </c>
      <c r="C1747" s="2" t="s">
        <v>572</v>
      </c>
      <c r="D1747" s="2" t="str">
        <f t="shared" si="26"/>
        <v>Error?</v>
      </c>
    </row>
    <row r="1748" spans="1:5" x14ac:dyDescent="0.2">
      <c r="A1748" s="5">
        <v>1687</v>
      </c>
      <c r="B1748" s="138">
        <f>'Tax Sched 23'!B8</f>
        <v>2077163</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111318149</v>
      </c>
      <c r="C1759" s="2" t="s">
        <v>572</v>
      </c>
      <c r="D1759" s="2" t="str">
        <f t="shared" si="26"/>
        <v>Error?</v>
      </c>
    </row>
    <row r="1760" spans="1:5" x14ac:dyDescent="0.2">
      <c r="A1760" s="5">
        <v>1699</v>
      </c>
      <c r="B1760" s="138">
        <f>'Tax Sched 23'!D4</f>
        <v>40678549</v>
      </c>
      <c r="C1760" s="2" t="s">
        <v>572</v>
      </c>
      <c r="D1760" s="2" t="str">
        <f t="shared" si="26"/>
        <v>Error?</v>
      </c>
    </row>
    <row r="1761" spans="1:5" x14ac:dyDescent="0.2">
      <c r="A1761" s="5">
        <v>1700</v>
      </c>
      <c r="B1761" s="138">
        <f>'Tax Sched 23'!D5</f>
        <v>3526053</v>
      </c>
      <c r="C1761" s="2" t="s">
        <v>572</v>
      </c>
      <c r="D1761" s="2" t="str">
        <f t="shared" si="26"/>
        <v>Error?</v>
      </c>
    </row>
    <row r="1762" spans="1:5" s="8" customFormat="1" x14ac:dyDescent="0.2">
      <c r="A1762" s="5">
        <v>1701</v>
      </c>
      <c r="B1762" s="138">
        <f>'Tax Sched 23'!D6</f>
        <v>4788347</v>
      </c>
      <c r="C1762" s="2" t="s">
        <v>572</v>
      </c>
      <c r="D1762" s="2" t="str">
        <f t="shared" si="26"/>
        <v>Error?</v>
      </c>
      <c r="E1762" s="9"/>
    </row>
    <row r="1763" spans="1:5" x14ac:dyDescent="0.2">
      <c r="A1763" s="5">
        <v>1702</v>
      </c>
      <c r="B1763" s="138">
        <f>'Tax Sched 23'!D7</f>
        <v>657276</v>
      </c>
      <c r="C1763" s="2" t="s">
        <v>572</v>
      </c>
      <c r="D1763" s="2" t="str">
        <f t="shared" si="26"/>
        <v>Error?</v>
      </c>
    </row>
    <row r="1764" spans="1:5" x14ac:dyDescent="0.2">
      <c r="A1764" s="5">
        <v>1703</v>
      </c>
      <c r="B1764" s="138">
        <f>'Tax Sched 23'!D8</f>
        <v>963032</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51794523</v>
      </c>
      <c r="C1775" s="2" t="s">
        <v>572</v>
      </c>
      <c r="D1775" s="2" t="str">
        <f t="shared" si="26"/>
        <v>Error?</v>
      </c>
    </row>
    <row r="1776" spans="1:5" x14ac:dyDescent="0.2">
      <c r="A1776" s="5">
        <v>1715</v>
      </c>
      <c r="B1776" s="138">
        <f>'Tax Sched 23'!C4</f>
        <v>47744050</v>
      </c>
      <c r="D1776" s="2" t="str">
        <f t="shared" si="26"/>
        <v>Error?</v>
      </c>
    </row>
    <row r="1777" spans="1:4" x14ac:dyDescent="0.2">
      <c r="A1777" s="5">
        <v>1716</v>
      </c>
      <c r="B1777" s="138">
        <f>'Tax Sched 23'!C5</f>
        <v>4092669</v>
      </c>
      <c r="D1777" s="2" t="str">
        <f t="shared" si="26"/>
        <v>Error?</v>
      </c>
    </row>
    <row r="1778" spans="1:4" x14ac:dyDescent="0.2">
      <c r="A1778" s="5">
        <v>1717</v>
      </c>
      <c r="B1778" s="138">
        <f>'Tax Sched 23'!C6</f>
        <v>4953760</v>
      </c>
      <c r="D1778" s="2" t="str">
        <f t="shared" si="26"/>
        <v>Error?</v>
      </c>
    </row>
    <row r="1779" spans="1:4" x14ac:dyDescent="0.2">
      <c r="A1779" s="5">
        <v>1718</v>
      </c>
      <c r="B1779" s="138">
        <f>'Tax Sched 23'!C7</f>
        <v>820790</v>
      </c>
      <c r="D1779" s="2" t="str">
        <f t="shared" si="26"/>
        <v>Error?</v>
      </c>
    </row>
    <row r="1780" spans="1:4" x14ac:dyDescent="0.2">
      <c r="A1780" s="5">
        <v>1719</v>
      </c>
      <c r="B1780" s="138">
        <f>'Tax Sched 23'!C8</f>
        <v>1114131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59523626</v>
      </c>
      <c r="C1791" s="2" t="s">
        <v>572</v>
      </c>
      <c r="D1791" s="2" t="str">
        <f t="shared" ref="D1791:D1854" si="27">IF(ISBLANK(B1791),"OK",IF(A1791-B1791=0,"OK","Error?"))</f>
        <v>Error?</v>
      </c>
    </row>
    <row r="1792" spans="1:4" x14ac:dyDescent="0.2">
      <c r="A1792" s="5">
        <v>1731</v>
      </c>
      <c r="B1792" s="138">
        <f>'Tax Sched 23'!F4</f>
        <v>43723617</v>
      </c>
      <c r="C1792" s="2" t="s">
        <v>572</v>
      </c>
      <c r="D1792" s="2" t="str">
        <f t="shared" si="27"/>
        <v>Error?</v>
      </c>
    </row>
    <row r="1793" spans="1:4" x14ac:dyDescent="0.2">
      <c r="A1793" s="5">
        <v>1732</v>
      </c>
      <c r="B1793" s="138">
        <f>'Tax Sched 23'!F5</f>
        <v>3748034</v>
      </c>
      <c r="C1793" s="2" t="s">
        <v>572</v>
      </c>
      <c r="D1793" s="2" t="str">
        <f t="shared" si="27"/>
        <v>Error?</v>
      </c>
    </row>
    <row r="1794" spans="1:4" x14ac:dyDescent="0.2">
      <c r="A1794" s="5">
        <v>1733</v>
      </c>
      <c r="B1794" s="138">
        <f>'Tax Sched 23'!F6</f>
        <v>4536613</v>
      </c>
      <c r="C1794" s="2" t="s">
        <v>572</v>
      </c>
      <c r="D1794" s="2" t="str">
        <f t="shared" si="27"/>
        <v>Error?</v>
      </c>
    </row>
    <row r="1795" spans="1:4" x14ac:dyDescent="0.2">
      <c r="A1795" s="5">
        <v>1734</v>
      </c>
      <c r="B1795" s="138">
        <f>'Tax Sched 23'!F7</f>
        <v>751673</v>
      </c>
      <c r="C1795" s="2" t="s">
        <v>572</v>
      </c>
      <c r="D1795" s="2" t="str">
        <f t="shared" si="27"/>
        <v>Error?</v>
      </c>
    </row>
    <row r="1796" spans="1:4" x14ac:dyDescent="0.2">
      <c r="A1796" s="5">
        <v>1735</v>
      </c>
      <c r="B1796" s="138">
        <f>'Tax Sched 23'!F8</f>
        <v>1020312</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54511257</v>
      </c>
      <c r="C1807" s="2" t="s">
        <v>572</v>
      </c>
      <c r="D1807" s="2" t="str">
        <f t="shared" si="27"/>
        <v>Error?</v>
      </c>
    </row>
    <row r="1808" spans="1:4" x14ac:dyDescent="0.2">
      <c r="A1808" s="5">
        <v>1747</v>
      </c>
      <c r="B1808" s="138">
        <f>'Tax Sched 23'!E4</f>
        <v>91467667</v>
      </c>
      <c r="D1808" s="2" t="str">
        <f t="shared" si="27"/>
        <v>Error?</v>
      </c>
    </row>
    <row r="1809" spans="1:4" x14ac:dyDescent="0.2">
      <c r="A1809" s="5">
        <v>1748</v>
      </c>
      <c r="B1809" s="138">
        <f>'Tax Sched 23'!E5</f>
        <v>7840703</v>
      </c>
      <c r="D1809" s="2" t="str">
        <f t="shared" si="27"/>
        <v>Error?</v>
      </c>
    </row>
    <row r="1810" spans="1:4" x14ac:dyDescent="0.2">
      <c r="A1810" s="5">
        <v>1749</v>
      </c>
      <c r="B1810" s="138">
        <f>'Tax Sched 23'!E6</f>
        <v>9490373</v>
      </c>
      <c r="D1810" s="2" t="str">
        <f t="shared" si="27"/>
        <v>Error?</v>
      </c>
    </row>
    <row r="1811" spans="1:4" x14ac:dyDescent="0.2">
      <c r="A1811" s="5">
        <v>1750</v>
      </c>
      <c r="B1811" s="138">
        <f>'Tax Sched 23'!E7</f>
        <v>1572463</v>
      </c>
      <c r="D1811" s="2" t="str">
        <f t="shared" si="27"/>
        <v>Error?</v>
      </c>
    </row>
    <row r="1812" spans="1:4" x14ac:dyDescent="0.2">
      <c r="A1812" s="5">
        <v>1751</v>
      </c>
      <c r="B1812" s="138">
        <f>'Tax Sched 23'!E8</f>
        <v>2134443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114034883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102395000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5170483</v>
      </c>
      <c r="D2008" s="2" t="str">
        <f t="shared" si="30"/>
        <v>Error?</v>
      </c>
    </row>
    <row r="2009" spans="1:4" x14ac:dyDescent="0.2">
      <c r="A2009" s="5">
        <v>1948</v>
      </c>
      <c r="B2009" s="138">
        <f>'Cap Outlay Deprec 26'!C8</f>
        <v>221466988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41961593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268599064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10522769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4191035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14713804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2200615</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2500625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4701240</v>
      </c>
      <c r="C2025" s="2" t="s">
        <v>572</v>
      </c>
      <c r="D2025" s="2" t="str">
        <f t="shared" si="30"/>
        <v>Error?</v>
      </c>
    </row>
    <row r="2026" spans="1:4" x14ac:dyDescent="0.2">
      <c r="A2026" s="5">
        <v>1965</v>
      </c>
      <c r="B2026" s="138">
        <f>'Cap Outlay Deprec 26'!F5</f>
        <v>5170483</v>
      </c>
      <c r="C2026" s="2" t="s">
        <v>572</v>
      </c>
      <c r="D2026" s="2" t="str">
        <f t="shared" si="30"/>
        <v>Error?</v>
      </c>
    </row>
    <row r="2027" spans="1:4" x14ac:dyDescent="0.2">
      <c r="A2027" s="5">
        <v>1966</v>
      </c>
      <c r="B2027" s="138">
        <f>'Cap Outlay Deprec 26'!F8</f>
        <v>229789142</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43652003</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278611628</v>
      </c>
      <c r="C2031" s="2" t="s">
        <v>572</v>
      </c>
      <c r="D2031" s="2" t="str">
        <f t="shared" si="30"/>
        <v>Error?</v>
      </c>
    </row>
    <row r="2032" spans="1:4" x14ac:dyDescent="0.2">
      <c r="A2032" s="10">
        <v>1971</v>
      </c>
      <c r="D2032" s="2" t="str">
        <f t="shared" si="30"/>
        <v>OK</v>
      </c>
    </row>
    <row r="2033" spans="1:4" x14ac:dyDescent="0.2">
      <c r="A2033" s="5">
        <v>1972</v>
      </c>
      <c r="B2033" s="138">
        <f>'Cap Outlay Deprec 26'!H8</f>
        <v>89083268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24980754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114064022</v>
      </c>
      <c r="C2037" s="2" t="s">
        <v>572</v>
      </c>
      <c r="D2037" s="2" t="str">
        <f t="shared" si="30"/>
        <v>Error?</v>
      </c>
    </row>
    <row r="2038" spans="1:4" x14ac:dyDescent="0.2">
      <c r="A2038" s="10">
        <v>1977</v>
      </c>
      <c r="D2038" s="2" t="str">
        <f t="shared" si="30"/>
        <v>OK</v>
      </c>
    </row>
    <row r="2039" spans="1:4" x14ac:dyDescent="0.2">
      <c r="A2039" s="5">
        <v>1978</v>
      </c>
      <c r="B2039" s="138">
        <f>'Cap Outlay Deprec 26'!I8</f>
        <v>9261948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3023555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12285503</v>
      </c>
      <c r="C2043" s="2" t="s">
        <v>572</v>
      </c>
      <c r="D2043" s="2" t="str">
        <f t="shared" si="30"/>
        <v>Error?</v>
      </c>
    </row>
    <row r="2044" spans="1:4" x14ac:dyDescent="0.2">
      <c r="A2044" s="10">
        <v>1983</v>
      </c>
      <c r="D2044" s="2" t="str">
        <f t="shared" si="30"/>
        <v>OK</v>
      </c>
    </row>
    <row r="2045" spans="1:4" x14ac:dyDescent="0.2">
      <c r="A2045" s="5">
        <v>1984</v>
      </c>
      <c r="B2045" s="138">
        <f>'Cap Outlay Deprec 26'!J8</f>
        <v>2017277</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2463887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4481164</v>
      </c>
      <c r="C2049" s="2" t="s">
        <v>572</v>
      </c>
      <c r="D2049" s="2" t="str">
        <f t="shared" si="31"/>
        <v>Error?</v>
      </c>
    </row>
    <row r="2050" spans="1:4" x14ac:dyDescent="0.2">
      <c r="A2050" s="10">
        <v>1989</v>
      </c>
      <c r="D2050" s="2" t="str">
        <f t="shared" si="31"/>
        <v>OK</v>
      </c>
    </row>
    <row r="2051" spans="1:4" x14ac:dyDescent="0.2">
      <c r="A2051" s="5">
        <v>1990</v>
      </c>
      <c r="B2051" s="138">
        <f>'Cap Outlay Deprec 26'!K8</f>
        <v>96327939</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25540422</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121868361</v>
      </c>
      <c r="C2055" s="2" t="s">
        <v>572</v>
      </c>
      <c r="D2055" s="2" t="str">
        <f t="shared" si="31"/>
        <v>Error?</v>
      </c>
    </row>
    <row r="2056" spans="1:4" x14ac:dyDescent="0.2">
      <c r="A2056" s="5">
        <v>1995</v>
      </c>
      <c r="B2056" s="138">
        <f>'Cap Outlay Deprec 26'!L5</f>
        <v>5170483</v>
      </c>
      <c r="C2056" s="2" t="s">
        <v>572</v>
      </c>
      <c r="D2056" s="2" t="str">
        <f t="shared" si="31"/>
        <v>Error?</v>
      </c>
    </row>
    <row r="2057" spans="1:4" x14ac:dyDescent="0.2">
      <c r="A2057" s="5">
        <v>1996</v>
      </c>
      <c r="B2057" s="138">
        <f>'Cap Outlay Deprec 26'!L8</f>
        <v>133461203</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18111581</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156743267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1446852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1446852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1179529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3593277</v>
      </c>
      <c r="D2475" s="2" t="str">
        <f t="shared" si="37"/>
        <v>Error?</v>
      </c>
    </row>
    <row r="2476" spans="1:4" x14ac:dyDescent="0.2">
      <c r="A2476" s="10">
        <v>2415</v>
      </c>
      <c r="D2476" s="2" t="str">
        <f t="shared" si="37"/>
        <v>OK</v>
      </c>
    </row>
    <row r="2477" spans="1:4" x14ac:dyDescent="0.2">
      <c r="A2477" s="5">
        <v>2416</v>
      </c>
      <c r="B2477" s="138">
        <f>'Assets-Liab 5-6'!G38</f>
        <v>3826357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3719473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3397164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93961056</v>
      </c>
      <c r="C2551" s="2" t="s">
        <v>572</v>
      </c>
      <c r="D2551" s="2" t="str">
        <f t="shared" si="38"/>
        <v>Error?</v>
      </c>
    </row>
    <row r="2552" spans="1:4" x14ac:dyDescent="0.2">
      <c r="A2552" s="10">
        <v>2491</v>
      </c>
      <c r="D2552" s="2" t="str">
        <f t="shared" si="38"/>
        <v>OK</v>
      </c>
    </row>
    <row r="2553" spans="1:4" x14ac:dyDescent="0.2">
      <c r="A2553" s="5">
        <v>2492</v>
      </c>
      <c r="B2553" s="138">
        <f>'Acct Summary 7-8'!C6</f>
        <v>2698173</v>
      </c>
      <c r="C2553" s="2" t="s">
        <v>572</v>
      </c>
      <c r="D2553" s="2" t="str">
        <f t="shared" si="38"/>
        <v>Error?</v>
      </c>
    </row>
    <row r="2554" spans="1:4" x14ac:dyDescent="0.2">
      <c r="A2554" s="5">
        <v>2493</v>
      </c>
      <c r="B2554" s="138">
        <f>'Acct Summary 7-8'!C7</f>
        <v>2530616</v>
      </c>
      <c r="C2554" s="2" t="s">
        <v>572</v>
      </c>
      <c r="D2554" s="2" t="str">
        <f t="shared" si="38"/>
        <v>Error?</v>
      </c>
    </row>
    <row r="2555" spans="1:4" x14ac:dyDescent="0.2">
      <c r="A2555" s="5">
        <v>2494</v>
      </c>
      <c r="B2555" s="138">
        <f>'Acct Summary 7-8'!C8</f>
        <v>99189845</v>
      </c>
      <c r="C2555" s="2" t="s">
        <v>572</v>
      </c>
      <c r="D2555" s="2" t="str">
        <f t="shared" si="38"/>
        <v>Error?</v>
      </c>
    </row>
    <row r="2556" spans="1:4" x14ac:dyDescent="0.2">
      <c r="A2556" s="5">
        <v>2495</v>
      </c>
      <c r="B2556" s="138">
        <f>'Acct Summary 7-8'!C12</f>
        <v>60348213</v>
      </c>
      <c r="C2556" s="2" t="s">
        <v>572</v>
      </c>
      <c r="D2556" s="2" t="str">
        <f t="shared" si="38"/>
        <v>Error?</v>
      </c>
    </row>
    <row r="2557" spans="1:4" x14ac:dyDescent="0.2">
      <c r="A2557" s="5">
        <v>2496</v>
      </c>
      <c r="B2557" s="138">
        <f>'Acct Summary 7-8'!C13</f>
        <v>29573667</v>
      </c>
      <c r="C2557" s="2" t="s">
        <v>572</v>
      </c>
      <c r="D2557" s="2" t="str">
        <f t="shared" si="38"/>
        <v>Error?</v>
      </c>
    </row>
    <row r="2558" spans="1:4" x14ac:dyDescent="0.2">
      <c r="A2558" s="5">
        <v>2497</v>
      </c>
      <c r="B2558" s="138">
        <f>'Acct Summary 7-8'!C14</f>
        <v>369349</v>
      </c>
      <c r="C2558" s="2" t="s">
        <v>572</v>
      </c>
      <c r="D2558" s="2" t="str">
        <f t="shared" si="38"/>
        <v>Error?</v>
      </c>
    </row>
    <row r="2559" spans="1:4" x14ac:dyDescent="0.2">
      <c r="A2559" s="5">
        <v>2498</v>
      </c>
      <c r="B2559" s="138">
        <f>'Acct Summary 7-8'!C15</f>
        <v>1446852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91738081</v>
      </c>
      <c r="C2561" s="2" t="s">
        <v>572</v>
      </c>
      <c r="D2561" s="2" t="str">
        <f t="shared" si="39"/>
        <v>Error?</v>
      </c>
    </row>
    <row r="2562" spans="1:4" x14ac:dyDescent="0.2">
      <c r="A2562" s="5">
        <v>2501</v>
      </c>
      <c r="B2562" s="138">
        <f>'Acct Summary 7-8'!C20</f>
        <v>7451764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9295900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9295900</v>
      </c>
      <c r="C2568" s="2" t="s">
        <v>572</v>
      </c>
      <c r="D2568" s="2" t="str">
        <f t="shared" si="39"/>
        <v>Error?</v>
      </c>
    </row>
    <row r="2569" spans="1:4" x14ac:dyDescent="0.2">
      <c r="A2569" s="5">
        <v>2508</v>
      </c>
      <c r="B2569" s="138">
        <f>'Acct Summary 7-8'!D13</f>
        <v>7497922</v>
      </c>
      <c r="C2569" s="2" t="s">
        <v>572</v>
      </c>
      <c r="D2569" s="2" t="str">
        <f t="shared" si="39"/>
        <v>Error?</v>
      </c>
    </row>
    <row r="2570" spans="1:4" x14ac:dyDescent="0.2">
      <c r="A2570" s="5">
        <v>2509</v>
      </c>
      <c r="B2570" s="138">
        <f>'Acct Summary 7-8'!D14</f>
        <v>101792</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7599714</v>
      </c>
      <c r="C2573" s="2" t="s">
        <v>572</v>
      </c>
      <c r="D2573" s="2" t="str">
        <f t="shared" si="39"/>
        <v>Error?</v>
      </c>
    </row>
    <row r="2574" spans="1:4" x14ac:dyDescent="0.2">
      <c r="A2574" s="5">
        <v>2513</v>
      </c>
      <c r="B2574" s="138">
        <f>'Acct Summary 7-8'!D20</f>
        <v>1696186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1881995</v>
      </c>
      <c r="C2591" s="2" t="s">
        <v>572</v>
      </c>
      <c r="D2591" s="2" t="str">
        <f t="shared" si="39"/>
        <v>Error?</v>
      </c>
    </row>
    <row r="2592" spans="1:4" x14ac:dyDescent="0.2">
      <c r="A2592" s="10">
        <v>2531</v>
      </c>
      <c r="D2592" s="2" t="str">
        <f t="shared" si="39"/>
        <v>OK</v>
      </c>
    </row>
    <row r="2593" spans="1:4" x14ac:dyDescent="0.2">
      <c r="A2593" s="5">
        <v>2532</v>
      </c>
      <c r="B2593" s="138">
        <f>'Acct Summary 7-8'!F6</f>
        <v>769966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2651961</v>
      </c>
      <c r="C2595" s="2" t="s">
        <v>572</v>
      </c>
      <c r="D2595" s="2" t="str">
        <f t="shared" si="39"/>
        <v>Error?</v>
      </c>
    </row>
    <row r="2596" spans="1:4" x14ac:dyDescent="0.2">
      <c r="A2596" s="5">
        <v>2535</v>
      </c>
      <c r="B2596" s="138">
        <f>'Acct Summary 7-8'!F13</f>
        <v>2396150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2396150</v>
      </c>
      <c r="C2600" s="2" t="s">
        <v>572</v>
      </c>
      <c r="D2600" s="2" t="str">
        <f t="shared" si="39"/>
        <v>Error?</v>
      </c>
    </row>
    <row r="2601" spans="1:4" x14ac:dyDescent="0.2">
      <c r="A2601" s="5">
        <v>2540</v>
      </c>
      <c r="B2601" s="138">
        <f>'Acct Summary 7-8'!F20</f>
        <v>255811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4187072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4187072</v>
      </c>
      <c r="C2606" s="2" t="s">
        <v>572</v>
      </c>
      <c r="D2606" s="2" t="str">
        <f t="shared" si="39"/>
        <v>Error?</v>
      </c>
    </row>
    <row r="2607" spans="1:4" x14ac:dyDescent="0.2">
      <c r="A2607" s="5">
        <v>2546</v>
      </c>
      <c r="B2607" s="138">
        <f>'Acct Summary 7-8'!G12</f>
        <v>1458087</v>
      </c>
      <c r="C2607" s="2" t="s">
        <v>572</v>
      </c>
      <c r="D2607" s="2" t="str">
        <f t="shared" si="39"/>
        <v>Error?</v>
      </c>
    </row>
    <row r="2608" spans="1:4" x14ac:dyDescent="0.2">
      <c r="A2608" s="5">
        <v>2547</v>
      </c>
      <c r="B2608" s="138">
        <f>'Acct Summary 7-8'!G13</f>
        <v>1568228</v>
      </c>
      <c r="C2608" s="2" t="s">
        <v>572</v>
      </c>
      <c r="D2608" s="2" t="str">
        <f t="shared" si="39"/>
        <v>Error?</v>
      </c>
    </row>
    <row r="2609" spans="1:4" x14ac:dyDescent="0.2">
      <c r="A2609" s="5">
        <v>2548</v>
      </c>
      <c r="B2609" s="138">
        <f>'Acct Summary 7-8'!G14</f>
        <v>19746</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3046061</v>
      </c>
      <c r="C2612" s="2" t="s">
        <v>572</v>
      </c>
      <c r="D2612" s="2" t="str">
        <f t="shared" si="39"/>
        <v>Error?</v>
      </c>
    </row>
    <row r="2613" spans="1:4" x14ac:dyDescent="0.2">
      <c r="A2613" s="5">
        <v>2552</v>
      </c>
      <c r="B2613" s="138">
        <f>'Acct Summary 7-8'!G20</f>
        <v>1141011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12179365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12179365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12371913</v>
      </c>
      <c r="C2634" s="2" t="s">
        <v>572</v>
      </c>
      <c r="D2634" s="2" t="str">
        <f t="shared" si="40"/>
        <v>Error?</v>
      </c>
    </row>
    <row r="2635" spans="1:4" x14ac:dyDescent="0.2">
      <c r="A2635" s="5">
        <v>2574</v>
      </c>
      <c r="B2635" s="138">
        <f>'Acct Summary 7-8'!E17</f>
        <v>12371913</v>
      </c>
      <c r="C2635" s="2" t="s">
        <v>572</v>
      </c>
      <c r="D2635" s="2" t="str">
        <f t="shared" si="40"/>
        <v>Error?</v>
      </c>
    </row>
    <row r="2636" spans="1:4" x14ac:dyDescent="0.2">
      <c r="A2636" s="5">
        <v>2575</v>
      </c>
      <c r="B2636" s="138">
        <f>'Acct Summary 7-8'!E20</f>
        <v>-192548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431626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431626</v>
      </c>
      <c r="C2658" s="2" t="s">
        <v>572</v>
      </c>
      <c r="D2658" s="2" t="str">
        <f t="shared" si="40"/>
        <v>Error?</v>
      </c>
    </row>
    <row r="2659" spans="1:4" x14ac:dyDescent="0.2">
      <c r="A2659" s="5">
        <v>2598</v>
      </c>
      <c r="B2659" s="138">
        <f>'Acct Summary 7-8'!H13</f>
        <v>8133076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8133076</v>
      </c>
      <c r="C2661" s="2" t="s">
        <v>572</v>
      </c>
      <c r="D2661" s="2" t="str">
        <f t="shared" si="40"/>
        <v>Error?</v>
      </c>
    </row>
    <row r="2662" spans="1:4" x14ac:dyDescent="0.2">
      <c r="A2662" s="5">
        <v>2601</v>
      </c>
      <c r="B2662" s="138">
        <f>'Acct Summary 7-8'!H20</f>
        <v>-7701450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1995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1995</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101792</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101792</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401100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1248614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3439423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12202</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3427221</v>
      </c>
      <c r="D2912" s="2" t="str">
        <f t="shared" si="44"/>
        <v>Error?</v>
      </c>
    </row>
    <row r="2913" spans="1:4" x14ac:dyDescent="0.2">
      <c r="A2913" s="5">
        <v>2852</v>
      </c>
      <c r="B2913" s="138">
        <f>'Assets-Liab 5-6'!I41</f>
        <v>3439423</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1446852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1446852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96278</v>
      </c>
      <c r="C3225" s="2" t="s">
        <v>572</v>
      </c>
      <c r="D3225" s="2" t="str">
        <f t="shared" si="49"/>
        <v>Error?</v>
      </c>
    </row>
    <row r="3226" spans="1:4" x14ac:dyDescent="0.2">
      <c r="A3226" s="5">
        <v>3165</v>
      </c>
      <c r="B3226" s="138">
        <f>'Acct Summary 7-8'!I8</f>
        <v>96278</v>
      </c>
      <c r="C3226" s="2" t="s">
        <v>572</v>
      </c>
      <c r="D3226" s="2" t="str">
        <f t="shared" si="49"/>
        <v>Error?</v>
      </c>
    </row>
    <row r="3227" spans="1:4" x14ac:dyDescent="0.2">
      <c r="A3227" s="5">
        <v>3166</v>
      </c>
      <c r="B3227" s="138">
        <f>'Acct Summary 7-8'!I20</f>
        <v>96278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9028</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3021097</v>
      </c>
      <c r="C3231" s="2" t="s">
        <v>572</v>
      </c>
      <c r="D3231" s="2" t="str">
        <f t="shared" si="49"/>
        <v>Error?</v>
      </c>
    </row>
    <row r="3232" spans="1:4" x14ac:dyDescent="0.2">
      <c r="A3232" s="5">
        <v>3171</v>
      </c>
      <c r="B3232" s="138">
        <f>'Acct Summary 7-8'!C77</f>
        <v>-3012069</v>
      </c>
      <c r="C3232" s="2" t="s">
        <v>572</v>
      </c>
      <c r="D3232" s="2" t="str">
        <f t="shared" si="49"/>
        <v>Error?</v>
      </c>
    </row>
    <row r="3233" spans="1:4" x14ac:dyDescent="0.2">
      <c r="A3233" s="5">
        <v>3172</v>
      </c>
      <c r="B3233" s="138">
        <f>'Acct Summary 7-8'!C78</f>
        <v>4439695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3021097</v>
      </c>
      <c r="C3235" s="2" t="s">
        <v>572</v>
      </c>
      <c r="D3235" s="2" t="str">
        <f t="shared" si="49"/>
        <v>Error?</v>
      </c>
    </row>
    <row r="3236" spans="1:4" x14ac:dyDescent="0.2">
      <c r="A3236" s="5">
        <v>3175</v>
      </c>
      <c r="B3236" s="138">
        <f>'Acct Summary 7-8'!D75</f>
        <v>3021097</v>
      </c>
      <c r="D3236" s="2" t="str">
        <f t="shared" si="49"/>
        <v>Error?</v>
      </c>
    </row>
    <row r="3237" spans="1:4" x14ac:dyDescent="0.2">
      <c r="A3237" s="5">
        <v>3176</v>
      </c>
      <c r="B3237" s="138">
        <f>'Acct Summary 7-8'!D76</f>
        <v>3392513</v>
      </c>
      <c r="C3237" s="2" t="s">
        <v>572</v>
      </c>
      <c r="D3237" s="2" t="str">
        <f t="shared" si="49"/>
        <v>Error?</v>
      </c>
    </row>
    <row r="3238" spans="1:4" x14ac:dyDescent="0.2">
      <c r="A3238" s="5">
        <v>3177</v>
      </c>
      <c r="B3238" s="138">
        <f>'Acct Summary 7-8'!D77</f>
        <v>-371416</v>
      </c>
      <c r="C3238" s="2" t="s">
        <v>572</v>
      </c>
      <c r="D3238" s="2" t="str">
        <f t="shared" si="49"/>
        <v>Error?</v>
      </c>
    </row>
    <row r="3239" spans="1:4" x14ac:dyDescent="0.2">
      <c r="A3239" s="5">
        <v>3178</v>
      </c>
      <c r="B3239" s="138">
        <f>'Acct Summary 7-8'!D78</f>
        <v>1324770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13801</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13801</v>
      </c>
      <c r="C3255" s="2" t="s">
        <v>572</v>
      </c>
      <c r="D3255" s="2" t="str">
        <f t="shared" si="49"/>
        <v>Error?</v>
      </c>
    </row>
    <row r="3256" spans="1:4" x14ac:dyDescent="0.2">
      <c r="A3256" s="5">
        <v>3195</v>
      </c>
      <c r="B3256" s="138">
        <f>'Acct Summary 7-8'!F78</f>
        <v>269612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1141011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371416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371416</v>
      </c>
      <c r="C3277" s="2" t="s">
        <v>572</v>
      </c>
      <c r="D3277" s="2" t="str">
        <f t="shared" si="50"/>
        <v>Error?</v>
      </c>
    </row>
    <row r="3278" spans="1:4" x14ac:dyDescent="0.2">
      <c r="A3278" s="5">
        <v>3217</v>
      </c>
      <c r="B3278" s="138">
        <f>'Acct Summary 7-8'!E78</f>
        <v>178868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3021097</v>
      </c>
      <c r="D3295" s="2" t="str">
        <f t="shared" si="50"/>
        <v>Error?</v>
      </c>
    </row>
    <row r="3296" spans="1:4" x14ac:dyDescent="0.2">
      <c r="A3296" s="5">
        <v>3235</v>
      </c>
      <c r="B3296" s="138">
        <f>'Acct Summary 7-8'!H44</f>
        <v>3021097</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3021097</v>
      </c>
      <c r="C3299" s="2" t="s">
        <v>572</v>
      </c>
      <c r="D3299" s="2" t="str">
        <f t="shared" si="50"/>
        <v>Error?</v>
      </c>
    </row>
    <row r="3300" spans="1:4" x14ac:dyDescent="0.2">
      <c r="A3300" s="5">
        <v>3239</v>
      </c>
      <c r="B3300" s="138">
        <f>'Acct Summary 7-8'!H78</f>
        <v>-4680353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96278</v>
      </c>
      <c r="C3320" s="2" t="s">
        <v>572</v>
      </c>
      <c r="D3320" s="2" t="str">
        <f t="shared" si="50"/>
        <v>Error?</v>
      </c>
    </row>
    <row r="3321" spans="1:4" x14ac:dyDescent="0.2">
      <c r="A3321" s="5">
        <v>3260</v>
      </c>
      <c r="B3321" s="138">
        <f>'Acct Summary 7-8'!I79</f>
        <v>3330943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3427221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7505991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1207128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123147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59427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36310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22013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8954016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721548</v>
      </c>
      <c r="D3387" s="2" t="str">
        <f t="shared" si="51"/>
        <v>Error?</v>
      </c>
    </row>
    <row r="3388" spans="1:4" x14ac:dyDescent="0.2">
      <c r="A3388" s="5">
        <v>3327</v>
      </c>
      <c r="B3388" s="138">
        <f>'Expenditures 15-22'!D217</f>
        <v>356551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721548</v>
      </c>
      <c r="C3390" s="2" t="s">
        <v>572</v>
      </c>
      <c r="D3390" s="2" t="str">
        <f t="shared" si="51"/>
        <v>Error?</v>
      </c>
    </row>
    <row r="3391" spans="1:4" x14ac:dyDescent="0.2">
      <c r="A3391" s="5">
        <v>3330</v>
      </c>
      <c r="B3391" s="138">
        <f>'Expenditures 15-22'!K217</f>
        <v>356551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4892750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2809273</v>
      </c>
      <c r="D3417" s="2" t="str">
        <f t="shared" si="52"/>
        <v>Error?</v>
      </c>
    </row>
    <row r="3418" spans="1:4" x14ac:dyDescent="0.2">
      <c r="A3418" s="10">
        <v>3357</v>
      </c>
      <c r="D3418" s="2" t="str">
        <f t="shared" si="52"/>
        <v>OK</v>
      </c>
    </row>
    <row r="3419" spans="1:4" x14ac:dyDescent="0.2">
      <c r="A3419" s="5">
        <v>3358</v>
      </c>
      <c r="B3419" s="138">
        <f>'Assets-Liab 5-6'!F4</f>
        <v>2810100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3196743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2824205</v>
      </c>
      <c r="D3425" s="2" t="str">
        <f t="shared" si="52"/>
        <v>Error?</v>
      </c>
    </row>
    <row r="3426" spans="1:4" x14ac:dyDescent="0.2">
      <c r="A3426" s="10">
        <v>3365</v>
      </c>
      <c r="D3426" s="2" t="str">
        <f t="shared" si="52"/>
        <v>OK</v>
      </c>
    </row>
    <row r="3427" spans="1:4" x14ac:dyDescent="0.2">
      <c r="A3427" s="5">
        <v>3366</v>
      </c>
      <c r="B3427" s="138">
        <f>'Assets-Liab 5-6'!I4</f>
        <v>2176506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1979492</v>
      </c>
      <c r="C3446" s="2" t="s">
        <v>572</v>
      </c>
      <c r="D3446" s="2" t="str">
        <f t="shared" si="52"/>
        <v>Error?</v>
      </c>
    </row>
    <row r="3447" spans="1:4" x14ac:dyDescent="0.2">
      <c r="A3447" s="5">
        <v>3386</v>
      </c>
      <c r="B3447" s="138">
        <f>'Tax Sched 23'!D16</f>
        <v>1181266</v>
      </c>
      <c r="C3447" s="2" t="s">
        <v>572</v>
      </c>
      <c r="D3447" s="2" t="str">
        <f t="shared" si="52"/>
        <v>Error?</v>
      </c>
    </row>
    <row r="3448" spans="1:4" x14ac:dyDescent="0.2">
      <c r="A3448" s="5">
        <v>3387</v>
      </c>
      <c r="B3448" s="138">
        <f>'Tax Sched 23'!C16</f>
        <v>798226</v>
      </c>
      <c r="D3448" s="2" t="str">
        <f t="shared" si="52"/>
        <v>Error?</v>
      </c>
    </row>
    <row r="3449" spans="1:4" x14ac:dyDescent="0.2">
      <c r="A3449" s="5">
        <v>3388</v>
      </c>
      <c r="B3449" s="138">
        <f>'Tax Sched 23'!F16</f>
        <v>731008</v>
      </c>
      <c r="C3449" s="2" t="s">
        <v>572</v>
      </c>
      <c r="D3449" s="2" t="str">
        <f t="shared" si="52"/>
        <v>Error?</v>
      </c>
    </row>
    <row r="3450" spans="1:4" x14ac:dyDescent="0.2">
      <c r="A3450" s="5">
        <v>3389</v>
      </c>
      <c r="B3450" s="138">
        <f>'Tax Sched 23'!E16</f>
        <v>1529234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9028</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13801</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479247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479247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479247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479247</v>
      </c>
      <c r="C3568" s="2" t="s">
        <v>572</v>
      </c>
      <c r="D3568" s="2" t="str">
        <f t="shared" si="54"/>
        <v>Error?</v>
      </c>
    </row>
    <row r="3569" spans="1:4" x14ac:dyDescent="0.2">
      <c r="A3569" s="5">
        <v>3508</v>
      </c>
      <c r="B3569" s="138">
        <f>'Acct Summary 7-8'!K4</f>
        <v>2954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2954</v>
      </c>
      <c r="C3571" s="2" t="s">
        <v>572</v>
      </c>
      <c r="D3571" s="2" t="str">
        <f t="shared" si="54"/>
        <v>Error?</v>
      </c>
    </row>
    <row r="3572" spans="1:4" x14ac:dyDescent="0.2">
      <c r="A3572" s="5">
        <v>3511</v>
      </c>
      <c r="B3572" s="138">
        <f>'Acct Summary 7-8'!K13</f>
        <v>86909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86909</v>
      </c>
      <c r="C3575" s="2" t="s">
        <v>572</v>
      </c>
      <c r="D3575" s="2" t="str">
        <f t="shared" si="54"/>
        <v>Error?</v>
      </c>
    </row>
    <row r="3576" spans="1:4" x14ac:dyDescent="0.2">
      <c r="A3576" s="5">
        <v>3515</v>
      </c>
      <c r="B3576" s="138">
        <f>'Acct Summary 7-8'!K20</f>
        <v>-83955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-83955</v>
      </c>
      <c r="C3588" s="2" t="s">
        <v>572</v>
      </c>
      <c r="D3588" s="2" t="str">
        <f t="shared" si="55"/>
        <v>Error?</v>
      </c>
    </row>
    <row r="3589" spans="1:4" x14ac:dyDescent="0.2">
      <c r="A3589" s="5">
        <v>3528</v>
      </c>
      <c r="B3589" s="138">
        <f>'Acct Summary 7-8'!K79</f>
        <v>563202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479247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86909</v>
      </c>
      <c r="D3646" s="2" t="str">
        <f t="shared" si="55"/>
        <v>Error?</v>
      </c>
    </row>
    <row r="3647" spans="1:4" x14ac:dyDescent="0.2">
      <c r="A3647" s="5">
        <v>3586</v>
      </c>
      <c r="B3647" s="138">
        <f>'Expenditures 15-22'!G350</f>
        <v>86909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86909</v>
      </c>
      <c r="C3649" s="2" t="s">
        <v>572</v>
      </c>
      <c r="D3649" s="2" t="str">
        <f t="shared" si="56"/>
        <v>Error?</v>
      </c>
    </row>
    <row r="3650" spans="1:4" x14ac:dyDescent="0.2">
      <c r="A3650" s="5">
        <v>3589</v>
      </c>
      <c r="B3650" s="138">
        <f>'Expenditures 15-22'!G367</f>
        <v>86909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86909</v>
      </c>
      <c r="C3669" s="2" t="s">
        <v>572</v>
      </c>
      <c r="D3669" s="2" t="str">
        <f t="shared" si="56"/>
        <v>Error?</v>
      </c>
    </row>
    <row r="3670" spans="1:4" x14ac:dyDescent="0.2">
      <c r="A3670" s="5">
        <v>3609</v>
      </c>
      <c r="B3670" s="138">
        <f>'Expenditures 15-22'!K350</f>
        <v>86909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86909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86909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-83955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23352516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122542361</v>
      </c>
      <c r="C4122" s="2" t="s">
        <v>572</v>
      </c>
      <c r="D4122" s="2" t="str">
        <f t="shared" si="63"/>
        <v>Error?</v>
      </c>
    </row>
    <row r="4123" spans="1:4" x14ac:dyDescent="0.2">
      <c r="A4123" s="5">
        <v>4062</v>
      </c>
      <c r="B4123" s="138">
        <f>'Acct Summary 7-8'!D10</f>
        <v>9295900</v>
      </c>
      <c r="C4123" s="2" t="s">
        <v>572</v>
      </c>
      <c r="D4123" s="2" t="str">
        <f t="shared" si="63"/>
        <v>Error?</v>
      </c>
    </row>
    <row r="4124" spans="1:4" x14ac:dyDescent="0.2">
      <c r="A4124" s="5">
        <v>4063</v>
      </c>
      <c r="B4124" s="138">
        <f>'Acct Summary 7-8'!E10</f>
        <v>12179365</v>
      </c>
      <c r="C4124" s="2" t="s">
        <v>572</v>
      </c>
      <c r="D4124" s="2" t="str">
        <f t="shared" si="63"/>
        <v>Error?</v>
      </c>
    </row>
    <row r="4125" spans="1:4" x14ac:dyDescent="0.2">
      <c r="A4125" s="5">
        <v>4064</v>
      </c>
      <c r="B4125" s="138">
        <f>'Acct Summary 7-8'!F10</f>
        <v>2651961</v>
      </c>
      <c r="C4125" s="2" t="s">
        <v>572</v>
      </c>
      <c r="D4125" s="2" t="str">
        <f t="shared" si="63"/>
        <v>Error?</v>
      </c>
    </row>
    <row r="4126" spans="1:4" x14ac:dyDescent="0.2">
      <c r="A4126" s="5">
        <v>4065</v>
      </c>
      <c r="B4126" s="138">
        <f>'Acct Summary 7-8'!G10</f>
        <v>4187072</v>
      </c>
      <c r="C4126" s="2" t="s">
        <v>572</v>
      </c>
      <c r="D4126" s="2" t="str">
        <f t="shared" si="63"/>
        <v>Error?</v>
      </c>
    </row>
    <row r="4127" spans="1:4" x14ac:dyDescent="0.2">
      <c r="A4127" s="5">
        <v>4066</v>
      </c>
      <c r="B4127" s="138">
        <f>'Acct Summary 7-8'!H10</f>
        <v>431626</v>
      </c>
      <c r="C4127" s="2" t="s">
        <v>572</v>
      </c>
      <c r="D4127" s="2" t="str">
        <f t="shared" si="63"/>
        <v>Error?</v>
      </c>
    </row>
    <row r="4128" spans="1:4" x14ac:dyDescent="0.2">
      <c r="A4128" s="5">
        <v>4067</v>
      </c>
      <c r="B4128" s="138">
        <f>'Acct Summary 7-8'!I10</f>
        <v>96278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2954</v>
      </c>
      <c r="C4130" s="2" t="s">
        <v>572</v>
      </c>
      <c r="D4130" s="2" t="str">
        <f t="shared" si="63"/>
        <v>Error?</v>
      </c>
    </row>
    <row r="4131" spans="1:4" x14ac:dyDescent="0.2">
      <c r="A4131" s="5">
        <v>4070</v>
      </c>
      <c r="B4131" s="138">
        <f>'Acct Summary 7-8'!C18</f>
        <v>23352516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115090597</v>
      </c>
      <c r="C4136" s="2" t="s">
        <v>572</v>
      </c>
      <c r="D4136" s="2" t="str">
        <f t="shared" si="63"/>
        <v>Error?</v>
      </c>
    </row>
    <row r="4137" spans="1:4" x14ac:dyDescent="0.2">
      <c r="A4137" s="5">
        <v>4076</v>
      </c>
      <c r="B4137" s="138">
        <f>'Acct Summary 7-8'!D19</f>
        <v>7599714</v>
      </c>
      <c r="C4137" s="2" t="s">
        <v>572</v>
      </c>
      <c r="D4137" s="2" t="str">
        <f t="shared" si="63"/>
        <v>Error?</v>
      </c>
    </row>
    <row r="4138" spans="1:4" x14ac:dyDescent="0.2">
      <c r="A4138" s="5">
        <v>4077</v>
      </c>
      <c r="B4138" s="138">
        <f>'Acct Summary 7-8'!E19</f>
        <v>12371913</v>
      </c>
      <c r="C4138" s="2" t="s">
        <v>572</v>
      </c>
      <c r="D4138" s="2" t="str">
        <f t="shared" si="63"/>
        <v>Error?</v>
      </c>
    </row>
    <row r="4139" spans="1:4" x14ac:dyDescent="0.2">
      <c r="A4139" s="5">
        <v>4078</v>
      </c>
      <c r="B4139" s="138">
        <f>'Acct Summary 7-8'!F19</f>
        <v>2396150</v>
      </c>
      <c r="C4139" s="2" t="s">
        <v>572</v>
      </c>
      <c r="D4139" s="2" t="str">
        <f t="shared" si="63"/>
        <v>Error?</v>
      </c>
    </row>
    <row r="4140" spans="1:4" x14ac:dyDescent="0.2">
      <c r="A4140" s="5">
        <v>4079</v>
      </c>
      <c r="B4140" s="138">
        <f>'Acct Summary 7-8'!G19</f>
        <v>3046061</v>
      </c>
      <c r="C4140" s="2" t="s">
        <v>572</v>
      </c>
      <c r="D4140" s="2" t="str">
        <f t="shared" si="63"/>
        <v>Error?</v>
      </c>
    </row>
    <row r="4141" spans="1:4" x14ac:dyDescent="0.2">
      <c r="A4141" s="5">
        <v>4080</v>
      </c>
      <c r="B4141" s="138">
        <f>'Acct Summary 7-8'!H19</f>
        <v>8133076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86909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93170000</v>
      </c>
      <c r="C4171" s="2" t="s">
        <v>572</v>
      </c>
      <c r="D4171" s="2" t="str">
        <f t="shared" si="64"/>
        <v>Error?</v>
      </c>
    </row>
    <row r="4172" spans="1:4" x14ac:dyDescent="0.2">
      <c r="A4172" s="5">
        <v>4111</v>
      </c>
      <c r="B4172" s="138">
        <f>'Short-Term Long-Term Debt 24'!J49</f>
        <v>85850000</v>
      </c>
      <c r="C4172" s="2" t="s">
        <v>572</v>
      </c>
      <c r="D4172" s="2" t="str">
        <f t="shared" si="64"/>
        <v>Error?</v>
      </c>
    </row>
    <row r="4173" spans="1:4" x14ac:dyDescent="0.2">
      <c r="A4173" s="5">
        <v>4112</v>
      </c>
      <c r="B4173" s="138">
        <f>'Short-Term Long-Term Debt 24'!H49</f>
        <v>9225000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1692.7</v>
      </c>
      <c r="C4265" s="2" t="s">
        <v>572</v>
      </c>
      <c r="D4265" s="2" t="str">
        <f t="shared" si="65"/>
        <v>Error?</v>
      </c>
      <c r="E4265" s="128"/>
    </row>
    <row r="4266" spans="1:5" x14ac:dyDescent="0.2">
      <c r="A4266" s="12">
        <v>4205</v>
      </c>
      <c r="B4266" s="138">
        <f>('FP Info 3'!F10)*100000</f>
        <v>145.1</v>
      </c>
      <c r="C4266" s="2" t="s">
        <v>572</v>
      </c>
      <c r="D4266" s="2" t="str">
        <f t="shared" si="65"/>
        <v>Error?</v>
      </c>
      <c r="E4266" s="128"/>
    </row>
    <row r="4267" spans="1:5" x14ac:dyDescent="0.2">
      <c r="A4267" s="12">
        <v>4206</v>
      </c>
      <c r="B4267" s="138">
        <f>('FP Info 3'!H10)*100000</f>
        <v>29.1</v>
      </c>
      <c r="C4267" s="2" t="s">
        <v>572</v>
      </c>
      <c r="D4267" s="2" t="str">
        <f t="shared" si="65"/>
        <v>Error?</v>
      </c>
      <c r="E4267" s="128"/>
    </row>
    <row r="4268" spans="1:5" x14ac:dyDescent="0.2">
      <c r="A4268" s="12">
        <v>4207</v>
      </c>
      <c r="B4268" s="138">
        <f>('FP Info 3'!J10)*100000</f>
        <v>1867</v>
      </c>
      <c r="C4268" s="2" t="s">
        <v>572</v>
      </c>
      <c r="D4268" s="2" t="str">
        <f t="shared" si="65"/>
        <v>Error?</v>
      </c>
    </row>
    <row r="4269" spans="1:5" x14ac:dyDescent="0.2">
      <c r="A4269" s="12">
        <v>4208</v>
      </c>
      <c r="B4269" s="138">
        <f>'FP Info 3'!J16</f>
        <v>86587605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2200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21860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16768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55744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5403654969</v>
      </c>
      <c r="D4995" s="2" t="str">
        <f t="shared" si="77"/>
        <v>Error?</v>
      </c>
    </row>
    <row r="4996" spans="1:4" x14ac:dyDescent="0.2">
      <c r="A4996" s="12">
        <v>4935</v>
      </c>
      <c r="B4996" s="138">
        <f>'FP Info 3'!H31</f>
        <v>372852192.861</v>
      </c>
      <c r="D4996" s="2" t="str">
        <f t="shared" si="77"/>
        <v>Error?</v>
      </c>
    </row>
    <row r="4997" spans="1:4" x14ac:dyDescent="0.2">
      <c r="A4997" s="12">
        <v>4936</v>
      </c>
      <c r="B4997" s="138">
        <f>'FP Info 3'!H37</f>
        <v>93170000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3021097</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3021097</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88422599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88422599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734950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591944</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1326894</v>
      </c>
      <c r="C5087" s="2" t="s">
        <v>572</v>
      </c>
      <c r="D5087" s="2" t="str">
        <f t="shared" si="78"/>
        <v>Error?</v>
      </c>
    </row>
    <row r="5088" spans="1:4" x14ac:dyDescent="0.2">
      <c r="A5088" s="5">
        <v>5027</v>
      </c>
      <c r="B5088" s="138">
        <f>'Revenues 9-14'!C65</f>
        <v>2101226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2101226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381910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1153170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1153170</v>
      </c>
      <c r="C5102" s="2" t="s">
        <v>572</v>
      </c>
      <c r="D5102" s="2" t="str">
        <f t="shared" si="78"/>
        <v>Error?</v>
      </c>
    </row>
    <row r="5103" spans="1:4" x14ac:dyDescent="0.2">
      <c r="A5103" s="5">
        <v>5042</v>
      </c>
      <c r="B5103" s="138">
        <f>'Revenues 9-14'!C84</f>
        <v>81158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81158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439857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54242</v>
      </c>
      <c r="D5119" s="2" t="str">
        <f t="shared" ref="D5119:D5182" si="79">IF(ISBLANK(B5119),"OK",IF(A5119-B5119=0,"OK","Error?"))</f>
        <v>Error?</v>
      </c>
    </row>
    <row r="5120" spans="1:4" x14ac:dyDescent="0.2">
      <c r="A5120" s="5">
        <v>5059</v>
      </c>
      <c r="B5120" s="138">
        <f>'Revenues 9-14'!C108</f>
        <v>494099</v>
      </c>
      <c r="C5120" s="2" t="s">
        <v>572</v>
      </c>
      <c r="D5120" s="2" t="str">
        <f t="shared" si="79"/>
        <v>Error?</v>
      </c>
    </row>
    <row r="5121" spans="1:4" x14ac:dyDescent="0.2">
      <c r="A5121" s="5">
        <v>5060</v>
      </c>
      <c r="B5121" s="138">
        <f>'Revenues 9-14'!C109</f>
        <v>93961056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2407448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2407448</v>
      </c>
      <c r="C5132" s="2" t="s">
        <v>572</v>
      </c>
      <c r="D5132" s="2" t="str">
        <f t="shared" si="79"/>
        <v>Error?</v>
      </c>
    </row>
    <row r="5133" spans="1:4" x14ac:dyDescent="0.2">
      <c r="A5133" s="5">
        <v>5072</v>
      </c>
      <c r="B5133" s="138">
        <f>'Revenues 9-14'!C125</f>
        <v>136247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59894</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196141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54199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54199</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23617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290725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2698173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857915</v>
      </c>
      <c r="D5278" s="2" t="str">
        <f t="shared" si="81"/>
        <v>Error?</v>
      </c>
    </row>
    <row r="5279" spans="1:4" x14ac:dyDescent="0.2">
      <c r="A5279" s="5">
        <v>5218</v>
      </c>
      <c r="B5279" s="138">
        <f>'Revenues 9-14'!C214</f>
        <v>1519373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2377288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73255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73255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2530616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2530616</v>
      </c>
      <c r="C5326" s="2" t="s">
        <v>572</v>
      </c>
      <c r="D5326" s="2" t="str">
        <f t="shared" si="82"/>
        <v>Error?</v>
      </c>
    </row>
    <row r="5327" spans="1:5" x14ac:dyDescent="0.2">
      <c r="A5327" s="5">
        <v>5266</v>
      </c>
      <c r="B5327" s="138">
        <f>'Revenues 9-14'!C268</f>
        <v>99189845</v>
      </c>
      <c r="C5327" s="2" t="s">
        <v>572</v>
      </c>
      <c r="D5327" s="2" t="str">
        <f t="shared" si="82"/>
        <v>Error?</v>
      </c>
    </row>
    <row r="5328" spans="1:5" x14ac:dyDescent="0.2">
      <c r="A5328" s="5">
        <v>5267</v>
      </c>
      <c r="B5328" s="138">
        <f>'Revenues 9-14'!D5</f>
        <v>7618722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7618722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1053477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1053477</v>
      </c>
      <c r="C5339" s="2" t="s">
        <v>572</v>
      </c>
      <c r="D5339" s="2" t="str">
        <f t="shared" si="82"/>
        <v>Error?</v>
      </c>
    </row>
    <row r="5340" spans="1:4" x14ac:dyDescent="0.2">
      <c r="A5340" s="5">
        <v>5279</v>
      </c>
      <c r="B5340" s="138">
        <f>'Revenues 9-14'!D65</f>
        <v>156306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156306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332711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134684</v>
      </c>
      <c r="D5354" s="2" t="str">
        <f t="shared" si="82"/>
        <v>Error?</v>
      </c>
    </row>
    <row r="5355" spans="1:4" x14ac:dyDescent="0.2">
      <c r="A5355" s="5">
        <v>5294</v>
      </c>
      <c r="B5355" s="138">
        <f>'Revenues 9-14'!D108</f>
        <v>467395</v>
      </c>
      <c r="C5355" s="2" t="s">
        <v>572</v>
      </c>
      <c r="D5355" s="2" t="str">
        <f t="shared" si="82"/>
        <v>Error?</v>
      </c>
    </row>
    <row r="5356" spans="1:4" x14ac:dyDescent="0.2">
      <c r="A5356" s="5">
        <v>5295</v>
      </c>
      <c r="B5356" s="138">
        <f>'Revenues 9-14'!D109</f>
        <v>9295900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9295900</v>
      </c>
      <c r="C5508" s="2" t="s">
        <v>572</v>
      </c>
      <c r="D5508" s="2" t="str">
        <f t="shared" si="85"/>
        <v>Error?</v>
      </c>
    </row>
    <row r="5509" spans="1:4" x14ac:dyDescent="0.2">
      <c r="A5509" s="5">
        <v>5448</v>
      </c>
      <c r="B5509" s="138">
        <f>'Revenues 9-14'!E5</f>
        <v>9742107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9742107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678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678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2436580</v>
      </c>
      <c r="D5525" s="2" t="str">
        <f t="shared" si="85"/>
        <v>Error?</v>
      </c>
    </row>
    <row r="5526" spans="1:4" x14ac:dyDescent="0.2">
      <c r="A5526" s="5">
        <v>5465</v>
      </c>
      <c r="B5526" s="138">
        <f>'Revenues 9-14'!E108</f>
        <v>2436580</v>
      </c>
      <c r="C5526" s="2" t="s">
        <v>572</v>
      </c>
      <c r="D5526" s="2" t="str">
        <f t="shared" si="85"/>
        <v>Error?</v>
      </c>
    </row>
    <row r="5527" spans="1:4" x14ac:dyDescent="0.2">
      <c r="A5527" s="5">
        <v>5466</v>
      </c>
      <c r="B5527" s="138">
        <f>'Revenues 9-14'!E109</f>
        <v>12179365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12179365</v>
      </c>
      <c r="C5552" s="2" t="s">
        <v>572</v>
      </c>
      <c r="D5552" s="2" t="str">
        <f t="shared" si="85"/>
        <v>Error?</v>
      </c>
    </row>
    <row r="5553" spans="1:4" x14ac:dyDescent="0.2">
      <c r="A5553" s="5">
        <v>5492</v>
      </c>
      <c r="B5553" s="138">
        <f>'Revenues 9-14'!F5</f>
        <v>1478066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1478066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310848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310848</v>
      </c>
      <c r="C5579" s="2" t="s">
        <v>572</v>
      </c>
      <c r="D5579" s="2" t="str">
        <f t="shared" si="86"/>
        <v>Error?</v>
      </c>
    </row>
    <row r="5580" spans="1:4" x14ac:dyDescent="0.2">
      <c r="A5580" s="5">
        <v>5519</v>
      </c>
      <c r="B5580" s="138">
        <f>'Revenues 9-14'!F65</f>
        <v>93081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93081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1881995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769966</v>
      </c>
      <c r="D5617" s="2" t="str">
        <f t="shared" si="86"/>
        <v>Error?</v>
      </c>
    </row>
    <row r="5618" spans="1:5" x14ac:dyDescent="0.2">
      <c r="A5618" s="5">
        <v>5557</v>
      </c>
      <c r="B5618" s="138">
        <f>'Revenues 9-14'!F155</f>
        <v>769966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769966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769966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2651961</v>
      </c>
      <c r="C5720" s="2" t="s">
        <v>572</v>
      </c>
      <c r="D5720" s="2" t="str">
        <f t="shared" si="88"/>
        <v>Error?</v>
      </c>
    </row>
    <row r="5721" spans="1:4" x14ac:dyDescent="0.2">
      <c r="A5721" s="5">
        <v>5660</v>
      </c>
      <c r="B5721" s="138">
        <f>'Revenues 9-14'!G5</f>
        <v>2077163</v>
      </c>
      <c r="D5721" s="2" t="str">
        <f t="shared" si="88"/>
        <v>Error?</v>
      </c>
    </row>
    <row r="5722" spans="1:4" x14ac:dyDescent="0.2">
      <c r="A5722" s="5">
        <v>5661</v>
      </c>
      <c r="B5722" s="138">
        <f>'Revenues 9-14'!G7</f>
        <v>0</v>
      </c>
      <c r="D5722" s="2" t="str">
        <f t="shared" si="88"/>
        <v>Error?</v>
      </c>
    </row>
    <row r="5723" spans="1:4" x14ac:dyDescent="0.2">
      <c r="A5723" s="5">
        <v>5662</v>
      </c>
      <c r="B5723" s="138">
        <f>'Revenues 9-14'!G8</f>
        <v>1979492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4056655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85417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85417</v>
      </c>
      <c r="C5730" s="2" t="s">
        <v>572</v>
      </c>
      <c r="D5730" s="2" t="str">
        <f t="shared" si="88"/>
        <v>Error?</v>
      </c>
    </row>
    <row r="5731" spans="1:4" x14ac:dyDescent="0.2">
      <c r="A5731" s="5">
        <v>5670</v>
      </c>
      <c r="B5731" s="138">
        <f>'Revenues 9-14'!G65</f>
        <v>45000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45000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4187072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67597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67597</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71566</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292463</v>
      </c>
      <c r="D5885" s="2" t="str">
        <f t="shared" si="90"/>
        <v>Error?</v>
      </c>
    </row>
    <row r="5886" spans="1:4" x14ac:dyDescent="0.2">
      <c r="A5886" s="5">
        <v>5825</v>
      </c>
      <c r="B5886" s="138">
        <f>'Revenues 9-14'!H108</f>
        <v>364029</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431626</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96278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96278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96278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2954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2954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2954</v>
      </c>
      <c r="C6023" s="2" t="s">
        <v>572</v>
      </c>
      <c r="D6023" s="2" t="str">
        <f t="shared" si="93"/>
        <v>Error?</v>
      </c>
    </row>
    <row r="6024" spans="1:5" x14ac:dyDescent="0.2">
      <c r="A6024" s="5">
        <v>5963</v>
      </c>
      <c r="B6024" s="138">
        <f>'Revenues 9-14'!G109</f>
        <v>4187072</v>
      </c>
      <c r="C6024" s="2" t="s">
        <v>572</v>
      </c>
      <c r="D6024" s="2" t="str">
        <f t="shared" si="93"/>
        <v>Error?</v>
      </c>
    </row>
    <row r="6025" spans="1:5" x14ac:dyDescent="0.2">
      <c r="A6025" s="5">
        <v>5964</v>
      </c>
      <c r="B6025" s="138">
        <f>'Revenues 9-14'!H109</f>
        <v>431626</v>
      </c>
      <c r="C6025" s="2" t="s">
        <v>572</v>
      </c>
      <c r="D6025" s="2" t="str">
        <f t="shared" si="93"/>
        <v>Error?</v>
      </c>
    </row>
    <row r="6026" spans="1:5" x14ac:dyDescent="0.2">
      <c r="A6026" s="5">
        <v>5965</v>
      </c>
      <c r="B6026" s="138">
        <f>'Revenues 9-14'!I109</f>
        <v>96278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2954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381910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3998.31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356828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176017</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11476</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988885</v>
      </c>
      <c r="D6099" s="2" t="str">
        <f t="shared" si="94"/>
        <v>Error?</v>
      </c>
      <c r="E6099" s="2" t="s">
        <v>190</v>
      </c>
    </row>
    <row r="6100" spans="1:5" x14ac:dyDescent="0.2">
      <c r="A6100">
        <v>6039</v>
      </c>
      <c r="B6100" s="138">
        <f>'Assets-Liab 5-6'!D9</f>
        <v>34683</v>
      </c>
      <c r="D6100" s="2" t="str">
        <f t="shared" si="94"/>
        <v>Error?</v>
      </c>
      <c r="E6100" s="2" t="s">
        <v>190</v>
      </c>
    </row>
    <row r="6101" spans="1:5" x14ac:dyDescent="0.2">
      <c r="A6101">
        <v>6040</v>
      </c>
      <c r="B6101" s="138">
        <f>'Assets-Liab 5-6'!E9</f>
        <v>10280</v>
      </c>
      <c r="D6101" s="2" t="str">
        <f t="shared" si="94"/>
        <v>Error?</v>
      </c>
      <c r="E6101" s="2" t="s">
        <v>190</v>
      </c>
    </row>
    <row r="6102" spans="1:5" x14ac:dyDescent="0.2">
      <c r="A6102">
        <v>6041</v>
      </c>
      <c r="B6102" s="138">
        <f>'Assets-Liab 5-6'!F9</f>
        <v>10283</v>
      </c>
      <c r="D6102" s="2" t="str">
        <f t="shared" si="94"/>
        <v>Error?</v>
      </c>
      <c r="E6102" s="2" t="s">
        <v>190</v>
      </c>
    </row>
    <row r="6103" spans="1:5" x14ac:dyDescent="0.2">
      <c r="A6103">
        <f>A6102+1</f>
        <v>6042</v>
      </c>
      <c r="B6103" s="138">
        <f>'Assets-Liab 5-6'!G9</f>
        <v>7152</v>
      </c>
      <c r="D6103" s="2" t="str">
        <f t="shared" si="94"/>
        <v>Error?</v>
      </c>
      <c r="E6103" s="2" t="s">
        <v>190</v>
      </c>
    </row>
    <row r="6104" spans="1:5" x14ac:dyDescent="0.2">
      <c r="A6104">
        <v>6043</v>
      </c>
      <c r="B6104" s="138">
        <f>'Assets-Liab 5-6'!H9</f>
        <v>6481</v>
      </c>
      <c r="D6104" s="2" t="str">
        <f t="shared" si="94"/>
        <v>Error?</v>
      </c>
      <c r="E6104" s="2" t="s">
        <v>190</v>
      </c>
    </row>
    <row r="6105" spans="1:5" x14ac:dyDescent="0.2">
      <c r="A6105">
        <v>6044</v>
      </c>
      <c r="B6105" s="138">
        <f>'Assets-Liab 5-6'!I9</f>
        <v>14303</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1486294</v>
      </c>
      <c r="D6151" s="2" t="str">
        <f t="shared" si="95"/>
        <v>Error?</v>
      </c>
      <c r="E6151" s="2" t="s">
        <v>190</v>
      </c>
    </row>
    <row r="6152" spans="1:5" x14ac:dyDescent="0.2">
      <c r="A6152">
        <v>6091</v>
      </c>
      <c r="B6152" s="138">
        <f>'Assets-Liab 5-6'!D28</f>
        <v>33231</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100850</v>
      </c>
      <c r="D6154" s="2" t="str">
        <f t="shared" si="95"/>
        <v>Error?</v>
      </c>
      <c r="E6154" s="2" t="s">
        <v>190</v>
      </c>
    </row>
    <row r="6155" spans="1:5" x14ac:dyDescent="0.2">
      <c r="A6155">
        <v>6094</v>
      </c>
      <c r="B6155" s="138">
        <f>'Assets-Liab 5-6'!G28</f>
        <v>9</v>
      </c>
      <c r="D6155" s="2" t="str">
        <f t="shared" si="95"/>
        <v>Error?</v>
      </c>
      <c r="E6155" s="2" t="s">
        <v>190</v>
      </c>
    </row>
    <row r="6156" spans="1:5" x14ac:dyDescent="0.2">
      <c r="A6156">
        <v>6095</v>
      </c>
      <c r="B6156" s="138">
        <f>'Assets-Liab 5-6'!H28</f>
        <v>5247</v>
      </c>
      <c r="D6156" s="2" t="str">
        <f t="shared" si="95"/>
        <v>Error?</v>
      </c>
      <c r="E6156" s="2" t="s">
        <v>190</v>
      </c>
    </row>
    <row r="6157" spans="1:5" x14ac:dyDescent="0.2">
      <c r="A6157">
        <v>6096</v>
      </c>
      <c r="B6157" s="138">
        <f>'Assets-Liab 5-6'!I28</f>
        <v>12202</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6827297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4439695</v>
      </c>
      <c r="D6267" s="2" t="str">
        <f t="shared" si="96"/>
        <v>Error?</v>
      </c>
      <c r="E6267" s="2" t="s">
        <v>190</v>
      </c>
    </row>
    <row r="6268" spans="1:5" x14ac:dyDescent="0.2">
      <c r="A6268">
        <v>6207</v>
      </c>
      <c r="B6268" s="138">
        <f>'Acct Summary 7-8'!D82</f>
        <v>1324770</v>
      </c>
      <c r="D6268" s="2" t="str">
        <f t="shared" si="96"/>
        <v>Error?</v>
      </c>
      <c r="E6268" s="2" t="s">
        <v>190</v>
      </c>
    </row>
    <row r="6269" spans="1:5" x14ac:dyDescent="0.2">
      <c r="A6269">
        <v>6208</v>
      </c>
      <c r="B6269" s="138">
        <f>'Acct Summary 7-8'!E82</f>
        <v>178868</v>
      </c>
      <c r="D6269" s="2" t="str">
        <f t="shared" si="96"/>
        <v>Error?</v>
      </c>
      <c r="E6269" s="2" t="s">
        <v>190</v>
      </c>
    </row>
    <row r="6270" spans="1:5" x14ac:dyDescent="0.2">
      <c r="A6270">
        <v>6209</v>
      </c>
      <c r="B6270" s="138">
        <f>'Acct Summary 7-8'!F82</f>
        <v>269612</v>
      </c>
      <c r="D6270" s="2" t="str">
        <f t="shared" si="96"/>
        <v>Error?</v>
      </c>
      <c r="E6270" s="2" t="s">
        <v>190</v>
      </c>
    </row>
    <row r="6271" spans="1:5" x14ac:dyDescent="0.2">
      <c r="A6271">
        <v>6210</v>
      </c>
      <c r="B6271" s="138">
        <f>'Acct Summary 7-8'!G82</f>
        <v>1141011</v>
      </c>
      <c r="D6271" s="2" t="str">
        <f t="shared" ref="D6271:D6334" si="97">IF(ISBLANK(B6271),"OK",IF(A6271-B6271=0,"OK","Error?"))</f>
        <v>Error?</v>
      </c>
      <c r="E6271" s="2" t="s">
        <v>190</v>
      </c>
    </row>
    <row r="6272" spans="1:5" x14ac:dyDescent="0.2">
      <c r="A6272">
        <v>6211</v>
      </c>
      <c r="B6272" s="138">
        <f>'Acct Summary 7-8'!H82</f>
        <v>-4680353</v>
      </c>
      <c r="D6272" s="2" t="str">
        <f t="shared" si="97"/>
        <v>Error?</v>
      </c>
      <c r="E6272" s="2" t="s">
        <v>190</v>
      </c>
    </row>
    <row r="6273" spans="1:5" x14ac:dyDescent="0.2">
      <c r="A6273">
        <v>6212</v>
      </c>
      <c r="B6273" s="138">
        <f>'Acct Summary 7-8'!I82</f>
        <v>96278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-83955</v>
      </c>
      <c r="D6275" s="2" t="str">
        <f t="shared" si="97"/>
        <v>Error?</v>
      </c>
      <c r="E6275" s="2" t="s">
        <v>190</v>
      </c>
    </row>
    <row r="6276" spans="1:5" x14ac:dyDescent="0.2">
      <c r="A6276">
        <v>6215</v>
      </c>
      <c r="B6276" s="138">
        <f>'Acct Summary 7-8'!C83</f>
        <v>6.1203541700768617E-2</v>
      </c>
      <c r="D6276" s="2" t="str">
        <f t="shared" si="97"/>
        <v>Error?</v>
      </c>
      <c r="E6276" s="2" t="s">
        <v>190</v>
      </c>
    </row>
    <row r="6277" spans="1:5" x14ac:dyDescent="0.2">
      <c r="A6277">
        <v>6216</v>
      </c>
      <c r="B6277" s="138">
        <f>'Acct Summary 7-8'!D83</f>
        <v>0.18851846997745497</v>
      </c>
      <c r="D6277" s="2" t="str">
        <f t="shared" si="97"/>
        <v>Error?</v>
      </c>
      <c r="E6277" s="2" t="s">
        <v>190</v>
      </c>
    </row>
    <row r="6278" spans="1:5" x14ac:dyDescent="0.2">
      <c r="A6278">
        <v>6217</v>
      </c>
      <c r="B6278" s="138">
        <f>'Acct Summary 7-8'!E83</f>
        <v>4.8089608393447135E-2</v>
      </c>
      <c r="D6278" s="2" t="str">
        <f t="shared" si="97"/>
        <v>Error?</v>
      </c>
      <c r="E6278" s="2" t="s">
        <v>190</v>
      </c>
    </row>
    <row r="6279" spans="1:5" x14ac:dyDescent="0.2">
      <c r="A6279">
        <v>6218</v>
      </c>
      <c r="B6279" s="138">
        <f>'Acct Summary 7-8'!F83</f>
        <v>7.5032345126746419E-2</v>
      </c>
      <c r="D6279" s="2" t="str">
        <f t="shared" si="97"/>
        <v>Error?</v>
      </c>
      <c r="E6279" s="2" t="s">
        <v>190</v>
      </c>
    </row>
    <row r="6280" spans="1:5" x14ac:dyDescent="0.2">
      <c r="A6280">
        <v>6219</v>
      </c>
      <c r="B6280" s="138">
        <f>'Acct Summary 7-8'!G83</f>
        <v>0.29819773743014572</v>
      </c>
      <c r="D6280" s="2" t="str">
        <f t="shared" si="97"/>
        <v>Error?</v>
      </c>
      <c r="E6280" s="2" t="s">
        <v>190</v>
      </c>
    </row>
    <row r="6281" spans="1:5" x14ac:dyDescent="0.2">
      <c r="A6281">
        <v>6220</v>
      </c>
      <c r="B6281" s="138">
        <f>'Acct Summary 7-8'!H83</f>
        <v>-1.3777235953283387</v>
      </c>
      <c r="D6281" s="2" t="str">
        <f t="shared" si="97"/>
        <v>Error?</v>
      </c>
      <c r="E6281" s="2" t="s">
        <v>190</v>
      </c>
    </row>
    <row r="6282" spans="1:5" x14ac:dyDescent="0.2">
      <c r="A6282">
        <v>6221</v>
      </c>
      <c r="B6282" s="138">
        <f>'Acct Summary 7-8'!I83</f>
        <v>2.809214812817732E-2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-0.17518106529618338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371416</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146563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3334331</v>
      </c>
      <c r="D6880" s="2" t="str">
        <f t="shared" si="106"/>
        <v>Error?</v>
      </c>
    </row>
    <row r="6881" spans="1:4" x14ac:dyDescent="0.2">
      <c r="A6881">
        <v>6820</v>
      </c>
      <c r="B6881" s="138">
        <f>'Expenditures 15-22'!K22</f>
        <v>3334331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1466</v>
      </c>
      <c r="D7079" s="2" t="str">
        <f t="shared" si="109"/>
        <v>Error?</v>
      </c>
    </row>
    <row r="7080" spans="1:4" x14ac:dyDescent="0.2">
      <c r="A7080">
        <v>7019</v>
      </c>
      <c r="B7080" s="138">
        <f>'Expenditures 15-22'!K226</f>
        <v>1466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135430</v>
      </c>
      <c r="D7263" s="2" t="str">
        <f t="shared" si="112"/>
        <v>Error?</v>
      </c>
    </row>
    <row r="7264" spans="1:4" x14ac:dyDescent="0.2">
      <c r="A7264">
        <f t="shared" si="113"/>
        <v>7203</v>
      </c>
      <c r="B7264" s="138">
        <f>'Expenditures 15-22'!D17</f>
        <v>11070</v>
      </c>
      <c r="D7264" s="2" t="str">
        <f t="shared" si="112"/>
        <v>Error?</v>
      </c>
    </row>
    <row r="7265" spans="1:5" x14ac:dyDescent="0.2">
      <c r="A7265">
        <f t="shared" si="113"/>
        <v>7204</v>
      </c>
      <c r="B7265" s="138">
        <f>'Expenditures 15-22'!E17</f>
        <v>63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12285503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371416</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204755</v>
      </c>
      <c r="D7759" s="2" t="str">
        <f t="shared" si="127"/>
        <v>Error?</v>
      </c>
      <c r="E7759" s="4" t="s">
        <v>1332</v>
      </c>
    </row>
    <row r="7760" spans="1:6" x14ac:dyDescent="0.2">
      <c r="A7760">
        <v>7699</v>
      </c>
      <c r="B7760" s="138">
        <f>'Aud Quest 2'!J90</f>
        <v>204755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2923684</v>
      </c>
      <c r="D7797" s="2" t="str">
        <f t="shared" si="127"/>
        <v>Error?</v>
      </c>
      <c r="E7797" s="4" t="s">
        <v>1899</v>
      </c>
    </row>
    <row r="7798" spans="1:5" x14ac:dyDescent="0.2">
      <c r="A7798">
        <v>7737</v>
      </c>
      <c r="B7798" s="138">
        <f>'Contracts Paid in CY 29'!F142</f>
        <v>357570</v>
      </c>
      <c r="D7798" s="2" t="str">
        <f t="shared" si="127"/>
        <v>Error?</v>
      </c>
      <c r="E7798" s="4" t="s">
        <v>1899</v>
      </c>
    </row>
    <row r="7799" spans="1:5" x14ac:dyDescent="0.2">
      <c r="A7799">
        <v>7738</v>
      </c>
      <c r="B7799" s="138">
        <f>'Contracts Paid in CY 29'!G142</f>
        <v>2566114</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1190</v>
      </c>
      <c r="B2" s="2406"/>
      <c r="C2" s="2406"/>
      <c r="D2" s="2406"/>
      <c r="E2" s="2406"/>
      <c r="F2" s="2406"/>
      <c r="G2" s="2406"/>
      <c r="H2" s="2406"/>
      <c r="I2" s="2406"/>
      <c r="J2" s="2406"/>
      <c r="K2" s="2406"/>
      <c r="L2" s="2406"/>
    </row>
    <row r="3" spans="1:29" ht="13.5" customHeight="1" x14ac:dyDescent="0.2">
      <c r="A3" s="2392" t="s">
        <v>1189</v>
      </c>
      <c r="B3" s="2392"/>
      <c r="C3" s="2392"/>
      <c r="D3" s="2392"/>
      <c r="E3" s="2392"/>
      <c r="F3" s="2392"/>
      <c r="G3" s="2392"/>
      <c r="H3" s="2392"/>
      <c r="I3" s="2392"/>
      <c r="J3" s="2392"/>
      <c r="K3" s="2392"/>
      <c r="L3" s="2392"/>
    </row>
    <row r="4" spans="1:29" ht="13.5" customHeight="1" x14ac:dyDescent="0.2">
      <c r="A4" s="2406" t="s">
        <v>1983</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6" t="str">
        <f>COVER!A17</f>
        <v>New Trier Twp HSD 203</v>
      </c>
      <c r="B7" s="2387"/>
      <c r="C7" s="2387"/>
      <c r="D7" s="2424"/>
      <c r="E7" s="2425">
        <f>COVER!A13</f>
        <v>5016203017</v>
      </c>
      <c r="F7" s="2426"/>
      <c r="G7" s="2393" t="str">
        <f>COVER!T23</f>
        <v>066-03346</v>
      </c>
      <c r="H7" s="2394"/>
      <c r="I7" s="2394"/>
      <c r="J7" s="2394"/>
      <c r="K7" s="2394"/>
      <c r="L7" s="2395"/>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6"/>
      <c r="B9" s="2397"/>
      <c r="C9" s="2397"/>
      <c r="D9" s="2397"/>
      <c r="E9" s="2397"/>
      <c r="F9" s="2398"/>
      <c r="G9" s="2399" t="str">
        <f>COVER!T13</f>
        <v>RSM US LLP</v>
      </c>
      <c r="H9" s="2400"/>
      <c r="I9" s="2400"/>
      <c r="J9" s="2400"/>
      <c r="K9" s="2400"/>
      <c r="L9" s="2401"/>
    </row>
    <row r="10" spans="1:29" ht="13.5" customHeight="1" x14ac:dyDescent="0.2">
      <c r="A10" s="2383" t="str">
        <f>COVER!A38</f>
        <v>Paul Sally</v>
      </c>
      <c r="B10" s="2384"/>
      <c r="C10" s="2384"/>
      <c r="D10" s="2384"/>
      <c r="E10" s="2384"/>
      <c r="F10" s="2385"/>
      <c r="G10" s="2399" t="str">
        <f>COVER!T17</f>
        <v>1 South Wacker Drive, Suite 800</v>
      </c>
      <c r="H10" s="2412"/>
      <c r="I10" s="2412"/>
      <c r="J10" s="2412"/>
      <c r="K10" s="2412"/>
      <c r="L10" s="2413"/>
    </row>
    <row r="11" spans="1:29" ht="13.5" customHeight="1" x14ac:dyDescent="0.2">
      <c r="A11" s="1184" t="s">
        <v>1518</v>
      </c>
      <c r="B11" s="1185"/>
      <c r="C11" s="1186"/>
      <c r="D11" s="1191"/>
      <c r="E11" s="1186"/>
      <c r="F11" s="1190"/>
      <c r="G11" s="2399" t="str">
        <f>COVER!T19</f>
        <v>Chicago</v>
      </c>
      <c r="H11" s="2412"/>
      <c r="I11" s="2412"/>
      <c r="J11" s="2412"/>
      <c r="K11" s="2412"/>
      <c r="L11" s="2413"/>
    </row>
    <row r="12" spans="1:29" ht="13.5" customHeight="1" x14ac:dyDescent="0.2">
      <c r="A12" s="2417" t="s">
        <v>1517</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1519</v>
      </c>
      <c r="H13" s="2408"/>
      <c r="I13" s="2420" t="str">
        <f>COVER!T25</f>
        <v>katie.barry@rsmus.com</v>
      </c>
      <c r="J13" s="2421"/>
      <c r="K13" s="2421"/>
      <c r="L13" s="2422"/>
    </row>
    <row r="14" spans="1:29" ht="13.5" customHeight="1" x14ac:dyDescent="0.2">
      <c r="A14" s="2399" t="str">
        <f>COVER!A19</f>
        <v>7 Happ Road</v>
      </c>
      <c r="B14" s="2412"/>
      <c r="C14" s="2412"/>
      <c r="D14" s="2412"/>
      <c r="E14" s="2412"/>
      <c r="F14" s="2413"/>
      <c r="G14" s="1195" t="s">
        <v>1184</v>
      </c>
      <c r="H14" s="1193"/>
      <c r="I14" s="1193"/>
      <c r="J14" s="1193"/>
      <c r="K14" s="1193"/>
      <c r="L14" s="1194"/>
    </row>
    <row r="15" spans="1:29" ht="13.5" customHeight="1" x14ac:dyDescent="0.2">
      <c r="A15" s="2399" t="str">
        <f>COVER!A21</f>
        <v>Northfield</v>
      </c>
      <c r="B15" s="2412"/>
      <c r="C15" s="2412"/>
      <c r="D15" s="2412"/>
      <c r="E15" s="2412"/>
      <c r="F15" s="2413"/>
      <c r="G15" s="2409" t="str">
        <f>COVER!T15</f>
        <v>Katie Barry</v>
      </c>
      <c r="H15" s="2410"/>
      <c r="I15" s="2410"/>
      <c r="J15" s="2410"/>
      <c r="K15" s="2410"/>
      <c r="L15" s="2411"/>
    </row>
    <row r="16" spans="1:29" ht="12.2" customHeight="1" x14ac:dyDescent="0.2">
      <c r="A16" s="2389">
        <f>COVER!A25</f>
        <v>60093</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1183</v>
      </c>
      <c r="H17" s="1193"/>
      <c r="I17" s="1193"/>
      <c r="J17" s="1193"/>
      <c r="K17" s="1197" t="s">
        <v>1182</v>
      </c>
      <c r="L17" s="1190"/>
      <c r="M17" s="1183"/>
    </row>
    <row r="18" spans="1:13" ht="12.2" customHeight="1" x14ac:dyDescent="0.2">
      <c r="A18" s="2383"/>
      <c r="B18" s="2384"/>
      <c r="C18" s="2384"/>
      <c r="D18" s="2384"/>
      <c r="E18" s="2384"/>
      <c r="F18" s="2385"/>
      <c r="G18" s="2386" t="str">
        <f>COVER!T21</f>
        <v>312-634-3400</v>
      </c>
      <c r="H18" s="2387"/>
      <c r="I18" s="2387"/>
      <c r="J18" s="2387"/>
      <c r="K18" s="2386" t="str">
        <f>COVER!X21</f>
        <v>312-634-5518</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New Trier Twp HSD 203</v>
      </c>
      <c r="B1" s="2423"/>
      <c r="C1" s="2423"/>
      <c r="D1" s="2423"/>
    </row>
    <row r="2" spans="1:11" s="1212" customFormat="1" ht="12.75" x14ac:dyDescent="0.2">
      <c r="A2" s="2428">
        <f>'Single Audit Cover'!E7</f>
        <v>5016203017</v>
      </c>
      <c r="B2" s="2429"/>
      <c r="C2" s="2429"/>
      <c r="D2" s="2429"/>
    </row>
    <row r="3" spans="1:11" s="1212" customFormat="1" ht="12.75" x14ac:dyDescent="0.2">
      <c r="A3" s="2427" t="s">
        <v>1512</v>
      </c>
      <c r="B3" s="2423"/>
      <c r="C3" s="2423"/>
      <c r="D3" s="2423"/>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15" sqref="D1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New Trier Twp HSD 203</v>
      </c>
      <c r="B1" s="2431"/>
      <c r="C1" s="2431"/>
      <c r="D1" s="2431"/>
      <c r="E1" s="2431"/>
    </row>
    <row r="2" spans="1:5" x14ac:dyDescent="0.2">
      <c r="A2" s="2432">
        <f>'Single Audit Cover'!E7</f>
        <v>5016203017</v>
      </c>
      <c r="B2" s="2432"/>
      <c r="C2" s="2432"/>
      <c r="D2" s="2432"/>
      <c r="E2" s="2432"/>
    </row>
    <row r="3" spans="1:5" ht="4.5" customHeight="1" x14ac:dyDescent="0.2"/>
    <row r="4" spans="1:5" x14ac:dyDescent="0.2">
      <c r="A4" s="2431" t="s">
        <v>1244</v>
      </c>
      <c r="B4" s="2431"/>
      <c r="C4" s="2431"/>
      <c r="D4" s="2431"/>
      <c r="E4" s="2431"/>
    </row>
    <row r="5" spans="1:5" x14ac:dyDescent="0.2">
      <c r="A5" s="2434" t="str">
        <f>'Single Audit Cover'!A4</f>
        <v>Year Ending June 30, 2019</v>
      </c>
      <c r="B5" s="2434"/>
      <c r="C5" s="2434"/>
      <c r="D5" s="2434"/>
      <c r="E5" s="2434"/>
    </row>
    <row r="6" spans="1:5" x14ac:dyDescent="0.2">
      <c r="A6" s="2431" t="s">
        <v>1243</v>
      </c>
      <c r="B6" s="2431"/>
      <c r="C6" s="2431"/>
      <c r="D6" s="2431"/>
      <c r="E6" s="2431"/>
    </row>
    <row r="8" spans="1:5" x14ac:dyDescent="0.2">
      <c r="A8" s="1257" t="s">
        <v>1242</v>
      </c>
    </row>
    <row r="10" spans="1:5" x14ac:dyDescent="0.2">
      <c r="A10" s="1258" t="s">
        <v>1241</v>
      </c>
      <c r="B10" s="1259" t="s">
        <v>1240</v>
      </c>
      <c r="C10" s="1259"/>
      <c r="D10" s="1260">
        <f>SUM('Acct Summary 7-8'!C7:K7)</f>
        <v>2530616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-269</v>
      </c>
    </row>
    <row r="19" spans="1:4" ht="13.5" thickBot="1" x14ac:dyDescent="0.25">
      <c r="A19" s="1262" t="s">
        <v>1234</v>
      </c>
      <c r="D19" s="1263">
        <f>SUM(D10:D17)</f>
        <v>2530347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1232</v>
      </c>
      <c r="D32" s="1260">
        <f>SUM(D19:D30)</f>
        <v>2530347</v>
      </c>
    </row>
    <row r="33" spans="1:4" x14ac:dyDescent="0.2">
      <c r="D33" s="1266"/>
    </row>
    <row r="34" spans="1:4" x14ac:dyDescent="0.2">
      <c r="A34" s="317" t="s">
        <v>1231</v>
      </c>
    </row>
    <row r="35" spans="1:4" x14ac:dyDescent="0.2">
      <c r="A35" s="317" t="s">
        <v>1230</v>
      </c>
      <c r="B35" s="1255" t="s">
        <v>1229</v>
      </c>
      <c r="D35" s="1267">
        <f>' SEFA (2)'!F23</f>
        <v>2530347</v>
      </c>
    </row>
    <row r="37" spans="1:4" x14ac:dyDescent="0.2">
      <c r="A37" s="1257" t="s">
        <v>1228</v>
      </c>
    </row>
    <row r="39" spans="1:4" ht="13.35" customHeight="1" x14ac:dyDescent="0.2">
      <c r="A39" s="1264" t="s">
        <v>1227</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1226</v>
      </c>
      <c r="C47" s="1269"/>
      <c r="D47" s="1270">
        <f>SUM(D35:D45)</f>
        <v>2530347</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90" zoomScaleNormal="90" workbookViewId="0">
      <selection activeCell="G20" sqref="G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New Trier Twp HSD 203</v>
      </c>
      <c r="C1" s="2435"/>
      <c r="D1" s="2435"/>
      <c r="E1" s="2435"/>
      <c r="F1" s="2435"/>
      <c r="G1" s="2435"/>
      <c r="H1" s="2435"/>
      <c r="I1" s="2435"/>
      <c r="J1" s="2435"/>
      <c r="K1" s="2435"/>
      <c r="L1" s="2435"/>
      <c r="M1" s="2435"/>
    </row>
    <row r="2" spans="2:14" ht="15" x14ac:dyDescent="0.2">
      <c r="B2" s="2436">
        <f>'Single Audit Cover'!E7</f>
        <v>5016203017</v>
      </c>
      <c r="C2" s="2436"/>
      <c r="D2" s="2436"/>
      <c r="E2" s="2436"/>
      <c r="F2" s="2436"/>
      <c r="G2" s="2436"/>
      <c r="H2" s="2436"/>
      <c r="I2" s="2436"/>
      <c r="J2" s="2436"/>
      <c r="K2" s="2436"/>
      <c r="L2" s="2436"/>
      <c r="M2" s="2436"/>
      <c r="N2" s="1299"/>
    </row>
    <row r="3" spans="2:14" ht="15" x14ac:dyDescent="0.2">
      <c r="B3" s="2437" t="s">
        <v>1218</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2096</v>
      </c>
      <c r="C11" s="1335"/>
      <c r="D11" s="1336"/>
      <c r="E11" s="1337"/>
      <c r="F11" s="1337"/>
      <c r="G11" s="1337"/>
      <c r="H11" s="1337"/>
      <c r="I11" s="1337"/>
      <c r="J11" s="1337"/>
      <c r="K11" s="1337"/>
      <c r="L11" s="1337"/>
      <c r="M11" s="1337"/>
    </row>
    <row r="12" spans="2:14" ht="20.100000000000001" customHeight="1" x14ac:dyDescent="0.2">
      <c r="B12" s="1334" t="s">
        <v>2097</v>
      </c>
      <c r="C12" s="1338"/>
      <c r="D12" s="1339"/>
      <c r="E12" s="1340"/>
      <c r="F12" s="1340"/>
      <c r="G12" s="1340"/>
      <c r="H12" s="1340"/>
      <c r="I12" s="1340"/>
      <c r="J12" s="1340"/>
      <c r="K12" s="1340"/>
      <c r="L12" s="1337"/>
      <c r="M12" s="1340"/>
    </row>
    <row r="13" spans="2:14" ht="20.100000000000001" customHeight="1" x14ac:dyDescent="0.2">
      <c r="B13" s="1334" t="s">
        <v>2098</v>
      </c>
      <c r="C13" s="1338" t="s">
        <v>2099</v>
      </c>
      <c r="D13" s="1339" t="s">
        <v>2100</v>
      </c>
      <c r="E13" s="1340"/>
      <c r="F13" s="1340">
        <v>21860</v>
      </c>
      <c r="G13" s="1340"/>
      <c r="H13" s="1340"/>
      <c r="I13" s="1340">
        <v>21860</v>
      </c>
      <c r="J13" s="1340"/>
      <c r="K13" s="1340"/>
      <c r="L13" s="1337">
        <f t="shared" ref="L13:L25" si="0">+G13+I13+K13</f>
        <v>21860</v>
      </c>
      <c r="M13" s="1340">
        <v>124949</v>
      </c>
    </row>
    <row r="14" spans="2:14" ht="20.100000000000001" customHeight="1" x14ac:dyDescent="0.2">
      <c r="B14" s="1334"/>
      <c r="C14" s="1338"/>
      <c r="D14" s="1339" t="s">
        <v>2101</v>
      </c>
      <c r="E14" s="1340">
        <v>29817</v>
      </c>
      <c r="F14" s="1340"/>
      <c r="G14" s="1340">
        <v>29817</v>
      </c>
      <c r="H14" s="1340"/>
      <c r="I14" s="1340"/>
      <c r="J14" s="1340"/>
      <c r="K14" s="1340"/>
      <c r="L14" s="1337">
        <f t="shared" si="0"/>
        <v>29817</v>
      </c>
      <c r="M14" s="1340">
        <v>81692</v>
      </c>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334" t="s">
        <v>2102</v>
      </c>
      <c r="C16" s="1338"/>
      <c r="D16" s="1339"/>
      <c r="E16" s="1340"/>
      <c r="F16" s="1340"/>
      <c r="G16" s="1340"/>
      <c r="H16" s="1340"/>
      <c r="I16" s="1340"/>
      <c r="J16" s="1340"/>
      <c r="K16" s="1340"/>
      <c r="L16" s="1337"/>
      <c r="M16" s="1340"/>
    </row>
    <row r="17" spans="2:14" ht="20.100000000000001" customHeight="1" x14ac:dyDescent="0.2">
      <c r="B17" s="1334" t="s">
        <v>2103</v>
      </c>
      <c r="C17" s="1338" t="s">
        <v>2104</v>
      </c>
      <c r="D17" s="1339" t="s">
        <v>2105</v>
      </c>
      <c r="E17" s="1340"/>
      <c r="F17" s="1340">
        <v>1122010</v>
      </c>
      <c r="G17" s="1340"/>
      <c r="H17" s="1340"/>
      <c r="I17" s="1340">
        <v>1122010</v>
      </c>
      <c r="J17" s="1340"/>
      <c r="K17" s="1340"/>
      <c r="L17" s="1337">
        <f t="shared" si="0"/>
        <v>1122010</v>
      </c>
      <c r="M17" s="1340" t="s">
        <v>2110</v>
      </c>
    </row>
    <row r="18" spans="2:14" ht="20.100000000000001" customHeight="1" x14ac:dyDescent="0.2">
      <c r="B18" s="1334"/>
      <c r="C18" s="1338"/>
      <c r="D18" s="1339" t="s">
        <v>2106</v>
      </c>
      <c r="E18" s="1340">
        <v>1109458</v>
      </c>
      <c r="F18" s="1340">
        <v>381122</v>
      </c>
      <c r="G18" s="1340">
        <v>1109458</v>
      </c>
      <c r="H18" s="1340"/>
      <c r="I18" s="1340">
        <v>381122</v>
      </c>
      <c r="J18" s="1340"/>
      <c r="K18" s="1340"/>
      <c r="L18" s="1337">
        <f t="shared" si="0"/>
        <v>1490580</v>
      </c>
      <c r="M18" s="1340" t="s">
        <v>2110</v>
      </c>
    </row>
    <row r="19" spans="2:14" ht="20.100000000000001" customHeight="1" x14ac:dyDescent="0.2">
      <c r="B19" s="1334"/>
      <c r="C19" s="1338"/>
      <c r="D19" s="1339" t="s">
        <v>2107</v>
      </c>
      <c r="E19" s="1340"/>
      <c r="F19" s="1340">
        <v>16241</v>
      </c>
      <c r="G19" s="1340"/>
      <c r="H19" s="1340"/>
      <c r="I19" s="1340">
        <v>16241</v>
      </c>
      <c r="J19" s="1340"/>
      <c r="K19" s="1340"/>
      <c r="L19" s="1337">
        <f t="shared" si="0"/>
        <v>16241</v>
      </c>
      <c r="M19" s="1340" t="s">
        <v>2110</v>
      </c>
    </row>
    <row r="20" spans="2:14" ht="20.100000000000001" customHeight="1" x14ac:dyDescent="0.2">
      <c r="B20" s="1334"/>
      <c r="C20" s="1338"/>
      <c r="D20" s="1339" t="s">
        <v>2108</v>
      </c>
      <c r="E20" s="1340">
        <v>390262</v>
      </c>
      <c r="F20" s="1340"/>
      <c r="G20" s="1340">
        <v>390262</v>
      </c>
      <c r="H20" s="1340"/>
      <c r="I20" s="1340"/>
      <c r="J20" s="1340"/>
      <c r="K20" s="1340"/>
      <c r="L20" s="1337">
        <f t="shared" si="0"/>
        <v>390262</v>
      </c>
      <c r="M20" s="1340" t="s">
        <v>2110</v>
      </c>
    </row>
    <row r="21" spans="2:14" ht="20.100000000000001" customHeight="1" x14ac:dyDescent="0.2">
      <c r="B21" s="1334"/>
      <c r="C21" s="1338"/>
      <c r="D21" s="1339" t="s">
        <v>2109</v>
      </c>
      <c r="E21" s="1340">
        <v>6641</v>
      </c>
      <c r="F21" s="1340"/>
      <c r="G21" s="1340">
        <v>6641</v>
      </c>
      <c r="H21" s="1340"/>
      <c r="I21" s="1340"/>
      <c r="J21" s="1340"/>
      <c r="K21" s="1340"/>
      <c r="L21" s="1337">
        <f t="shared" si="0"/>
        <v>6641</v>
      </c>
      <c r="M21" s="1340" t="s">
        <v>2110</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2111</v>
      </c>
      <c r="C23" s="1338"/>
      <c r="D23" s="1339"/>
      <c r="E23" s="1340"/>
      <c r="F23" s="1340"/>
      <c r="G23" s="1340"/>
      <c r="H23" s="1340"/>
      <c r="I23" s="1340"/>
      <c r="J23" s="1340"/>
      <c r="K23" s="1340"/>
      <c r="L23" s="1337"/>
      <c r="M23" s="1340"/>
    </row>
    <row r="24" spans="2:14" ht="20.100000000000001" customHeight="1" x14ac:dyDescent="0.2">
      <c r="B24" s="1334" t="s">
        <v>2112</v>
      </c>
      <c r="C24" s="1338">
        <v>84.173000000000002</v>
      </c>
      <c r="D24" s="1339" t="s">
        <v>2113</v>
      </c>
      <c r="E24" s="1340"/>
      <c r="F24" s="1340">
        <v>857915</v>
      </c>
      <c r="G24" s="1340"/>
      <c r="H24" s="1340"/>
      <c r="I24" s="1340">
        <v>857915</v>
      </c>
      <c r="J24" s="1340"/>
      <c r="K24" s="1340"/>
      <c r="L24" s="1337">
        <f t="shared" si="0"/>
        <v>857915</v>
      </c>
      <c r="M24" s="1340">
        <v>915053</v>
      </c>
    </row>
    <row r="25" spans="2:14" ht="20.100000000000001" customHeight="1" x14ac:dyDescent="0.2">
      <c r="B25" s="1334"/>
      <c r="C25" s="1338"/>
      <c r="D25" s="1339" t="s">
        <v>2114</v>
      </c>
      <c r="E25" s="1340">
        <v>908250</v>
      </c>
      <c r="F25" s="1340"/>
      <c r="G25" s="1340">
        <v>908250</v>
      </c>
      <c r="H25" s="1340"/>
      <c r="I25" s="1340"/>
      <c r="J25" s="1340"/>
      <c r="K25" s="1340"/>
      <c r="L25" s="1337">
        <f t="shared" si="0"/>
        <v>908250</v>
      </c>
      <c r="M25" s="1340">
        <v>913738</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t="s">
        <v>2115</v>
      </c>
      <c r="C27" s="1338"/>
      <c r="D27" s="1339"/>
      <c r="E27" s="1340">
        <f>SUM(E18:E25)</f>
        <v>2414611</v>
      </c>
      <c r="F27" s="1340">
        <f>SUM(F17:F26)</f>
        <v>2377288</v>
      </c>
      <c r="G27" s="1340">
        <f>SUM(G17:G25)</f>
        <v>2414611</v>
      </c>
      <c r="H27" s="1340"/>
      <c r="I27" s="1340">
        <f>SUM(I17:I25)</f>
        <v>2377288</v>
      </c>
      <c r="J27" s="1340"/>
      <c r="K27" s="1340"/>
      <c r="L27" s="1337">
        <f>SUM(L17:L25)</f>
        <v>4791899</v>
      </c>
      <c r="M27" s="1340">
        <f>SUM(M24:M25)</f>
        <v>1828791</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N152"/>
  <sheetViews>
    <sheetView showGridLines="0" zoomScale="90" zoomScaleNormal="90" workbookViewId="0">
      <selection activeCell="I14" sqref="I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New Trier Twp HSD 203</v>
      </c>
      <c r="C1" s="2435"/>
      <c r="D1" s="2435"/>
      <c r="E1" s="2435"/>
      <c r="F1" s="2435"/>
      <c r="G1" s="2435"/>
      <c r="H1" s="2435"/>
      <c r="I1" s="2435"/>
      <c r="J1" s="2435"/>
      <c r="K1" s="2435"/>
      <c r="L1" s="2435"/>
      <c r="M1" s="2435"/>
    </row>
    <row r="2" spans="2:14" ht="15" x14ac:dyDescent="0.2">
      <c r="B2" s="2436">
        <f>'Single Audit Cover'!E7</f>
        <v>5016203017</v>
      </c>
      <c r="C2" s="2436"/>
      <c r="D2" s="2436"/>
      <c r="E2" s="2436"/>
      <c r="F2" s="2436"/>
      <c r="G2" s="2436"/>
      <c r="H2" s="2436"/>
      <c r="I2" s="2436"/>
      <c r="J2" s="2436"/>
      <c r="K2" s="2436"/>
      <c r="L2" s="2436"/>
      <c r="M2" s="2436"/>
      <c r="N2" s="1299"/>
    </row>
    <row r="3" spans="2:14" ht="15" x14ac:dyDescent="0.2">
      <c r="B3" s="2437" t="s">
        <v>1218</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2116</v>
      </c>
      <c r="C11" s="1335"/>
      <c r="D11" s="1336"/>
      <c r="E11" s="1337"/>
      <c r="F11" s="1337"/>
      <c r="G11" s="1337"/>
      <c r="H11" s="1337"/>
      <c r="I11" s="1337"/>
      <c r="J11" s="1337"/>
      <c r="K11" s="1337"/>
      <c r="L11" s="1337"/>
      <c r="M11" s="1337"/>
    </row>
    <row r="12" spans="2:14" ht="20.100000000000001" customHeight="1" x14ac:dyDescent="0.2">
      <c r="B12" s="1334" t="s">
        <v>2117</v>
      </c>
      <c r="C12" s="1338" t="s">
        <v>2118</v>
      </c>
      <c r="D12" s="1339" t="s">
        <v>2119</v>
      </c>
      <c r="E12" s="1340"/>
      <c r="F12" s="1340">
        <v>2200</v>
      </c>
      <c r="G12" s="1340"/>
      <c r="H12" s="1340"/>
      <c r="I12" s="1340">
        <v>2200</v>
      </c>
      <c r="J12" s="1340"/>
      <c r="K12" s="1340"/>
      <c r="L12" s="1337">
        <f t="shared" ref="L12:L23" si="0">+G12+I12+K12</f>
        <v>2200</v>
      </c>
      <c r="M12" s="1340" t="s">
        <v>2110</v>
      </c>
    </row>
    <row r="13" spans="2:14" ht="20.100000000000001" customHeight="1" x14ac:dyDescent="0.2">
      <c r="B13" s="1334"/>
      <c r="C13" s="1338"/>
      <c r="D13" s="1339" t="s">
        <v>2120</v>
      </c>
      <c r="E13" s="1340">
        <v>701</v>
      </c>
      <c r="F13" s="1340"/>
      <c r="G13" s="1340">
        <v>701</v>
      </c>
      <c r="H13" s="1340"/>
      <c r="I13" s="1340"/>
      <c r="J13" s="1340"/>
      <c r="K13" s="1340"/>
      <c r="L13" s="1337">
        <f t="shared" si="0"/>
        <v>701</v>
      </c>
      <c r="M13" s="1340" t="s">
        <v>2110</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2121</v>
      </c>
      <c r="C15" s="1338">
        <v>84.048000000000002</v>
      </c>
      <c r="D15" s="1339" t="s">
        <v>2122</v>
      </c>
      <c r="E15" s="1340"/>
      <c r="F15" s="1340">
        <v>73255</v>
      </c>
      <c r="G15" s="1340"/>
      <c r="H15" s="1340"/>
      <c r="I15" s="1340">
        <v>55447</v>
      </c>
      <c r="J15" s="1340"/>
      <c r="K15" s="1340"/>
      <c r="L15" s="1337">
        <f t="shared" si="0"/>
        <v>55447</v>
      </c>
      <c r="M15" s="1340">
        <v>55447</v>
      </c>
    </row>
    <row r="16" spans="2:14" ht="20.100000000000001" customHeight="1" x14ac:dyDescent="0.2">
      <c r="B16" s="1334" t="s">
        <v>2127</v>
      </c>
      <c r="C16" s="1338"/>
      <c r="D16" s="1339" t="s">
        <v>2123</v>
      </c>
      <c r="E16" s="1340">
        <v>56272</v>
      </c>
      <c r="F16" s="1340"/>
      <c r="G16" s="1340">
        <v>56272</v>
      </c>
      <c r="H16" s="1340"/>
      <c r="I16" s="1340"/>
      <c r="J16" s="1340"/>
      <c r="K16" s="1340"/>
      <c r="L16" s="1337">
        <f t="shared" si="0"/>
        <v>56272</v>
      </c>
      <c r="M16" s="1340">
        <v>56272</v>
      </c>
    </row>
    <row r="17" spans="2:14" ht="20.100000000000001" customHeight="1" x14ac:dyDescent="0.2">
      <c r="B17" s="1334"/>
      <c r="C17" s="1338"/>
      <c r="D17" s="1339" t="s">
        <v>2124</v>
      </c>
      <c r="E17" s="1340">
        <v>2000</v>
      </c>
      <c r="F17" s="1340"/>
      <c r="G17" s="1340"/>
      <c r="H17" s="1340"/>
      <c r="I17" s="1340"/>
      <c r="J17" s="1340"/>
      <c r="K17" s="1340"/>
      <c r="L17" s="1337">
        <f t="shared" si="0"/>
        <v>0</v>
      </c>
      <c r="M17" s="1340">
        <v>59838</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2126</v>
      </c>
      <c r="C19" s="1338"/>
      <c r="D19" s="1339"/>
      <c r="E19" s="1340"/>
      <c r="F19" s="1340"/>
      <c r="G19" s="1340"/>
      <c r="H19" s="1340"/>
      <c r="I19" s="1340"/>
      <c r="J19" s="1340"/>
      <c r="K19" s="1340"/>
      <c r="L19" s="1337"/>
      <c r="M19" s="1340"/>
    </row>
    <row r="20" spans="2:14" ht="20.100000000000001" customHeight="1" x14ac:dyDescent="0.2">
      <c r="B20" s="1334" t="s">
        <v>2128</v>
      </c>
      <c r="C20" s="1338">
        <v>84.126000000000005</v>
      </c>
      <c r="D20" s="1339" t="s">
        <v>2129</v>
      </c>
      <c r="E20" s="1340"/>
      <c r="F20" s="1340">
        <v>55744</v>
      </c>
      <c r="G20" s="1340"/>
      <c r="H20" s="1340"/>
      <c r="I20" s="1340">
        <v>55744</v>
      </c>
      <c r="J20" s="1340"/>
      <c r="K20" s="1340"/>
      <c r="L20" s="1337">
        <f t="shared" si="0"/>
        <v>55744</v>
      </c>
      <c r="M20" s="1340">
        <v>55744</v>
      </c>
    </row>
    <row r="21" spans="2:14" ht="20.100000000000001" customHeight="1" x14ac:dyDescent="0.2">
      <c r="B21" s="1334"/>
      <c r="C21" s="1338"/>
      <c r="D21" s="1339" t="s">
        <v>2130</v>
      </c>
      <c r="E21" s="1340">
        <v>25988</v>
      </c>
      <c r="F21" s="1340"/>
      <c r="G21" s="1340">
        <v>25988</v>
      </c>
      <c r="H21" s="1340"/>
      <c r="I21" s="1340"/>
      <c r="J21" s="1340"/>
      <c r="K21" s="1340"/>
      <c r="L21" s="1337">
        <f t="shared" si="0"/>
        <v>25988</v>
      </c>
      <c r="M21" s="1340">
        <v>25988</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2131</v>
      </c>
      <c r="C23" s="1338"/>
      <c r="D23" s="1339"/>
      <c r="E23" s="1340">
        <f>SUM(E11:E21,' SEFA'!E27,' SEFA'!E13:E14)</f>
        <v>2529389</v>
      </c>
      <c r="F23" s="1340">
        <f>SUM(F11:F22,' SEFA'!F13:F15,' SEFA'!F27)</f>
        <v>2530347</v>
      </c>
      <c r="G23" s="1340">
        <f>SUM(G11:G22,' SEFA'!G13:G14,' SEFA'!G27)</f>
        <v>2527389</v>
      </c>
      <c r="H23" s="1340"/>
      <c r="I23" s="1340">
        <f>SUM(I11:I20,' SEFA'!I12:I14,' SEFA'!I27)</f>
        <v>2512539</v>
      </c>
      <c r="J23" s="1340"/>
      <c r="K23" s="1340"/>
      <c r="L23" s="1337">
        <f t="shared" si="0"/>
        <v>5039928</v>
      </c>
      <c r="M23" s="1340">
        <f>SUM(M20:M21,M15:M17,' SEFA'!M13:M14,' SEFA'!M27)</f>
        <v>2288721</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110" zoomScaleNormal="110" workbookViewId="0">
      <selection activeCell="E118" sqref="E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1167</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0" t="s">
        <v>1632</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312</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2061</v>
      </c>
      <c r="C53" s="179">
        <v>22</v>
      </c>
      <c r="D53" s="247" t="s">
        <v>1461</v>
      </c>
      <c r="E53" s="248"/>
      <c r="F53" s="249"/>
      <c r="G53" s="249" t="s">
        <v>1460</v>
      </c>
      <c r="H53" s="250">
        <v>34700</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1322</v>
      </c>
      <c r="B70" s="2073"/>
      <c r="C70" s="2073"/>
      <c r="D70" s="2073"/>
      <c r="E70" s="2074"/>
      <c r="F70" s="2074"/>
      <c r="G70" s="2074"/>
      <c r="H70" s="2074"/>
      <c r="I70" s="207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1319</v>
      </c>
      <c r="B83" s="2075"/>
      <c r="C83" s="2075"/>
      <c r="D83" s="207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v>176017</v>
      </c>
      <c r="H88" s="276">
        <v>28738</v>
      </c>
      <c r="I88" s="276"/>
      <c r="J88" s="277">
        <f>SUM(E88:I88)</f>
        <v>204755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204755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2069</v>
      </c>
      <c r="D114" s="206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1329</v>
      </c>
      <c r="D117" s="2068"/>
      <c r="E117" s="2069"/>
      <c r="F117" s="2069"/>
      <c r="G117" s="2069"/>
      <c r="H117" s="2069"/>
      <c r="I117" s="304"/>
    </row>
    <row r="118" spans="1:9" s="181" customFormat="1" ht="24" customHeight="1" x14ac:dyDescent="0.2">
      <c r="A118" s="316"/>
      <c r="B118" s="316"/>
      <c r="C118" s="316"/>
      <c r="D118" s="323" t="s">
        <v>2166</v>
      </c>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zoomScale="120" zoomScaleNormal="120" workbookViewId="0">
      <selection activeCell="B8" sqref="B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New Trier Twp HSD 203</v>
      </c>
      <c r="B1" s="2440"/>
      <c r="C1" s="2440"/>
      <c r="D1" s="2440"/>
      <c r="E1" s="2440"/>
      <c r="F1" s="2440"/>
    </row>
    <row r="2" spans="1:7" ht="13.5" customHeight="1" x14ac:dyDescent="0.2">
      <c r="A2" s="2436">
        <f>'Single Audit Cover'!E7</f>
        <v>5016203017</v>
      </c>
      <c r="B2" s="2436"/>
      <c r="C2" s="2436"/>
      <c r="D2" s="2436"/>
      <c r="E2" s="2436"/>
      <c r="F2" s="2436"/>
      <c r="G2" s="1272"/>
    </row>
    <row r="3" spans="1:7" ht="15.75" customHeight="1" x14ac:dyDescent="0.2">
      <c r="A3" s="2441" t="s">
        <v>1270</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1727</v>
      </c>
      <c r="C6" s="317"/>
      <c r="D6" s="317"/>
    </row>
    <row r="7" spans="1:7" ht="60.95" customHeight="1" x14ac:dyDescent="0.2">
      <c r="A7" s="2439" t="s">
        <v>2137</v>
      </c>
      <c r="B7" s="2439"/>
      <c r="C7" s="2439"/>
      <c r="D7" s="2439"/>
      <c r="E7" s="2439"/>
      <c r="F7" s="243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2061</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9" t="s">
        <v>2138</v>
      </c>
      <c r="B13" s="2439"/>
      <c r="C13" s="2439"/>
      <c r="D13" s="2439"/>
      <c r="E13" s="2439"/>
      <c r="F13" s="2439"/>
    </row>
    <row r="14" spans="1:7" ht="9.75" customHeight="1" x14ac:dyDescent="0.2">
      <c r="C14" s="1257"/>
      <c r="D14" s="1257"/>
    </row>
    <row r="15" spans="1:7" ht="13.5" customHeight="1" x14ac:dyDescent="0.2">
      <c r="C15" s="1846" t="s">
        <v>1269</v>
      </c>
      <c r="D15" s="2444" t="s">
        <v>1268</v>
      </c>
      <c r="E15" s="2444"/>
      <c r="F15" s="2444"/>
    </row>
    <row r="16" spans="1:7" ht="13.5" customHeight="1" x14ac:dyDescent="0.2">
      <c r="A16" s="1279"/>
      <c r="B16" s="1273" t="s">
        <v>1267</v>
      </c>
      <c r="C16" s="1846" t="s">
        <v>1266</v>
      </c>
      <c r="D16" s="2445" t="s">
        <v>1587</v>
      </c>
      <c r="E16" s="2445"/>
      <c r="F16" s="2445"/>
    </row>
    <row r="17" spans="1:6" ht="20.45" customHeight="1" x14ac:dyDescent="0.2">
      <c r="A17" s="1280"/>
      <c r="B17" s="1281" t="s">
        <v>2095</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7" t="s">
        <v>2136</v>
      </c>
      <c r="B32" s="2447"/>
      <c r="C32" s="2447"/>
      <c r="D32" s="2447"/>
      <c r="E32" s="2447"/>
      <c r="F32" s="2447"/>
    </row>
    <row r="33" spans="1:6" ht="13.5" customHeight="1" x14ac:dyDescent="0.2">
      <c r="A33" s="328" t="s">
        <v>1433</v>
      </c>
      <c r="B33" s="328"/>
      <c r="C33" s="1285">
        <v>0</v>
      </c>
      <c r="D33" s="1903"/>
      <c r="E33" s="1283"/>
    </row>
    <row r="34" spans="1:6" ht="13.5" customHeight="1" x14ac:dyDescent="0.2">
      <c r="A34" s="328" t="s">
        <v>1834</v>
      </c>
      <c r="B34" s="328"/>
      <c r="C34" s="1286">
        <v>0</v>
      </c>
      <c r="D34" s="1903" t="s">
        <v>1588</v>
      </c>
      <c r="E34" s="2448">
        <f>+C33+C34</f>
        <v>0</v>
      </c>
      <c r="F34" s="2449"/>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t="s">
        <v>382</v>
      </c>
      <c r="D38" s="1903"/>
      <c r="E38" s="1283"/>
    </row>
    <row r="39" spans="1:6" ht="14.25" customHeight="1" x14ac:dyDescent="0.2">
      <c r="A39" s="328"/>
      <c r="B39" s="328" t="s">
        <v>1435</v>
      </c>
      <c r="C39" s="1289" t="s">
        <v>382</v>
      </c>
      <c r="D39" s="1903"/>
      <c r="E39" s="1283"/>
    </row>
    <row r="40" spans="1:6" ht="14.25" customHeight="1" x14ac:dyDescent="0.2">
      <c r="A40" s="328"/>
      <c r="B40" s="328" t="s">
        <v>1436</v>
      </c>
      <c r="C40" s="1289" t="s">
        <v>382</v>
      </c>
      <c r="D40" s="1903"/>
      <c r="E40" s="1283"/>
    </row>
    <row r="41" spans="1:6" ht="14.25" customHeight="1" x14ac:dyDescent="0.2">
      <c r="A41" s="328"/>
      <c r="B41" s="328" t="s">
        <v>1437</v>
      </c>
      <c r="C41" s="1289" t="s">
        <v>382</v>
      </c>
      <c r="D41" s="1903"/>
      <c r="E41" s="1283"/>
    </row>
    <row r="42" spans="1:6" ht="14.25" customHeight="1" x14ac:dyDescent="0.2">
      <c r="A42" s="328" t="s">
        <v>1438</v>
      </c>
      <c r="B42" s="328"/>
      <c r="C42" s="1901" t="s">
        <v>382</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1589</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1550</v>
      </c>
      <c r="C51" s="2446"/>
      <c r="D51" s="2446"/>
    </row>
    <row r="52" spans="1:5" ht="14.25" customHeight="1" x14ac:dyDescent="0.2">
      <c r="A52" s="1298"/>
      <c r="B52" s="2446"/>
      <c r="C52" s="2446"/>
      <c r="D52" s="24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3"/>
  <sheetViews>
    <sheetView showGridLines="0" zoomScale="110" zoomScaleNormal="110" workbookViewId="0">
      <selection activeCell="D20" sqref="D2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New Trier Twp HSD 203</v>
      </c>
      <c r="C1" s="2456"/>
      <c r="D1" s="2456"/>
      <c r="E1" s="2456"/>
      <c r="F1" s="2456"/>
      <c r="G1" s="2456"/>
      <c r="H1" s="2456"/>
      <c r="I1" s="2456"/>
      <c r="J1" s="1406"/>
    </row>
    <row r="2" spans="2:10" s="317" customFormat="1" ht="12.75" customHeight="1" x14ac:dyDescent="0.2">
      <c r="B2" s="2457">
        <f>'Single Audit Cover'!E7</f>
        <v>5016203017</v>
      </c>
      <c r="C2" s="2458"/>
      <c r="D2" s="2458"/>
      <c r="E2" s="2458"/>
      <c r="F2" s="2458"/>
      <c r="G2" s="2458"/>
      <c r="H2" s="2458"/>
      <c r="I2" s="2458"/>
      <c r="J2" s="1406"/>
    </row>
    <row r="3" spans="2:10" s="317" customFormat="1" ht="12.75" customHeight="1" x14ac:dyDescent="0.2">
      <c r="B3" s="2459" t="s">
        <v>1284</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1283</v>
      </c>
      <c r="C7" s="2460"/>
      <c r="D7" s="2460"/>
      <c r="E7" s="2460"/>
      <c r="F7" s="2460"/>
      <c r="G7" s="2460"/>
      <c r="H7" s="2460"/>
      <c r="I7" s="2460"/>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1" t="s">
        <v>2132</v>
      </c>
      <c r="D11" s="2461"/>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2133</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2133</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2133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2133</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2133</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2" t="s">
        <v>2132</v>
      </c>
      <c r="E29" s="2462"/>
      <c r="F29" s="2462"/>
      <c r="G29" s="2462"/>
      <c r="H29" s="2462"/>
      <c r="I29" s="2462"/>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2133</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3" t="s">
        <v>1747</v>
      </c>
      <c r="D37" s="2464"/>
      <c r="E37" s="2464"/>
      <c r="F37" s="2465"/>
      <c r="G37" s="2463" t="s">
        <v>1591</v>
      </c>
      <c r="H37" s="2464"/>
      <c r="I37" s="2465"/>
    </row>
    <row r="38" spans="2:9" ht="16.5" customHeight="1" x14ac:dyDescent="0.2">
      <c r="B38" s="1428" t="s">
        <v>2134</v>
      </c>
      <c r="C38" s="2451" t="s">
        <v>2135</v>
      </c>
      <c r="D38" s="2452"/>
      <c r="E38" s="2452"/>
      <c r="F38" s="2453"/>
      <c r="G38" s="2466">
        <f>' SEFA'!I27</f>
        <v>2377288</v>
      </c>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1592</v>
      </c>
      <c r="D43" s="2470"/>
      <c r="E43" s="2470"/>
      <c r="F43" s="2471"/>
      <c r="G43" s="2472">
        <f>SUM(G38:I42)</f>
        <v>2377288</v>
      </c>
      <c r="H43" s="2472"/>
      <c r="I43" s="2472"/>
    </row>
    <row r="44" spans="2:9" ht="12.75" customHeight="1" x14ac:dyDescent="0.2"/>
    <row r="45" spans="2:9" ht="12.75" customHeight="1" x14ac:dyDescent="0.2">
      <c r="B45" s="1419" t="s">
        <v>2058</v>
      </c>
      <c r="D45" s="2473">
        <f>' SEFA (2)'!I23</f>
        <v>2512539</v>
      </c>
      <c r="E45" s="2474"/>
    </row>
    <row r="46" spans="2:9" ht="5.25" customHeight="1" x14ac:dyDescent="0.2">
      <c r="B46" s="1429"/>
      <c r="D46" s="1430"/>
      <c r="E46" s="1431"/>
    </row>
    <row r="47" spans="2:9" ht="12.75" customHeight="1" x14ac:dyDescent="0.2">
      <c r="B47" s="1297" t="s">
        <v>1593</v>
      </c>
      <c r="C47" s="1297"/>
      <c r="D47" s="1432">
        <f>+G43/D45</f>
        <v>0.94616959179539106</v>
      </c>
      <c r="E47" s="1433"/>
      <c r="F47" s="1434"/>
      <c r="I47" s="1435"/>
    </row>
    <row r="48" spans="2:9" ht="9.9499999999999993" customHeight="1" x14ac:dyDescent="0.2"/>
    <row r="49" spans="1:9" x14ac:dyDescent="0.2">
      <c r="B49" s="1365" t="s">
        <v>1272</v>
      </c>
      <c r="C49" s="1279"/>
      <c r="D49" s="1279"/>
      <c r="E49" s="2475">
        <v>750000</v>
      </c>
      <c r="F49" s="2475"/>
      <c r="G49" s="2475"/>
      <c r="H49" s="322"/>
    </row>
    <row r="51" spans="1:9" ht="13.5" customHeight="1" x14ac:dyDescent="0.2">
      <c r="B51" s="1365" t="s">
        <v>1271</v>
      </c>
      <c r="C51" s="1279"/>
      <c r="E51" s="1422" t="s">
        <v>2133</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J16" sqref="J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New Trier Twp HSD 203</v>
      </c>
      <c r="C1" s="2455"/>
      <c r="D1" s="2455"/>
      <c r="E1" s="2455"/>
      <c r="F1" s="2455"/>
      <c r="G1" s="2455"/>
      <c r="H1" s="2455"/>
      <c r="I1" s="2455"/>
      <c r="J1" s="2455"/>
      <c r="K1" s="2455"/>
      <c r="L1" s="1371"/>
      <c r="M1" s="1371"/>
    </row>
    <row r="2" spans="1:13" ht="12" customHeight="1" x14ac:dyDescent="0.2">
      <c r="B2" s="2457">
        <f>'Single Audit Cover'!E7</f>
        <v>5016203017</v>
      </c>
      <c r="C2" s="2457"/>
      <c r="D2" s="2457"/>
      <c r="E2" s="2457"/>
      <c r="F2" s="2457"/>
      <c r="G2" s="2457"/>
      <c r="H2" s="2457"/>
      <c r="I2" s="2457"/>
      <c r="J2" s="2457"/>
      <c r="K2" s="2457"/>
      <c r="L2" s="1372"/>
      <c r="M2" s="1373"/>
    </row>
    <row r="3" spans="1:13" ht="10.35" customHeight="1" x14ac:dyDescent="0.2">
      <c r="B3" s="2478" t="s">
        <v>1284</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1295</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t="s">
        <v>2125</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L48"/>
  <sheetViews>
    <sheetView showGridLines="0" zoomScale="110" zoomScaleNormal="110" workbookViewId="0">
      <selection activeCell="D17" sqref="D17:K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New Trier Twp HSD 203</v>
      </c>
      <c r="C1" s="2482"/>
      <c r="D1" s="2482"/>
      <c r="E1" s="2482"/>
      <c r="F1" s="2482"/>
      <c r="G1" s="2482"/>
      <c r="H1" s="2482"/>
      <c r="I1" s="2482"/>
      <c r="J1" s="2482"/>
      <c r="K1" s="2482"/>
      <c r="L1" s="1449"/>
    </row>
    <row r="2" spans="1:12" ht="12.75" customHeight="1" x14ac:dyDescent="0.2">
      <c r="B2" s="2483">
        <f>'Single Audit Cover'!E7</f>
        <v>5016203017</v>
      </c>
      <c r="C2" s="2483"/>
      <c r="D2" s="2483"/>
      <c r="E2" s="2483"/>
      <c r="F2" s="2483"/>
      <c r="G2" s="2483"/>
      <c r="H2" s="2483"/>
      <c r="I2" s="2483"/>
      <c r="J2" s="2483"/>
      <c r="K2" s="2483"/>
      <c r="L2" s="1450"/>
    </row>
    <row r="3" spans="1:12" ht="12.75" customHeight="1" x14ac:dyDescent="0.2">
      <c r="B3" s="2478" t="s">
        <v>1284</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1168</v>
      </c>
      <c r="C5" s="1257"/>
      <c r="L5" s="322"/>
    </row>
    <row r="6" spans="1:12" ht="30.75" customHeight="1" x14ac:dyDescent="0.2">
      <c r="A6" s="322"/>
      <c r="B6" s="2484" t="s">
        <v>1307</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1985</v>
      </c>
      <c r="D8" s="1452" t="s">
        <v>2125</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5"/>
      <c r="E14" s="2485"/>
      <c r="F14" s="2485"/>
      <c r="H14" s="1459" t="s">
        <v>1302</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6"/>
      <c r="E16" s="2486"/>
      <c r="F16" s="2486"/>
      <c r="G16" s="2486"/>
      <c r="H16" s="2486"/>
      <c r="I16" s="2486"/>
      <c r="J16" s="2486"/>
      <c r="K16" s="2486"/>
      <c r="L16" s="322"/>
    </row>
    <row r="17" spans="2:12" ht="13.5" customHeight="1" x14ac:dyDescent="0.2">
      <c r="B17" s="1384" t="s">
        <v>1300</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E73"/>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New Trier Twp HSD 203</v>
      </c>
      <c r="C1" s="2455"/>
      <c r="D1" s="2455"/>
      <c r="E1" s="1469"/>
    </row>
    <row r="2" spans="2:5" s="1279" customFormat="1" ht="12.75" customHeight="1" x14ac:dyDescent="0.2">
      <c r="B2" s="2457">
        <f>'Single Audit Cover'!E7</f>
        <v>5016203017</v>
      </c>
      <c r="C2" s="2457"/>
      <c r="D2" s="2457"/>
      <c r="E2" s="1470"/>
    </row>
    <row r="3" spans="2:5" ht="12.75" customHeight="1" x14ac:dyDescent="0.2">
      <c r="B3" s="2478" t="s">
        <v>1762</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2095</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H19" sqref="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385</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5403654969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1.6927000000000001E-2</v>
      </c>
      <c r="E10" s="356" t="s">
        <v>1004</v>
      </c>
      <c r="F10" s="355">
        <v>1.451E-3</v>
      </c>
      <c r="G10" s="356" t="s">
        <v>1004</v>
      </c>
      <c r="H10" s="355">
        <v>2.9100000000000003E-4</v>
      </c>
      <c r="I10" s="356" t="s">
        <v>1005</v>
      </c>
      <c r="J10" s="1732">
        <f>ROUND(D10+F10+H10,5)</f>
        <v>1.8669999999999999E-2</v>
      </c>
      <c r="K10" s="222"/>
      <c r="L10" s="355">
        <v>0</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111233984</v>
      </c>
      <c r="E16" s="356"/>
      <c r="F16" s="1733">
        <f>SUM('Acct Summary 7-8'!C17,'Acct Summary 7-8'!D17,'Acct Summary 7-8'!F17)</f>
        <v>101733945</v>
      </c>
      <c r="G16" s="356"/>
      <c r="H16" s="1733">
        <f>SUM(D16-F16)</f>
        <v>9500039</v>
      </c>
      <c r="I16" s="222"/>
      <c r="J16" s="1733">
        <f>SUM('Acct Summary 7-8'!C81,'Acct Summary 7-8'!D81,'Acct Summary 7-8'!F81,'Acct Summary 7-8'!I81)</f>
        <v>86587605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585</v>
      </c>
      <c r="D31" s="237" t="s">
        <v>1071</v>
      </c>
      <c r="E31" s="222"/>
      <c r="F31" s="222"/>
      <c r="G31" s="363"/>
      <c r="H31" s="1735">
        <f>IF(B31="X",(J7*0.069),IF(B32="X",(J7*0.138),"Enter x in a.or b."))</f>
        <v>372852192.861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93170000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F19" sqref="F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555</v>
      </c>
      <c r="B2" s="2105"/>
      <c r="C2" s="2105"/>
      <c r="D2" s="2105"/>
      <c r="E2" s="2105"/>
      <c r="F2" s="2105"/>
      <c r="G2" s="2105"/>
      <c r="H2" s="2105"/>
      <c r="I2" s="2105"/>
      <c r="J2" s="2105"/>
      <c r="K2" s="2105"/>
      <c r="L2" s="2105"/>
      <c r="M2" s="2105"/>
      <c r="N2" s="2105"/>
      <c r="O2" s="2105"/>
      <c r="P2" s="2105"/>
      <c r="Q2" s="2105"/>
      <c r="R2" s="2105"/>
    </row>
    <row r="3" spans="1:18" ht="12.75" x14ac:dyDescent="0.2">
      <c r="A3" s="2106" t="s">
        <v>1412</v>
      </c>
      <c r="B3" s="2106"/>
      <c r="C3" s="2106"/>
      <c r="D3" s="2106"/>
      <c r="E3" s="2106"/>
      <c r="F3" s="2106"/>
      <c r="G3" s="2106"/>
      <c r="H3" s="2106"/>
      <c r="I3" s="2106"/>
      <c r="J3" s="2106"/>
      <c r="K3" s="2106"/>
      <c r="L3" s="2106"/>
      <c r="M3" s="2106"/>
      <c r="N3" s="2106"/>
      <c r="O3" s="2106"/>
      <c r="P3" s="2106"/>
      <c r="Q3" s="2106"/>
      <c r="R3" s="2106"/>
    </row>
    <row r="4" spans="1:18" x14ac:dyDescent="0.2">
      <c r="A4" s="2107" t="s">
        <v>1553</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New Trier Twp HSD 203</v>
      </c>
      <c r="E7" s="391"/>
      <c r="G7" s="252"/>
      <c r="H7" s="387"/>
      <c r="I7" s="387"/>
      <c r="J7" s="387"/>
      <c r="K7" s="387"/>
      <c r="L7" s="329"/>
      <c r="M7" s="329"/>
      <c r="N7" s="329"/>
      <c r="O7" s="329"/>
      <c r="P7" s="329"/>
    </row>
    <row r="8" spans="1:18" ht="12.75" x14ac:dyDescent="0.2">
      <c r="A8" s="329"/>
      <c r="B8" s="329"/>
      <c r="C8" s="389" t="s">
        <v>1124</v>
      </c>
      <c r="D8" s="392">
        <f>COVER!A13</f>
        <v>5016203017</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86587605</v>
      </c>
      <c r="I12" s="404"/>
      <c r="J12" s="404"/>
      <c r="K12" s="405">
        <f>TRUNC((H12/H13*100000),5)/100000</f>
        <v>0.78103553400000003</v>
      </c>
      <c r="L12" s="406"/>
      <c r="M12" s="360" t="s">
        <v>1143</v>
      </c>
      <c r="N12" s="360"/>
      <c r="O12" s="407">
        <v>0.35</v>
      </c>
      <c r="P12" s="218"/>
      <c r="Q12" s="218"/>
    </row>
    <row r="13" spans="1:18" s="408" customFormat="1" ht="12.75" x14ac:dyDescent="0.2">
      <c r="A13" s="218"/>
      <c r="B13" s="401"/>
      <c r="C13" s="2103" t="s">
        <v>1323</v>
      </c>
      <c r="D13" s="2104"/>
      <c r="E13" s="218"/>
      <c r="F13" s="409" t="s">
        <v>792</v>
      </c>
      <c r="G13" s="402"/>
      <c r="H13" s="403">
        <f>SUM('Acct Summary 7-8'!C8+'Acct Summary 7-8'!D8+'Acct Summary 7-8'!F8+'Acct Summary 7-8'!I8)+H14</f>
        <v>110862568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-371416</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101733945</v>
      </c>
      <c r="I17" s="404"/>
      <c r="J17" s="416"/>
      <c r="K17" s="405">
        <f>TRUNC((H17/H18*100000),5)/100000</f>
        <v>0.91765820359999994</v>
      </c>
      <c r="L17" s="406"/>
      <c r="M17" s="417" t="s">
        <v>1170</v>
      </c>
      <c r="O17" s="418" t="str">
        <f>IF(AND(O16="2", J20 &gt; 2),"1",IF(AND(O16 = "1", J20 &gt; 2),"2",IF(AND(O16="1", J20 &gt;1),"1","0")))</f>
        <v>0</v>
      </c>
      <c r="P17" s="218"/>
    </row>
    <row r="18" spans="1:18" s="408" customFormat="1" ht="11.25" x14ac:dyDescent="0.2">
      <c r="A18" s="218"/>
      <c r="B18" s="401"/>
      <c r="C18" s="2103" t="s">
        <v>1316</v>
      </c>
      <c r="D18" s="2104"/>
      <c r="E18" s="218"/>
      <c r="F18" s="419" t="s">
        <v>793</v>
      </c>
      <c r="G18" s="402"/>
      <c r="H18" s="403">
        <f>SUM('Acct Summary 7-8'!C8+'Acct Summary 7-8'!D8+'Acct Summary 7-8'!F8+'Acct Summary 7-8'!I8)+H19</f>
        <v>110862568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-371416</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0" t="s">
        <v>1411</v>
      </c>
      <c r="D24" s="2100"/>
      <c r="E24" s="218"/>
      <c r="F24" s="218" t="s">
        <v>444</v>
      </c>
      <c r="G24" s="402"/>
      <c r="H24" s="403">
        <f>SUM('Assets-Liab 5-6'!C4+'Assets-Liab 5-6'!D4+'Assets-Liab 5-6'!F4+'Assets-Liab 5-6'!I4+'Assets-Liab 5-6'!C5+'Assets-Liab 5-6'!D5+'Assets-Liab 5-6'!F5+'Assets-Liab 5-6'!I5)</f>
        <v>95309288</v>
      </c>
      <c r="I24" s="422"/>
      <c r="J24" s="422"/>
      <c r="K24" s="423">
        <f>TRUNC(((H24/H25*100000)/100000),2)</f>
        <v>337.26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282594.29167000001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85753302.530550003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93170000</v>
      </c>
      <c r="I32" s="420"/>
      <c r="J32" s="420"/>
      <c r="K32" s="423">
        <f>TRUNC(100-((((H32/H33*100))*100)/100),2)</f>
        <v>75.010000000000005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372852192.861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pane="bottomLeft" activeCell="D19" sqref="D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0" t="s">
        <v>972</v>
      </c>
      <c r="B3" s="2111"/>
      <c r="C3" s="1559"/>
      <c r="D3" s="1560"/>
      <c r="E3" s="1560"/>
      <c r="F3" s="1560"/>
      <c r="G3" s="1560"/>
      <c r="H3" s="1560"/>
      <c r="I3" s="1560"/>
      <c r="J3" s="1560"/>
      <c r="K3" s="1560"/>
      <c r="L3" s="1560"/>
      <c r="M3" s="1561"/>
      <c r="N3" s="1562"/>
    </row>
    <row r="4" spans="1:14" ht="13.5" customHeight="1" x14ac:dyDescent="0.2">
      <c r="A4" s="463" t="s">
        <v>1650</v>
      </c>
      <c r="B4" s="464"/>
      <c r="C4" s="465">
        <v>0</v>
      </c>
      <c r="D4" s="466">
        <v>4892750</v>
      </c>
      <c r="E4" s="466">
        <v>2809273</v>
      </c>
      <c r="F4" s="466">
        <v>2810100</v>
      </c>
      <c r="G4" s="466">
        <v>3196743</v>
      </c>
      <c r="H4" s="466">
        <v>2824205</v>
      </c>
      <c r="I4" s="466">
        <v>2176506</v>
      </c>
      <c r="J4" s="467"/>
      <c r="K4" s="466">
        <v>479247</v>
      </c>
      <c r="L4" s="466"/>
      <c r="M4" s="468"/>
      <c r="N4" s="469"/>
    </row>
    <row r="5" spans="1:14" x14ac:dyDescent="0.2">
      <c r="A5" s="463" t="s">
        <v>991</v>
      </c>
      <c r="B5" s="470">
        <v>120</v>
      </c>
      <c r="C5" s="465">
        <f>86247053-5033680</f>
        <v>81213373</v>
      </c>
      <c r="D5" s="466">
        <v>2070293</v>
      </c>
      <c r="E5" s="466">
        <v>897442</v>
      </c>
      <c r="F5" s="466">
        <v>897652</v>
      </c>
      <c r="G5" s="466">
        <v>624307</v>
      </c>
      <c r="H5" s="466">
        <v>565778</v>
      </c>
      <c r="I5" s="466">
        <v>1248614</v>
      </c>
      <c r="J5" s="467"/>
      <c r="K5" s="471"/>
      <c r="L5" s="472"/>
      <c r="M5" s="468"/>
      <c r="N5" s="469"/>
    </row>
    <row r="6" spans="1:14" ht="13.5" customHeight="1" x14ac:dyDescent="0.2">
      <c r="A6" s="473" t="s">
        <v>416</v>
      </c>
      <c r="B6" s="470">
        <v>130</v>
      </c>
      <c r="C6" s="465">
        <v>42351603</v>
      </c>
      <c r="D6" s="466">
        <v>3806013</v>
      </c>
      <c r="E6" s="466">
        <v>4394257</v>
      </c>
      <c r="F6" s="466">
        <v>728086</v>
      </c>
      <c r="G6" s="471">
        <v>1696364</v>
      </c>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356828</v>
      </c>
      <c r="D8" s="467"/>
      <c r="E8" s="467"/>
      <c r="F8" s="467">
        <v>176017</v>
      </c>
      <c r="G8" s="478"/>
      <c r="H8" s="467">
        <v>11476</v>
      </c>
      <c r="I8" s="474"/>
      <c r="J8" s="474"/>
      <c r="K8" s="479"/>
      <c r="L8" s="480"/>
      <c r="M8" s="468"/>
      <c r="N8" s="469"/>
    </row>
    <row r="9" spans="1:14" ht="13.5" customHeight="1" x14ac:dyDescent="0.2">
      <c r="A9" s="473" t="s">
        <v>269</v>
      </c>
      <c r="B9" s="470">
        <v>160</v>
      </c>
      <c r="C9" s="476">
        <f>988885</f>
        <v>988885</v>
      </c>
      <c r="D9" s="467">
        <v>34683</v>
      </c>
      <c r="E9" s="467">
        <v>10280</v>
      </c>
      <c r="F9" s="467">
        <v>10283</v>
      </c>
      <c r="G9" s="467">
        <v>7152</v>
      </c>
      <c r="H9" s="478">
        <v>6481</v>
      </c>
      <c r="I9" s="467">
        <v>14303</v>
      </c>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124910689</v>
      </c>
      <c r="D13" s="1737">
        <f t="shared" ref="D13:L13" si="0">SUM(D4:D12)</f>
        <v>10803739</v>
      </c>
      <c r="E13" s="1737">
        <f t="shared" si="0"/>
        <v>8111252</v>
      </c>
      <c r="F13" s="1737">
        <f t="shared" si="0"/>
        <v>4622138</v>
      </c>
      <c r="G13" s="1737">
        <f t="shared" si="0"/>
        <v>5524566</v>
      </c>
      <c r="H13" s="1737">
        <f t="shared" si="0"/>
        <v>3407940</v>
      </c>
      <c r="I13" s="1737">
        <f t="shared" si="0"/>
        <v>3439423</v>
      </c>
      <c r="J13" s="1737">
        <f t="shared" si="0"/>
        <v>0</v>
      </c>
      <c r="K13" s="1737">
        <f t="shared" si="0"/>
        <v>479247</v>
      </c>
      <c r="L13" s="1737">
        <f t="shared" si="0"/>
        <v>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5170483</v>
      </c>
      <c r="N16" s="484"/>
    </row>
    <row r="17" spans="1:14" s="485" customFormat="1" ht="12.75" customHeight="1" x14ac:dyDescent="0.2">
      <c r="A17" s="482" t="s">
        <v>1402</v>
      </c>
      <c r="B17" s="483">
        <v>230</v>
      </c>
      <c r="C17" s="477"/>
      <c r="D17" s="477"/>
      <c r="E17" s="477"/>
      <c r="F17" s="477"/>
      <c r="G17" s="477"/>
      <c r="H17" s="477"/>
      <c r="I17" s="477"/>
      <c r="J17" s="477"/>
      <c r="K17" s="477"/>
      <c r="L17" s="477"/>
      <c r="M17" s="467">
        <f>229789142-96327939</f>
        <v>133461203</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f>43652003-25540422</f>
        <v>18111581</v>
      </c>
      <c r="N19" s="484"/>
    </row>
    <row r="20" spans="1:14" s="485" customFormat="1" ht="12.75" customHeight="1" x14ac:dyDescent="0.2">
      <c r="A20" s="482" t="s">
        <v>1405</v>
      </c>
      <c r="B20" s="483">
        <v>260</v>
      </c>
      <c r="C20" s="477"/>
      <c r="D20" s="477"/>
      <c r="E20" s="477"/>
      <c r="F20" s="477"/>
      <c r="G20" s="477"/>
      <c r="H20" s="477"/>
      <c r="I20" s="477"/>
      <c r="J20" s="477"/>
      <c r="K20" s="477"/>
      <c r="L20" s="477"/>
      <c r="M20" s="467">
        <v>401100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7320000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85850000</v>
      </c>
    </row>
    <row r="23" spans="1:14" ht="13.5" customHeight="1" thickBot="1" x14ac:dyDescent="0.25">
      <c r="A23" s="1736" t="s">
        <v>642</v>
      </c>
      <c r="B23" s="1741"/>
      <c r="C23" s="468"/>
      <c r="D23" s="468"/>
      <c r="E23" s="468"/>
      <c r="F23" s="468"/>
      <c r="G23" s="468"/>
      <c r="H23" s="468"/>
      <c r="I23" s="468"/>
      <c r="J23" s="468"/>
      <c r="K23" s="468"/>
      <c r="L23" s="468"/>
      <c r="M23" s="1688">
        <f>SUM(M15:M22)</f>
        <v>157144367</v>
      </c>
      <c r="N23" s="1688">
        <f>SUM(N21:N22)</f>
        <v>93170000</v>
      </c>
    </row>
    <row r="24" spans="1:14" ht="18" customHeight="1" thickTop="1" x14ac:dyDescent="0.2">
      <c r="A24" s="2114" t="s">
        <v>597</v>
      </c>
      <c r="B24" s="2115"/>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v>1486294</v>
      </c>
      <c r="D28" s="467">
        <v>33231</v>
      </c>
      <c r="E28" s="474"/>
      <c r="F28" s="467">
        <v>100850</v>
      </c>
      <c r="G28" s="474">
        <f>20-11</f>
        <v>9</v>
      </c>
      <c r="H28" s="474">
        <v>5247</v>
      </c>
      <c r="I28" s="467">
        <v>12202</v>
      </c>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6827297</v>
      </c>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v>44057260</v>
      </c>
      <c r="D32" s="492">
        <v>3743239</v>
      </c>
      <c r="E32" s="474">
        <v>4391779</v>
      </c>
      <c r="F32" s="474">
        <v>928011</v>
      </c>
      <c r="G32" s="474">
        <v>1698200</v>
      </c>
      <c r="H32" s="474">
        <v>5529</v>
      </c>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c r="M33" s="468"/>
      <c r="N33" s="469"/>
    </row>
    <row r="34" spans="1:14" ht="13.5" customHeight="1" thickBot="1" x14ac:dyDescent="0.25">
      <c r="A34" s="1738" t="s">
        <v>653</v>
      </c>
      <c r="B34" s="1739"/>
      <c r="C34" s="1740">
        <f>SUM(C25:C33)</f>
        <v>52370851</v>
      </c>
      <c r="D34" s="1740">
        <f t="shared" ref="D34:K34" si="1">SUM(D25:D33)</f>
        <v>3776470</v>
      </c>
      <c r="E34" s="1740">
        <f t="shared" si="1"/>
        <v>4391779</v>
      </c>
      <c r="F34" s="1740">
        <f t="shared" si="1"/>
        <v>1028861</v>
      </c>
      <c r="G34" s="1740">
        <f t="shared" si="1"/>
        <v>1698209</v>
      </c>
      <c r="H34" s="1740">
        <f t="shared" si="1"/>
        <v>10776</v>
      </c>
      <c r="I34" s="1740">
        <f t="shared" si="1"/>
        <v>12202</v>
      </c>
      <c r="J34" s="1740">
        <f t="shared" si="1"/>
        <v>0</v>
      </c>
      <c r="K34" s="1740">
        <f t="shared" si="1"/>
        <v>0</v>
      </c>
      <c r="L34" s="1721">
        <f>SUM(L33)</f>
        <v>0</v>
      </c>
      <c r="M34" s="468"/>
      <c r="N34" s="480"/>
    </row>
    <row r="35" spans="1:14" ht="18" customHeight="1" thickTop="1" x14ac:dyDescent="0.2">
      <c r="A35" s="2116" t="s">
        <v>528</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93170000</v>
      </c>
    </row>
    <row r="37" spans="1:14" ht="13.5" thickBot="1" x14ac:dyDescent="0.25">
      <c r="A37" s="1736" t="s">
        <v>652</v>
      </c>
      <c r="B37" s="1741"/>
      <c r="C37" s="477"/>
      <c r="D37" s="477"/>
      <c r="E37" s="477"/>
      <c r="F37" s="477"/>
      <c r="G37" s="477"/>
      <c r="H37" s="477"/>
      <c r="I37" s="477"/>
      <c r="J37" s="477"/>
      <c r="K37" s="477"/>
      <c r="L37" s="480"/>
      <c r="M37" s="468"/>
      <c r="N37" s="1688">
        <f>SUM(N36:N36)</f>
        <v>93170000</v>
      </c>
    </row>
    <row r="38" spans="1:14" s="329" customFormat="1" ht="13.5" customHeight="1" thickTop="1" x14ac:dyDescent="0.2">
      <c r="A38" s="496" t="s">
        <v>419</v>
      </c>
      <c r="B38" s="483">
        <v>714</v>
      </c>
      <c r="C38" s="466"/>
      <c r="D38" s="466">
        <v>1179529</v>
      </c>
      <c r="E38" s="466">
        <v>3719473</v>
      </c>
      <c r="F38" s="466">
        <v>3593277</v>
      </c>
      <c r="G38" s="466">
        <v>3826357</v>
      </c>
      <c r="H38" s="466">
        <v>3397164</v>
      </c>
      <c r="I38" s="466"/>
      <c r="J38" s="467"/>
      <c r="K38" s="466">
        <v>479247</v>
      </c>
      <c r="L38" s="481"/>
      <c r="M38" s="497"/>
      <c r="N38" s="497"/>
    </row>
    <row r="39" spans="1:14" s="329" customFormat="1" ht="13.5" customHeight="1" x14ac:dyDescent="0.2">
      <c r="A39" s="496" t="s">
        <v>341</v>
      </c>
      <c r="B39" s="483">
        <v>730</v>
      </c>
      <c r="C39" s="466">
        <f>68100143+4439695</f>
        <v>72539838</v>
      </c>
      <c r="D39" s="466">
        <v>5847740</v>
      </c>
      <c r="E39" s="466">
        <v>0</v>
      </c>
      <c r="F39" s="466">
        <v>0</v>
      </c>
      <c r="G39" s="466">
        <v>0</v>
      </c>
      <c r="H39" s="466">
        <v>0</v>
      </c>
      <c r="I39" s="466">
        <f>3330943+96278</f>
        <v>3427221</v>
      </c>
      <c r="J39" s="467"/>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157144367</v>
      </c>
      <c r="N40" s="497"/>
    </row>
    <row r="41" spans="1:14" ht="13.5" customHeight="1" thickBot="1" x14ac:dyDescent="0.25">
      <c r="A41" s="1736" t="s">
        <v>654</v>
      </c>
      <c r="B41" s="1706"/>
      <c r="C41" s="1688">
        <f>(SUM(C34,C37,C38,C39))</f>
        <v>124910689</v>
      </c>
      <c r="D41" s="1688">
        <f t="shared" ref="D41:L41" si="2">SUM(D34,D37,D38:D39)</f>
        <v>10803739</v>
      </c>
      <c r="E41" s="1688">
        <f t="shared" si="2"/>
        <v>8111252</v>
      </c>
      <c r="F41" s="1688">
        <f t="shared" si="2"/>
        <v>4622138</v>
      </c>
      <c r="G41" s="1688">
        <f t="shared" si="2"/>
        <v>5524566</v>
      </c>
      <c r="H41" s="1688">
        <f t="shared" si="2"/>
        <v>3407940</v>
      </c>
      <c r="I41" s="1688">
        <f t="shared" si="2"/>
        <v>3439423</v>
      </c>
      <c r="J41" s="1688">
        <f t="shared" si="2"/>
        <v>0</v>
      </c>
      <c r="K41" s="1688">
        <f t="shared" si="2"/>
        <v>479247</v>
      </c>
      <c r="L41" s="1688">
        <f t="shared" si="2"/>
        <v>0</v>
      </c>
      <c r="M41" s="1688">
        <f>SUM(M40)</f>
        <v>157144367</v>
      </c>
      <c r="N41" s="1688">
        <f>SUM(N37)</f>
        <v>93170000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3" activePane="bottomLeft" state="frozen"/>
      <selection pane="bottomLeft" activeCell="E19" sqref="E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8" t="s">
        <v>1174</v>
      </c>
      <c r="B3" s="2139"/>
      <c r="C3" s="1573"/>
      <c r="D3" s="1574"/>
      <c r="E3" s="1574"/>
      <c r="F3" s="1574"/>
      <c r="G3" s="1574"/>
      <c r="H3" s="1574"/>
      <c r="I3" s="1574"/>
      <c r="J3" s="1574"/>
      <c r="K3" s="1575"/>
      <c r="L3" s="506"/>
    </row>
    <row r="4" spans="1:13" ht="15.75" customHeight="1" x14ac:dyDescent="0.2">
      <c r="A4" s="1928" t="s">
        <v>1498</v>
      </c>
      <c r="B4" s="1929">
        <v>1000</v>
      </c>
      <c r="C4" s="1742">
        <f>'Revenues 9-14'!C109</f>
        <v>93961056</v>
      </c>
      <c r="D4" s="1742">
        <f>'Revenues 9-14'!D109</f>
        <v>9295900</v>
      </c>
      <c r="E4" s="1742">
        <f>'Revenues 9-14'!E109</f>
        <v>12179365</v>
      </c>
      <c r="F4" s="1742">
        <f>'Revenues 9-14'!F109</f>
        <v>1881995</v>
      </c>
      <c r="G4" s="1742">
        <f>'Revenues 9-14'!G109</f>
        <v>4187072</v>
      </c>
      <c r="H4" s="1742">
        <f>'Revenues 9-14'!H109</f>
        <v>431626</v>
      </c>
      <c r="I4" s="1742">
        <f>'Revenues 9-14'!I109</f>
        <v>96278</v>
      </c>
      <c r="J4" s="1742">
        <f>'Revenues 9-14'!J109</f>
        <v>0</v>
      </c>
      <c r="K4" s="1742">
        <f>'Revenues 9-14'!K109</f>
        <v>2954</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2698173</v>
      </c>
      <c r="D6" s="1743">
        <f>'Revenues 9-14'!D170</f>
        <v>0</v>
      </c>
      <c r="E6" s="1743">
        <f>'Revenues 9-14'!E170</f>
        <v>0</v>
      </c>
      <c r="F6" s="1743">
        <f>'Revenues 9-14'!F170</f>
        <v>769966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2530616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99189845</v>
      </c>
      <c r="D8" s="1688">
        <f t="shared" ref="D8:K8" si="0">SUM(D4:D7)</f>
        <v>9295900</v>
      </c>
      <c r="E8" s="1688">
        <f t="shared" si="0"/>
        <v>12179365</v>
      </c>
      <c r="F8" s="1688">
        <f t="shared" si="0"/>
        <v>2651961</v>
      </c>
      <c r="G8" s="1688">
        <f t="shared" si="0"/>
        <v>4187072</v>
      </c>
      <c r="H8" s="1688">
        <f t="shared" si="0"/>
        <v>431626</v>
      </c>
      <c r="I8" s="1688">
        <f t="shared" si="0"/>
        <v>96278</v>
      </c>
      <c r="J8" s="1688">
        <f t="shared" si="0"/>
        <v>0</v>
      </c>
      <c r="K8" s="1688">
        <f t="shared" si="0"/>
        <v>2954</v>
      </c>
      <c r="L8" s="347"/>
    </row>
    <row r="9" spans="1:13" ht="15.75" thickTop="1" x14ac:dyDescent="0.2">
      <c r="A9" s="514" t="s">
        <v>1652</v>
      </c>
      <c r="B9" s="515">
        <v>3998</v>
      </c>
      <c r="C9" s="481">
        <v>23352516</v>
      </c>
      <c r="D9" s="516"/>
      <c r="E9" s="481"/>
      <c r="F9" s="481"/>
      <c r="G9" s="517"/>
      <c r="H9" s="481"/>
      <c r="I9" s="509" t="s">
        <v>1168</v>
      </c>
      <c r="J9" s="478"/>
      <c r="K9" s="481"/>
      <c r="L9" s="347"/>
    </row>
    <row r="10" spans="1:13" s="519" customFormat="1" ht="13.5" thickBot="1" x14ac:dyDescent="0.25">
      <c r="A10" s="1736" t="s">
        <v>1172</v>
      </c>
      <c r="B10" s="1709"/>
      <c r="C10" s="1688">
        <f>SUM(C8:C9)</f>
        <v>122542361</v>
      </c>
      <c r="D10" s="1688">
        <f t="shared" ref="D10:K10" si="1">SUM(D8:D9)</f>
        <v>9295900</v>
      </c>
      <c r="E10" s="1688">
        <f t="shared" si="1"/>
        <v>12179365</v>
      </c>
      <c r="F10" s="1688">
        <f t="shared" si="1"/>
        <v>2651961</v>
      </c>
      <c r="G10" s="1688">
        <f t="shared" si="1"/>
        <v>4187072</v>
      </c>
      <c r="H10" s="1688">
        <f t="shared" si="1"/>
        <v>431626</v>
      </c>
      <c r="I10" s="1688">
        <f t="shared" si="1"/>
        <v>96278</v>
      </c>
      <c r="J10" s="1688">
        <f t="shared" si="1"/>
        <v>0</v>
      </c>
      <c r="K10" s="1688">
        <f t="shared" si="1"/>
        <v>2954</v>
      </c>
      <c r="L10" s="518"/>
    </row>
    <row r="11" spans="1:13" s="519" customFormat="1" ht="16.7" customHeight="1" thickTop="1" x14ac:dyDescent="0.2">
      <c r="A11" s="2112" t="s">
        <v>1175</v>
      </c>
      <c r="B11" s="2113"/>
      <c r="C11" s="1570"/>
      <c r="D11" s="1571"/>
      <c r="E11" s="1571"/>
      <c r="F11" s="1571"/>
      <c r="G11" s="1571"/>
      <c r="H11" s="1571"/>
      <c r="I11" s="1571"/>
      <c r="J11" s="1571"/>
      <c r="K11" s="1572"/>
      <c r="L11" s="518"/>
    </row>
    <row r="12" spans="1:13" ht="15.75" customHeight="1" x14ac:dyDescent="0.2">
      <c r="A12" s="1576" t="s">
        <v>455</v>
      </c>
      <c r="B12" s="1578">
        <v>1000</v>
      </c>
      <c r="C12" s="1742">
        <f>'Expenditures 15-22'!K33</f>
        <v>60348213</v>
      </c>
      <c r="D12" s="520" t="s">
        <v>1168</v>
      </c>
      <c r="E12" s="468" t="s">
        <v>1168</v>
      </c>
      <c r="F12" s="468" t="s">
        <v>1168</v>
      </c>
      <c r="G12" s="1742">
        <f>'Expenditures 15-22'!K229</f>
        <v>1458087</v>
      </c>
      <c r="H12" s="521"/>
      <c r="I12" s="468" t="s">
        <v>1168</v>
      </c>
      <c r="J12" s="468" t="s">
        <v>1168</v>
      </c>
      <c r="K12" s="521" t="s">
        <v>1168</v>
      </c>
      <c r="L12" s="347"/>
    </row>
    <row r="13" spans="1:13" ht="15.75" customHeight="1" x14ac:dyDescent="0.2">
      <c r="A13" s="1576" t="s">
        <v>456</v>
      </c>
      <c r="B13" s="1578">
        <v>2000</v>
      </c>
      <c r="C13" s="1743">
        <f>'Expenditures 15-22'!K74</f>
        <v>29573667</v>
      </c>
      <c r="D13" s="1743">
        <f>'Expenditures 15-22'!K129</f>
        <v>7497922</v>
      </c>
      <c r="E13" s="469" t="s">
        <v>1168</v>
      </c>
      <c r="F13" s="1743">
        <f>'Expenditures 15-22'!K184</f>
        <v>2396150</v>
      </c>
      <c r="G13" s="1743">
        <f>'Expenditures 15-22'!K279</f>
        <v>1568228</v>
      </c>
      <c r="H13" s="1743">
        <f>'Expenditures 15-22'!K303</f>
        <v>8133076</v>
      </c>
      <c r="I13" s="468" t="s">
        <v>1168</v>
      </c>
      <c r="J13" s="1743">
        <f>'Expenditures 15-22'!K330</f>
        <v>0</v>
      </c>
      <c r="K13" s="1747">
        <f>'Expenditures 15-22'!K352</f>
        <v>86909</v>
      </c>
      <c r="L13" s="347"/>
    </row>
    <row r="14" spans="1:13" ht="15.75" customHeight="1" x14ac:dyDescent="0.2">
      <c r="A14" s="1576" t="s">
        <v>448</v>
      </c>
      <c r="B14" s="1578">
        <v>3000</v>
      </c>
      <c r="C14" s="1743">
        <f>'Expenditures 15-22'!K75</f>
        <v>369349</v>
      </c>
      <c r="D14" s="1743">
        <f>'Expenditures 15-22'!K130</f>
        <v>101792</v>
      </c>
      <c r="E14" s="520" t="s">
        <v>1168</v>
      </c>
      <c r="F14" s="1743">
        <f>'Expenditures 15-22'!K185</f>
        <v>0</v>
      </c>
      <c r="G14" s="1743">
        <f>'Expenditures 15-22'!K280</f>
        <v>19746</v>
      </c>
      <c r="H14" s="512"/>
      <c r="I14" s="468" t="s">
        <v>1168</v>
      </c>
      <c r="J14" s="468" t="s">
        <v>1168</v>
      </c>
      <c r="K14" s="512" t="s">
        <v>1168</v>
      </c>
      <c r="L14" s="347"/>
    </row>
    <row r="15" spans="1:13" ht="15.75" customHeight="1" x14ac:dyDescent="0.2">
      <c r="A15" s="1576" t="s">
        <v>107</v>
      </c>
      <c r="B15" s="1578">
        <v>4000</v>
      </c>
      <c r="C15" s="1743">
        <f>'Expenditures 15-22'!K102</f>
        <v>1446852</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12371913</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91738081</v>
      </c>
      <c r="D17" s="1688">
        <f t="shared" si="2"/>
        <v>7599714</v>
      </c>
      <c r="E17" s="1688">
        <f t="shared" si="2"/>
        <v>12371913</v>
      </c>
      <c r="F17" s="1688">
        <f t="shared" si="2"/>
        <v>2396150</v>
      </c>
      <c r="G17" s="1688">
        <f t="shared" si="2"/>
        <v>3046061</v>
      </c>
      <c r="H17" s="1688">
        <f t="shared" si="2"/>
        <v>8133076</v>
      </c>
      <c r="I17" s="468"/>
      <c r="J17" s="1688">
        <f>SUM(J12:J16)</f>
        <v>0</v>
      </c>
      <c r="K17" s="1688">
        <f>SUM(K12:K16)</f>
        <v>86909</v>
      </c>
      <c r="L17" s="347"/>
    </row>
    <row r="18" spans="1:12" ht="15" customHeight="1" thickTop="1" x14ac:dyDescent="0.2">
      <c r="A18" s="1744" t="s">
        <v>1653</v>
      </c>
      <c r="B18" s="1745">
        <v>4180</v>
      </c>
      <c r="C18" s="1742">
        <f t="shared" ref="C18:H18" si="3">C9</f>
        <v>23352516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115090597</v>
      </c>
      <c r="D19" s="1688">
        <f t="shared" si="4"/>
        <v>7599714</v>
      </c>
      <c r="E19" s="1688">
        <f t="shared" si="4"/>
        <v>12371913</v>
      </c>
      <c r="F19" s="1688">
        <f t="shared" si="4"/>
        <v>2396150</v>
      </c>
      <c r="G19" s="1688">
        <f t="shared" si="4"/>
        <v>3046061</v>
      </c>
      <c r="H19" s="1688">
        <f t="shared" si="4"/>
        <v>8133076</v>
      </c>
      <c r="I19" s="468"/>
      <c r="J19" s="1688">
        <f>SUM(J17:J18)</f>
        <v>0</v>
      </c>
      <c r="K19" s="1688">
        <f>SUM(K17:K18)</f>
        <v>86909</v>
      </c>
      <c r="L19" s="347"/>
    </row>
    <row r="20" spans="1:12" ht="16.5" thickTop="1" thickBot="1" x14ac:dyDescent="0.25">
      <c r="A20" s="2128" t="s">
        <v>1654</v>
      </c>
      <c r="B20" s="2129"/>
      <c r="C20" s="1746">
        <f>C8-C17</f>
        <v>7451764</v>
      </c>
      <c r="D20" s="1746">
        <f t="shared" ref="D20:K20" si="5">D8-D17</f>
        <v>1696186</v>
      </c>
      <c r="E20" s="1746">
        <f t="shared" si="5"/>
        <v>-192548</v>
      </c>
      <c r="F20" s="1746">
        <f t="shared" si="5"/>
        <v>255811</v>
      </c>
      <c r="G20" s="1746">
        <f t="shared" si="5"/>
        <v>1141011</v>
      </c>
      <c r="H20" s="1746">
        <f t="shared" si="5"/>
        <v>-7701450</v>
      </c>
      <c r="I20" s="1746">
        <f t="shared" si="5"/>
        <v>96278</v>
      </c>
      <c r="J20" s="1746">
        <f t="shared" si="5"/>
        <v>0</v>
      </c>
      <c r="K20" s="1746">
        <f t="shared" si="5"/>
        <v>-83955</v>
      </c>
      <c r="L20" s="347"/>
    </row>
    <row r="21" spans="1:12" ht="16.7" customHeight="1" thickTop="1" x14ac:dyDescent="0.2">
      <c r="A21" s="2140" t="s">
        <v>594</v>
      </c>
      <c r="B21" s="2141"/>
      <c r="C21" s="1570"/>
      <c r="D21" s="1571"/>
      <c r="E21" s="1571"/>
      <c r="F21" s="1571"/>
      <c r="G21" s="1571"/>
      <c r="H21" s="1571"/>
      <c r="I21" s="1571"/>
      <c r="J21" s="1571"/>
      <c r="K21" s="1572"/>
      <c r="L21" s="524"/>
    </row>
    <row r="22" spans="1:12" ht="15.75" customHeight="1" collapsed="1" x14ac:dyDescent="0.2">
      <c r="A22" s="2136" t="s">
        <v>595</v>
      </c>
      <c r="B22" s="2137"/>
      <c r="C22" s="477"/>
      <c r="D22" s="477"/>
      <c r="E22" s="477"/>
      <c r="F22" s="477"/>
      <c r="G22" s="477"/>
      <c r="H22" s="477"/>
      <c r="I22" s="477"/>
      <c r="J22" s="477"/>
      <c r="K22" s="477"/>
      <c r="L22" s="347"/>
    </row>
    <row r="23" spans="1:12" s="485" customFormat="1" ht="15.75" customHeight="1" x14ac:dyDescent="0.2">
      <c r="A23" s="2132" t="s">
        <v>292</v>
      </c>
      <c r="B23" s="2133"/>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3021097</v>
      </c>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4" t="s">
        <v>980</v>
      </c>
      <c r="B32" s="2135"/>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v>9028</v>
      </c>
      <c r="D36" s="467"/>
      <c r="E36" s="467"/>
      <c r="F36" s="467">
        <v>13801</v>
      </c>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371416</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v>3021097</v>
      </c>
      <c r="I43" s="467"/>
      <c r="J43" s="467"/>
      <c r="K43" s="467"/>
      <c r="L43" s="524"/>
    </row>
    <row r="44" spans="1:12" s="485" customFormat="1" ht="13.5" customHeight="1" thickBot="1" x14ac:dyDescent="0.25">
      <c r="A44" s="2142" t="s">
        <v>373</v>
      </c>
      <c r="B44" s="2143"/>
      <c r="C44" s="1703">
        <f>SUM(C24:C43)</f>
        <v>9028</v>
      </c>
      <c r="D44" s="1703">
        <f t="shared" ref="D44:K44" si="6">SUM(D24:D43)</f>
        <v>3021097</v>
      </c>
      <c r="E44" s="1703">
        <f t="shared" si="6"/>
        <v>371416</v>
      </c>
      <c r="F44" s="1703">
        <f t="shared" si="6"/>
        <v>13801</v>
      </c>
      <c r="G44" s="1703">
        <f t="shared" si="6"/>
        <v>0</v>
      </c>
      <c r="H44" s="1703">
        <f t="shared" si="6"/>
        <v>3021097</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3021097</v>
      </c>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v>371416</v>
      </c>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v>3021097</v>
      </c>
      <c r="E75" s="530"/>
      <c r="F75" s="532"/>
      <c r="G75" s="532"/>
      <c r="H75" s="532"/>
      <c r="I75" s="530"/>
      <c r="J75" s="530"/>
      <c r="K75" s="532"/>
      <c r="L75" s="524"/>
    </row>
    <row r="76" spans="1:12" s="485" customFormat="1" ht="14.25" thickTop="1" thickBot="1" x14ac:dyDescent="0.25">
      <c r="A76" s="2118" t="s">
        <v>439</v>
      </c>
      <c r="B76" s="2119"/>
      <c r="C76" s="1703">
        <f t="shared" ref="C76:K76" si="7">SUM(C47:C75)</f>
        <v>3021097</v>
      </c>
      <c r="D76" s="1703">
        <f t="shared" si="7"/>
        <v>3392513</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1176</v>
      </c>
      <c r="B77" s="2121"/>
      <c r="C77" s="1703">
        <f t="shared" ref="C77:K77" si="8">C44-C76</f>
        <v>-3012069</v>
      </c>
      <c r="D77" s="1703">
        <f t="shared" si="8"/>
        <v>-371416</v>
      </c>
      <c r="E77" s="1703">
        <f t="shared" si="8"/>
        <v>371416</v>
      </c>
      <c r="F77" s="1703">
        <f t="shared" si="8"/>
        <v>13801</v>
      </c>
      <c r="G77" s="1703">
        <f t="shared" si="8"/>
        <v>0</v>
      </c>
      <c r="H77" s="1703">
        <f t="shared" si="8"/>
        <v>3021097</v>
      </c>
      <c r="I77" s="1703">
        <f t="shared" si="8"/>
        <v>0</v>
      </c>
      <c r="J77" s="1703">
        <f t="shared" si="8"/>
        <v>0</v>
      </c>
      <c r="K77" s="1703">
        <f t="shared" si="8"/>
        <v>0</v>
      </c>
      <c r="L77" s="347"/>
    </row>
    <row r="78" spans="1:12" ht="21.75" customHeight="1" thickTop="1" thickBot="1" x14ac:dyDescent="0.25">
      <c r="A78" s="2124" t="s">
        <v>596</v>
      </c>
      <c r="B78" s="2125"/>
      <c r="C78" s="1702">
        <f t="shared" ref="C78:K78" si="9">C20+C77</f>
        <v>4439695</v>
      </c>
      <c r="D78" s="1702">
        <f t="shared" si="9"/>
        <v>1324770</v>
      </c>
      <c r="E78" s="1702">
        <f t="shared" si="9"/>
        <v>178868</v>
      </c>
      <c r="F78" s="1702">
        <f t="shared" si="9"/>
        <v>269612</v>
      </c>
      <c r="G78" s="1702">
        <f t="shared" si="9"/>
        <v>1141011</v>
      </c>
      <c r="H78" s="1702">
        <f t="shared" si="9"/>
        <v>-4680353</v>
      </c>
      <c r="I78" s="1702">
        <f t="shared" si="9"/>
        <v>96278</v>
      </c>
      <c r="J78" s="1702">
        <f t="shared" si="9"/>
        <v>0</v>
      </c>
      <c r="K78" s="1702">
        <f t="shared" si="9"/>
        <v>-83955</v>
      </c>
      <c r="L78" s="533"/>
    </row>
    <row r="79" spans="1:12" ht="13.5" thickTop="1" x14ac:dyDescent="0.2">
      <c r="A79" s="1494" t="s">
        <v>1943</v>
      </c>
      <c r="B79" s="534"/>
      <c r="C79" s="478">
        <v>68100143</v>
      </c>
      <c r="D79" s="535">
        <v>5702499</v>
      </c>
      <c r="E79" s="535">
        <v>3540605</v>
      </c>
      <c r="F79" s="535">
        <v>3323665</v>
      </c>
      <c r="G79" s="535">
        <v>2685346</v>
      </c>
      <c r="H79" s="535">
        <v>8077517</v>
      </c>
      <c r="I79" s="535">
        <v>3330943</v>
      </c>
      <c r="J79" s="535"/>
      <c r="K79" s="535">
        <v>563202</v>
      </c>
      <c r="L79" s="347"/>
    </row>
    <row r="80" spans="1:12" x14ac:dyDescent="0.2">
      <c r="A80" s="2130" t="s">
        <v>1791</v>
      </c>
      <c r="B80" s="2131"/>
      <c r="C80" s="467"/>
      <c r="D80" s="467"/>
      <c r="E80" s="467"/>
      <c r="F80" s="467"/>
      <c r="G80" s="467"/>
      <c r="H80" s="467"/>
      <c r="I80" s="467"/>
      <c r="J80" s="467"/>
      <c r="K80" s="467"/>
      <c r="L80" s="347"/>
    </row>
    <row r="81" spans="1:12" ht="13.5" thickBot="1" x14ac:dyDescent="0.25">
      <c r="A81" s="2122" t="s">
        <v>1944</v>
      </c>
      <c r="B81" s="2123"/>
      <c r="C81" s="1688">
        <f>(SUM(C78:C80))</f>
        <v>72539838</v>
      </c>
      <c r="D81" s="1688">
        <f>SUM(D78:D80)</f>
        <v>7027269</v>
      </c>
      <c r="E81" s="1688">
        <f t="shared" ref="E81:K81" si="10">SUM(E78:E80)</f>
        <v>3719473</v>
      </c>
      <c r="F81" s="1688">
        <f t="shared" si="10"/>
        <v>3593277</v>
      </c>
      <c r="G81" s="1688">
        <f t="shared" si="10"/>
        <v>3826357</v>
      </c>
      <c r="H81" s="1688">
        <f t="shared" si="10"/>
        <v>3397164</v>
      </c>
      <c r="I81" s="1688">
        <f t="shared" si="10"/>
        <v>3427221</v>
      </c>
      <c r="J81" s="1688">
        <f t="shared" si="10"/>
        <v>0</v>
      </c>
      <c r="K81" s="1688">
        <f t="shared" si="10"/>
        <v>479247</v>
      </c>
      <c r="L81" s="347"/>
    </row>
    <row r="82" spans="1:12" ht="0.75" customHeight="1" thickTop="1" thickBot="1" x14ac:dyDescent="0.25">
      <c r="A82" s="536" t="s">
        <v>342</v>
      </c>
      <c r="B82" s="537"/>
      <c r="C82" s="538">
        <f>(C81-C79)</f>
        <v>4439695</v>
      </c>
      <c r="D82" s="538">
        <f t="shared" ref="D82:K82" si="11">(D81-D79)</f>
        <v>1324770</v>
      </c>
      <c r="E82" s="538">
        <f t="shared" si="11"/>
        <v>178868</v>
      </c>
      <c r="F82" s="538">
        <f t="shared" si="11"/>
        <v>269612</v>
      </c>
      <c r="G82" s="538">
        <f t="shared" si="11"/>
        <v>1141011</v>
      </c>
      <c r="H82" s="538">
        <f t="shared" si="11"/>
        <v>-4680353</v>
      </c>
      <c r="I82" s="538">
        <f t="shared" si="11"/>
        <v>96278</v>
      </c>
      <c r="J82" s="538">
        <f t="shared" si="11"/>
        <v>0</v>
      </c>
      <c r="K82" s="538">
        <f t="shared" si="11"/>
        <v>-83955</v>
      </c>
    </row>
    <row r="83" spans="1:12" ht="14.25" hidden="1" thickTop="1" thickBot="1" x14ac:dyDescent="0.25">
      <c r="A83" s="539" t="s">
        <v>343</v>
      </c>
      <c r="B83" s="464"/>
      <c r="C83" s="540">
        <f>C82/C81</f>
        <v>6.1203541700768617E-2</v>
      </c>
      <c r="D83" s="540">
        <f t="shared" ref="D83:K83" si="12">D82/D81</f>
        <v>0.18851846997745497</v>
      </c>
      <c r="E83" s="540">
        <f t="shared" si="12"/>
        <v>4.8089608393447135E-2</v>
      </c>
      <c r="F83" s="540">
        <f t="shared" si="12"/>
        <v>7.5032345126746419E-2</v>
      </c>
      <c r="G83" s="540">
        <f t="shared" si="12"/>
        <v>0.29819773743014572</v>
      </c>
      <c r="H83" s="540">
        <f t="shared" si="12"/>
        <v>-1.3777235953283387</v>
      </c>
      <c r="I83" s="540">
        <f t="shared" si="12"/>
        <v>2.809214812817732E-2</v>
      </c>
      <c r="J83" s="540" t="e">
        <f t="shared" si="12"/>
        <v>#DIV/0!</v>
      </c>
      <c r="K83" s="540">
        <f t="shared" si="12"/>
        <v>-0.17518106529618338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3" activePane="bottomLeft" state="frozen"/>
      <selection pane="bottomLeft" activeCell="C24" sqref="C2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1798</v>
      </c>
      <c r="B1" s="452"/>
      <c r="C1" s="453" t="s">
        <v>424</v>
      </c>
      <c r="D1" s="453" t="s">
        <v>425</v>
      </c>
      <c r="E1" s="453" t="s">
        <v>426</v>
      </c>
      <c r="F1" s="453" t="s">
        <v>427</v>
      </c>
      <c r="G1" s="453" t="s">
        <v>428</v>
      </c>
      <c r="H1" s="453" t="s">
        <v>429</v>
      </c>
      <c r="I1" s="453" t="s">
        <v>430</v>
      </c>
      <c r="J1" s="453" t="s">
        <v>431</v>
      </c>
      <c r="K1" s="453" t="s">
        <v>755</v>
      </c>
    </row>
    <row r="2" spans="1:12" ht="36" x14ac:dyDescent="0.2">
      <c r="A2" s="212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88422599</v>
      </c>
      <c r="D5" s="481">
        <v>7618722</v>
      </c>
      <c r="E5" s="466">
        <v>9742107</v>
      </c>
      <c r="F5" s="548">
        <v>1478066</v>
      </c>
      <c r="G5" s="466">
        <v>2077163</v>
      </c>
      <c r="H5" s="466"/>
      <c r="I5" s="466"/>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412</v>
      </c>
      <c r="B8" s="470">
        <v>1150</v>
      </c>
      <c r="C8" s="475"/>
      <c r="D8" s="475"/>
      <c r="E8" s="477"/>
      <c r="F8" s="477"/>
      <c r="G8" s="481">
        <v>1979492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88422599</v>
      </c>
      <c r="D12" s="1707">
        <f t="shared" si="0"/>
        <v>7618722</v>
      </c>
      <c r="E12" s="1707">
        <f t="shared" si="0"/>
        <v>9742107</v>
      </c>
      <c r="F12" s="1707">
        <f t="shared" si="0"/>
        <v>1478066</v>
      </c>
      <c r="G12" s="1707">
        <f t="shared" si="0"/>
        <v>4056655</v>
      </c>
      <c r="H12" s="1707">
        <f t="shared" si="0"/>
        <v>0</v>
      </c>
      <c r="I12" s="1707">
        <f t="shared" si="0"/>
        <v>0</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0</v>
      </c>
      <c r="D16" s="466">
        <v>1053477</v>
      </c>
      <c r="E16" s="466"/>
      <c r="F16" s="466"/>
      <c r="G16" s="466">
        <v>85417</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0</v>
      </c>
      <c r="D18" s="1710">
        <f t="shared" ref="D18:K18" si="1">SUM(D14:D17)</f>
        <v>1053477</v>
      </c>
      <c r="E18" s="1710">
        <f t="shared" si="1"/>
        <v>0</v>
      </c>
      <c r="F18" s="1710">
        <f t="shared" si="1"/>
        <v>0</v>
      </c>
      <c r="G18" s="1710">
        <f t="shared" si="1"/>
        <v>85417</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734950</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v>591944</v>
      </c>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1326894</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310848</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310848</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2101226</v>
      </c>
      <c r="D65" s="466">
        <v>156306</v>
      </c>
      <c r="E65" s="466">
        <v>678</v>
      </c>
      <c r="F65" s="467">
        <v>93081</v>
      </c>
      <c r="G65" s="466">
        <v>45000</v>
      </c>
      <c r="H65" s="466">
        <v>67597</v>
      </c>
      <c r="I65" s="466">
        <v>96278</v>
      </c>
      <c r="J65" s="467"/>
      <c r="K65" s="466">
        <v>2954</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2101226</v>
      </c>
      <c r="D67" s="1688">
        <f t="shared" ref="D67:K67" si="2">SUM(D65:D66)</f>
        <v>156306</v>
      </c>
      <c r="E67" s="1688">
        <f t="shared" si="2"/>
        <v>678</v>
      </c>
      <c r="F67" s="1688">
        <f t="shared" si="2"/>
        <v>93081</v>
      </c>
      <c r="G67" s="1688">
        <f t="shared" si="2"/>
        <v>45000</v>
      </c>
      <c r="H67" s="1688">
        <f t="shared" si="2"/>
        <v>67597</v>
      </c>
      <c r="I67" s="1688">
        <f t="shared" si="2"/>
        <v>96278</v>
      </c>
      <c r="J67" s="1688">
        <f t="shared" si="2"/>
        <v>0</v>
      </c>
      <c r="K67" s="1688">
        <f t="shared" si="2"/>
        <v>2954</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381910</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381910</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1153170</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1153170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81158</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81158</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332711</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439857</v>
      </c>
      <c r="D99" s="466"/>
      <c r="E99" s="466"/>
      <c r="F99" s="466"/>
      <c r="G99" s="466"/>
      <c r="H99" s="466">
        <v>71566</v>
      </c>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54242</v>
      </c>
      <c r="D107" s="466">
        <v>134684</v>
      </c>
      <c r="E107" s="466">
        <v>2436580</v>
      </c>
      <c r="F107" s="466"/>
      <c r="G107" s="466"/>
      <c r="H107" s="466">
        <v>292463</v>
      </c>
      <c r="I107" s="466"/>
      <c r="J107" s="467"/>
      <c r="K107" s="466"/>
    </row>
    <row r="108" spans="1:12" ht="12.75" customHeight="1" thickBot="1" x14ac:dyDescent="0.25">
      <c r="A108" s="1708" t="s">
        <v>486</v>
      </c>
      <c r="B108" s="1712"/>
      <c r="C108" s="1707">
        <f>SUM(C95:C107)</f>
        <v>494099</v>
      </c>
      <c r="D108" s="1707">
        <f t="shared" ref="D108:K108" si="3">SUM(D95:D107)</f>
        <v>467395</v>
      </c>
      <c r="E108" s="1707">
        <f t="shared" si="3"/>
        <v>2436580</v>
      </c>
      <c r="F108" s="1707">
        <f t="shared" si="3"/>
        <v>0</v>
      </c>
      <c r="G108" s="1707">
        <f t="shared" si="3"/>
        <v>0</v>
      </c>
      <c r="H108" s="1707">
        <f t="shared" si="3"/>
        <v>364029</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93961056</v>
      </c>
      <c r="D109" s="1715">
        <f t="shared" si="4"/>
        <v>9295900</v>
      </c>
      <c r="E109" s="1715">
        <f t="shared" si="4"/>
        <v>12179365</v>
      </c>
      <c r="F109" s="1715">
        <f t="shared" si="4"/>
        <v>1881995</v>
      </c>
      <c r="G109" s="1715">
        <f t="shared" si="4"/>
        <v>4187072</v>
      </c>
      <c r="H109" s="1715">
        <f t="shared" si="4"/>
        <v>431626</v>
      </c>
      <c r="I109" s="1715">
        <f t="shared" si="4"/>
        <v>96278</v>
      </c>
      <c r="J109" s="1715">
        <f t="shared" si="4"/>
        <v>0</v>
      </c>
      <c r="K109" s="1702">
        <f t="shared" si="4"/>
        <v>2954</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2407448</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1"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2407448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136247</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v>59894</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196141</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54199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54199</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23617</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c r="G152" s="467"/>
      <c r="H152" s="468"/>
      <c r="I152" s="468"/>
      <c r="J152" s="468"/>
      <c r="K152" s="468"/>
    </row>
    <row r="153" spans="1:11" ht="12.75" customHeight="1" x14ac:dyDescent="0.2">
      <c r="A153" s="463" t="s">
        <v>1056</v>
      </c>
      <c r="B153" s="562">
        <v>3510</v>
      </c>
      <c r="C153" s="551"/>
      <c r="D153" s="466"/>
      <c r="E153" s="561"/>
      <c r="F153" s="466">
        <v>769966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769966</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16768</v>
      </c>
      <c r="D168" s="580"/>
      <c r="E168" s="580"/>
      <c r="F168" s="580"/>
      <c r="G168" s="581"/>
      <c r="H168" s="582"/>
      <c r="I168" s="581"/>
      <c r="J168" s="581"/>
      <c r="K168" s="582"/>
    </row>
    <row r="169" spans="1:11" ht="12.75" customHeight="1" thickTop="1" thickBot="1" x14ac:dyDescent="0.25">
      <c r="A169" s="2146" t="s">
        <v>397</v>
      </c>
      <c r="B169" s="2147"/>
      <c r="C169" s="1722">
        <f t="shared" ref="C169:K169" si="6">SUM(C132,C141,C145,C146:C150,C155,C156:C167,C168)</f>
        <v>290725</v>
      </c>
      <c r="D169" s="1722">
        <f t="shared" si="6"/>
        <v>0</v>
      </c>
      <c r="E169" s="1722">
        <f t="shared" si="6"/>
        <v>0</v>
      </c>
      <c r="F169" s="1722">
        <f t="shared" si="6"/>
        <v>769966</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2698173</v>
      </c>
      <c r="D170" s="1715">
        <f t="shared" si="7"/>
        <v>0</v>
      </c>
      <c r="E170" s="1715">
        <f t="shared" si="7"/>
        <v>0</v>
      </c>
      <c r="F170" s="1715">
        <f t="shared" si="7"/>
        <v>769966</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8" t="s">
        <v>1491</v>
      </c>
      <c r="B172" s="2149"/>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2" t="s">
        <v>1664</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1663</v>
      </c>
      <c r="B176" s="2157"/>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4" t="s">
        <v>784</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1799</v>
      </c>
      <c r="B182" s="215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0</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857915</v>
      </c>
      <c r="D213" s="466"/>
      <c r="E213" s="468"/>
      <c r="F213" s="466"/>
      <c r="G213" s="466"/>
      <c r="H213" s="468"/>
      <c r="I213" s="468"/>
      <c r="J213" s="468"/>
      <c r="K213" s="468"/>
    </row>
    <row r="214" spans="1:11" ht="12.75" customHeight="1" x14ac:dyDescent="0.2">
      <c r="A214" s="463" t="s">
        <v>1053</v>
      </c>
      <c r="B214" s="470">
        <v>4625</v>
      </c>
      <c r="C214" s="551">
        <v>1519373</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2377288</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73255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73255</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2200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21860</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1931</v>
      </c>
      <c r="B261" s="470">
        <v>4981</v>
      </c>
      <c r="C261" s="575"/>
      <c r="D261" s="576"/>
      <c r="E261" s="468"/>
      <c r="F261" s="576"/>
      <c r="G261" s="576"/>
      <c r="H261" s="468"/>
      <c r="I261" s="468"/>
      <c r="J261" s="468"/>
      <c r="K261" s="468"/>
    </row>
    <row r="262" spans="1:11" ht="12.75" customHeight="1" thickTop="1" thickBot="1" x14ac:dyDescent="0.25">
      <c r="A262" s="1932"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c r="D263" s="576"/>
      <c r="E263" s="468"/>
      <c r="F263" s="576"/>
      <c r="G263" s="576"/>
      <c r="H263" s="468"/>
      <c r="I263" s="468"/>
      <c r="J263" s="468"/>
      <c r="K263" s="468"/>
    </row>
    <row r="264" spans="1:11" ht="12.75" customHeight="1" thickTop="1" thickBot="1" x14ac:dyDescent="0.25">
      <c r="A264" s="463" t="s">
        <v>376</v>
      </c>
      <c r="B264" s="470">
        <v>4992</v>
      </c>
      <c r="C264" s="575">
        <v>269</v>
      </c>
      <c r="D264" s="576"/>
      <c r="E264" s="468"/>
      <c r="F264" s="576"/>
      <c r="G264" s="576"/>
      <c r="H264" s="468"/>
      <c r="I264" s="468"/>
      <c r="J264" s="468"/>
      <c r="K264" s="468"/>
    </row>
    <row r="265" spans="1:11" s="593" customFormat="1" ht="12.75" customHeight="1" thickTop="1" thickBot="1" x14ac:dyDescent="0.25">
      <c r="A265" s="563" t="s">
        <v>75</v>
      </c>
      <c r="B265" s="557">
        <v>4999</v>
      </c>
      <c r="C265" s="575">
        <v>55744</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2530616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2530616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99189845</v>
      </c>
      <c r="D268" s="1715">
        <f t="shared" si="12"/>
        <v>9295900</v>
      </c>
      <c r="E268" s="1715">
        <f t="shared" si="12"/>
        <v>12179365</v>
      </c>
      <c r="F268" s="1715">
        <f t="shared" si="12"/>
        <v>2651961</v>
      </c>
      <c r="G268" s="1715">
        <f t="shared" si="12"/>
        <v>4187072</v>
      </c>
      <c r="H268" s="1715">
        <f t="shared" si="12"/>
        <v>431626</v>
      </c>
      <c r="I268" s="1715">
        <f t="shared" si="12"/>
        <v>96278</v>
      </c>
      <c r="J268" s="1715">
        <f t="shared" si="12"/>
        <v>0</v>
      </c>
      <c r="K268" s="1702">
        <f t="shared" si="12"/>
        <v>2954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108" activePane="bottomLeft" state="frozen"/>
      <selection pane="bottomLeft" activeCell="O10" sqref="O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6" t="s">
        <v>296</v>
      </c>
      <c r="B3" s="2167"/>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33579194</v>
      </c>
      <c r="D5" s="466">
        <v>4509180</v>
      </c>
      <c r="E5" s="466">
        <v>433271</v>
      </c>
      <c r="F5" s="466">
        <v>638771</v>
      </c>
      <c r="G5" s="466">
        <v>321302</v>
      </c>
      <c r="H5" s="466">
        <v>6948</v>
      </c>
      <c r="I5" s="467"/>
      <c r="J5" s="467"/>
      <c r="K5" s="1671">
        <f>SUM(C5:J5)</f>
        <v>39488666</v>
      </c>
      <c r="L5" s="466">
        <v>41204368</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7505991</v>
      </c>
      <c r="D8" s="466">
        <v>1207128</v>
      </c>
      <c r="E8" s="466">
        <v>123147</v>
      </c>
      <c r="F8" s="466">
        <v>59427</v>
      </c>
      <c r="G8" s="466">
        <v>36310</v>
      </c>
      <c r="H8" s="466">
        <v>22013</v>
      </c>
      <c r="I8" s="467"/>
      <c r="J8" s="467"/>
      <c r="K8" s="1671">
        <f t="shared" si="0"/>
        <v>8954016</v>
      </c>
      <c r="L8" s="466">
        <v>8382519</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c r="D10" s="466"/>
      <c r="E10" s="466"/>
      <c r="F10" s="466"/>
      <c r="G10" s="466"/>
      <c r="H10" s="466"/>
      <c r="I10" s="467"/>
      <c r="J10" s="467"/>
      <c r="K10" s="1671">
        <f t="shared" si="0"/>
        <v>0</v>
      </c>
      <c r="L10" s="466"/>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v>444710</v>
      </c>
      <c r="D12" s="466">
        <v>14115</v>
      </c>
      <c r="E12" s="466">
        <v>84079</v>
      </c>
      <c r="F12" s="466">
        <v>7989</v>
      </c>
      <c r="G12" s="466"/>
      <c r="H12" s="466">
        <v>684</v>
      </c>
      <c r="I12" s="467"/>
      <c r="J12" s="467"/>
      <c r="K12" s="1671">
        <f t="shared" si="0"/>
        <v>551577</v>
      </c>
      <c r="L12" s="466">
        <v>572970</v>
      </c>
    </row>
    <row r="13" spans="1:14" x14ac:dyDescent="0.2">
      <c r="A13" s="1504" t="s">
        <v>722</v>
      </c>
      <c r="B13" s="614">
        <v>1400</v>
      </c>
      <c r="C13" s="466"/>
      <c r="D13" s="466"/>
      <c r="E13" s="466">
        <v>2335</v>
      </c>
      <c r="F13" s="466">
        <v>2084</v>
      </c>
      <c r="G13" s="466"/>
      <c r="H13" s="466"/>
      <c r="I13" s="467"/>
      <c r="J13" s="467"/>
      <c r="K13" s="1671">
        <f t="shared" si="0"/>
        <v>4419</v>
      </c>
      <c r="L13" s="466">
        <v>2500</v>
      </c>
    </row>
    <row r="14" spans="1:14" x14ac:dyDescent="0.2">
      <c r="A14" s="1504" t="s">
        <v>962</v>
      </c>
      <c r="B14" s="614">
        <v>1500</v>
      </c>
      <c r="C14" s="466">
        <v>5649890</v>
      </c>
      <c r="D14" s="466">
        <v>195804</v>
      </c>
      <c r="E14" s="466">
        <v>564122</v>
      </c>
      <c r="F14" s="466">
        <v>291816</v>
      </c>
      <c r="G14" s="466">
        <v>105043</v>
      </c>
      <c r="H14" s="466">
        <v>124898</v>
      </c>
      <c r="I14" s="467"/>
      <c r="J14" s="467"/>
      <c r="K14" s="1671">
        <f t="shared" si="0"/>
        <v>6931573</v>
      </c>
      <c r="L14" s="466">
        <v>6665459</v>
      </c>
    </row>
    <row r="15" spans="1:14" x14ac:dyDescent="0.2">
      <c r="A15" s="1504" t="s">
        <v>963</v>
      </c>
      <c r="B15" s="614">
        <v>1600</v>
      </c>
      <c r="C15" s="466">
        <v>606954</v>
      </c>
      <c r="D15" s="466">
        <v>7197</v>
      </c>
      <c r="E15" s="466">
        <v>8929</v>
      </c>
      <c r="F15" s="466">
        <v>20064</v>
      </c>
      <c r="G15" s="466"/>
      <c r="H15" s="466">
        <v>6200</v>
      </c>
      <c r="I15" s="467"/>
      <c r="J15" s="467"/>
      <c r="K15" s="1671">
        <f t="shared" si="0"/>
        <v>649344</v>
      </c>
      <c r="L15" s="466">
        <v>740500</v>
      </c>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135430</v>
      </c>
      <c r="D17" s="467">
        <v>11070</v>
      </c>
      <c r="E17" s="467">
        <v>63</v>
      </c>
      <c r="F17" s="467"/>
      <c r="G17" s="467"/>
      <c r="H17" s="467"/>
      <c r="I17" s="467"/>
      <c r="J17" s="467"/>
      <c r="K17" s="1671">
        <f t="shared" si="0"/>
        <v>146563</v>
      </c>
      <c r="L17" s="466">
        <v>167618</v>
      </c>
    </row>
    <row r="18" spans="1:12" x14ac:dyDescent="0.2">
      <c r="A18" s="1504" t="s">
        <v>1086</v>
      </c>
      <c r="B18" s="614">
        <v>1800</v>
      </c>
      <c r="C18" s="466">
        <v>229686</v>
      </c>
      <c r="D18" s="466">
        <v>49514</v>
      </c>
      <c r="E18" s="466">
        <v>4387</v>
      </c>
      <c r="F18" s="466">
        <v>4137</v>
      </c>
      <c r="G18" s="466"/>
      <c r="H18" s="466"/>
      <c r="I18" s="467"/>
      <c r="J18" s="467"/>
      <c r="K18" s="1671">
        <f t="shared" si="0"/>
        <v>287724</v>
      </c>
      <c r="L18" s="466">
        <v>277264</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3334331</v>
      </c>
      <c r="I22" s="616"/>
      <c r="J22" s="477"/>
      <c r="K22" s="1671">
        <f t="shared" si="0"/>
        <v>3334331</v>
      </c>
      <c r="L22" s="471">
        <v>3395000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48151855</v>
      </c>
      <c r="D33" s="1670">
        <f t="shared" ref="D33:L33" si="1">SUM(D5:D32)</f>
        <v>5994008</v>
      </c>
      <c r="E33" s="1670">
        <f t="shared" si="1"/>
        <v>1220333</v>
      </c>
      <c r="F33" s="1670">
        <f t="shared" si="1"/>
        <v>1024288</v>
      </c>
      <c r="G33" s="1670">
        <f t="shared" si="1"/>
        <v>462655</v>
      </c>
      <c r="H33" s="1670">
        <f t="shared" si="1"/>
        <v>3495074</v>
      </c>
      <c r="I33" s="1670">
        <f t="shared" si="1"/>
        <v>0</v>
      </c>
      <c r="J33" s="1670">
        <f t="shared" si="1"/>
        <v>0</v>
      </c>
      <c r="K33" s="1670">
        <f t="shared" si="1"/>
        <v>60348213</v>
      </c>
      <c r="L33" s="1670">
        <f t="shared" si="1"/>
        <v>61408198</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1381489</v>
      </c>
      <c r="D36" s="481">
        <v>162561</v>
      </c>
      <c r="E36" s="481">
        <v>12407</v>
      </c>
      <c r="F36" s="481">
        <v>7597</v>
      </c>
      <c r="G36" s="481"/>
      <c r="H36" s="481"/>
      <c r="I36" s="467"/>
      <c r="J36" s="467"/>
      <c r="K36" s="1671">
        <f t="shared" ref="K36:K41" si="2">SUM(C36:J36)</f>
        <v>1564054</v>
      </c>
      <c r="L36" s="466">
        <v>1617492</v>
      </c>
    </row>
    <row r="37" spans="1:14" x14ac:dyDescent="0.2">
      <c r="A37" s="1504" t="s">
        <v>1089</v>
      </c>
      <c r="B37" s="614">
        <v>2120</v>
      </c>
      <c r="C37" s="466">
        <v>7685535</v>
      </c>
      <c r="D37" s="466">
        <v>972347</v>
      </c>
      <c r="E37" s="466">
        <v>117566</v>
      </c>
      <c r="F37" s="466">
        <v>57314</v>
      </c>
      <c r="G37" s="466">
        <v>74708</v>
      </c>
      <c r="H37" s="466">
        <v>2732</v>
      </c>
      <c r="I37" s="467"/>
      <c r="J37" s="467"/>
      <c r="K37" s="1671">
        <f t="shared" si="2"/>
        <v>8910202</v>
      </c>
      <c r="L37" s="466">
        <v>8651313</v>
      </c>
    </row>
    <row r="38" spans="1:14" x14ac:dyDescent="0.2">
      <c r="A38" s="1504" t="s">
        <v>198</v>
      </c>
      <c r="B38" s="614">
        <v>2130</v>
      </c>
      <c r="C38" s="466">
        <v>420007</v>
      </c>
      <c r="D38" s="466">
        <v>55868</v>
      </c>
      <c r="E38" s="466">
        <v>41804</v>
      </c>
      <c r="F38" s="466">
        <v>13449</v>
      </c>
      <c r="G38" s="466">
        <v>5177</v>
      </c>
      <c r="H38" s="466">
        <v>426</v>
      </c>
      <c r="I38" s="467"/>
      <c r="J38" s="467"/>
      <c r="K38" s="1671">
        <f t="shared" si="2"/>
        <v>536731</v>
      </c>
      <c r="L38" s="466">
        <v>539137</v>
      </c>
    </row>
    <row r="39" spans="1:14" x14ac:dyDescent="0.2">
      <c r="A39" s="1504" t="s">
        <v>199</v>
      </c>
      <c r="B39" s="614">
        <v>2140</v>
      </c>
      <c r="C39" s="466">
        <v>486432</v>
      </c>
      <c r="D39" s="466">
        <v>49215</v>
      </c>
      <c r="E39" s="466">
        <v>2022</v>
      </c>
      <c r="F39" s="466">
        <v>1266</v>
      </c>
      <c r="G39" s="466"/>
      <c r="H39" s="466"/>
      <c r="I39" s="467"/>
      <c r="J39" s="467"/>
      <c r="K39" s="1671">
        <f t="shared" si="2"/>
        <v>538935</v>
      </c>
      <c r="L39" s="466">
        <v>567239</v>
      </c>
    </row>
    <row r="40" spans="1:14" x14ac:dyDescent="0.2">
      <c r="A40" s="1504" t="s">
        <v>200</v>
      </c>
      <c r="B40" s="614">
        <v>2150</v>
      </c>
      <c r="C40" s="466">
        <v>430203</v>
      </c>
      <c r="D40" s="466">
        <v>72148</v>
      </c>
      <c r="E40" s="466"/>
      <c r="F40" s="466"/>
      <c r="G40" s="466"/>
      <c r="H40" s="466"/>
      <c r="I40" s="467"/>
      <c r="J40" s="467"/>
      <c r="K40" s="1671">
        <f t="shared" si="2"/>
        <v>502351</v>
      </c>
      <c r="L40" s="466">
        <v>509994</v>
      </c>
    </row>
    <row r="41" spans="1:14" x14ac:dyDescent="0.2">
      <c r="A41" s="1504" t="s">
        <v>1668</v>
      </c>
      <c r="B41" s="614">
        <v>2190</v>
      </c>
      <c r="C41" s="466">
        <v>125310</v>
      </c>
      <c r="D41" s="466">
        <v>26920</v>
      </c>
      <c r="E41" s="466">
        <v>4303</v>
      </c>
      <c r="F41" s="466">
        <v>29304</v>
      </c>
      <c r="G41" s="466"/>
      <c r="H41" s="466"/>
      <c r="I41" s="467"/>
      <c r="J41" s="467"/>
      <c r="K41" s="1671">
        <f t="shared" si="2"/>
        <v>185837</v>
      </c>
      <c r="L41" s="466">
        <v>151828</v>
      </c>
    </row>
    <row r="42" spans="1:14" ht="12.75" customHeight="1" thickBot="1" x14ac:dyDescent="0.25">
      <c r="A42" s="1668" t="s">
        <v>559</v>
      </c>
      <c r="B42" s="1669" t="s">
        <v>715</v>
      </c>
      <c r="C42" s="1670">
        <f>SUM(C36:C41)</f>
        <v>10528976</v>
      </c>
      <c r="D42" s="1670">
        <f t="shared" ref="D42:L42" si="3">SUM(D36:D41)</f>
        <v>1339059</v>
      </c>
      <c r="E42" s="1670">
        <f t="shared" si="3"/>
        <v>178102</v>
      </c>
      <c r="F42" s="1670">
        <f t="shared" si="3"/>
        <v>108930</v>
      </c>
      <c r="G42" s="1670">
        <f t="shared" si="3"/>
        <v>79885</v>
      </c>
      <c r="H42" s="1670">
        <f t="shared" si="3"/>
        <v>3158</v>
      </c>
      <c r="I42" s="1670">
        <f t="shared" si="3"/>
        <v>0</v>
      </c>
      <c r="J42" s="1670">
        <f t="shared" si="3"/>
        <v>0</v>
      </c>
      <c r="K42" s="1670">
        <f t="shared" si="3"/>
        <v>12238110</v>
      </c>
      <c r="L42" s="1670">
        <f t="shared" si="3"/>
        <v>12037003</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467657</v>
      </c>
      <c r="D44" s="481">
        <v>89729</v>
      </c>
      <c r="E44" s="481">
        <v>89851</v>
      </c>
      <c r="F44" s="481">
        <v>57603</v>
      </c>
      <c r="G44" s="481"/>
      <c r="H44" s="481">
        <v>6125</v>
      </c>
      <c r="I44" s="467"/>
      <c r="J44" s="467"/>
      <c r="K44" s="1672">
        <f>SUM(C44:J44)</f>
        <v>710965</v>
      </c>
      <c r="L44" s="481">
        <v>829731</v>
      </c>
    </row>
    <row r="45" spans="1:14" x14ac:dyDescent="0.2">
      <c r="A45" s="1504" t="s">
        <v>814</v>
      </c>
      <c r="B45" s="614">
        <v>2220</v>
      </c>
      <c r="C45" s="466">
        <v>1594408</v>
      </c>
      <c r="D45" s="466">
        <v>219756</v>
      </c>
      <c r="E45" s="466">
        <v>84866</v>
      </c>
      <c r="F45" s="466">
        <v>63436</v>
      </c>
      <c r="G45" s="466">
        <v>1266402</v>
      </c>
      <c r="H45" s="466"/>
      <c r="I45" s="467"/>
      <c r="J45" s="467"/>
      <c r="K45" s="1672">
        <f>SUM(C45:J45)</f>
        <v>3228868</v>
      </c>
      <c r="L45" s="466">
        <v>3425552</v>
      </c>
    </row>
    <row r="46" spans="1:14" x14ac:dyDescent="0.2">
      <c r="A46" s="1504" t="s">
        <v>815</v>
      </c>
      <c r="B46" s="614">
        <v>2230</v>
      </c>
      <c r="C46" s="466">
        <v>236427</v>
      </c>
      <c r="D46" s="466">
        <v>31215</v>
      </c>
      <c r="E46" s="466">
        <v>67843</v>
      </c>
      <c r="F46" s="466">
        <v>141862</v>
      </c>
      <c r="G46" s="466"/>
      <c r="H46" s="466">
        <v>535</v>
      </c>
      <c r="I46" s="467"/>
      <c r="J46" s="467"/>
      <c r="K46" s="1672">
        <f>SUM(C46:J46)</f>
        <v>477882</v>
      </c>
      <c r="L46" s="466">
        <v>270527</v>
      </c>
    </row>
    <row r="47" spans="1:14" ht="12.75" customHeight="1" thickBot="1" x14ac:dyDescent="0.25">
      <c r="A47" s="1668" t="s">
        <v>560</v>
      </c>
      <c r="B47" s="1669" t="s">
        <v>32</v>
      </c>
      <c r="C47" s="1670">
        <f>SUM(C44:C46)</f>
        <v>2298492</v>
      </c>
      <c r="D47" s="1670">
        <f t="shared" ref="D47:K47" si="4">SUM(D44:D46)</f>
        <v>340700</v>
      </c>
      <c r="E47" s="1670">
        <f t="shared" si="4"/>
        <v>242560</v>
      </c>
      <c r="F47" s="1670">
        <f t="shared" si="4"/>
        <v>262901</v>
      </c>
      <c r="G47" s="1670">
        <f t="shared" si="4"/>
        <v>1266402</v>
      </c>
      <c r="H47" s="1670">
        <f t="shared" si="4"/>
        <v>6660</v>
      </c>
      <c r="I47" s="1670">
        <f t="shared" si="4"/>
        <v>0</v>
      </c>
      <c r="J47" s="1670">
        <f t="shared" si="4"/>
        <v>0</v>
      </c>
      <c r="K47" s="1670">
        <f t="shared" si="4"/>
        <v>4417715</v>
      </c>
      <c r="L47" s="1670">
        <f>SUM(L44:L46)</f>
        <v>4525810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1030721</v>
      </c>
      <c r="F49" s="481">
        <v>39790</v>
      </c>
      <c r="G49" s="481"/>
      <c r="H49" s="481">
        <v>228933</v>
      </c>
      <c r="I49" s="467"/>
      <c r="J49" s="467"/>
      <c r="K49" s="1672">
        <f>SUM(C49:J49)</f>
        <v>1299444</v>
      </c>
      <c r="L49" s="481">
        <v>1417373</v>
      </c>
    </row>
    <row r="50" spans="1:14" x14ac:dyDescent="0.2">
      <c r="A50" s="1504" t="s">
        <v>817</v>
      </c>
      <c r="B50" s="614">
        <v>2320</v>
      </c>
      <c r="C50" s="466">
        <v>336686</v>
      </c>
      <c r="D50" s="466">
        <v>55437</v>
      </c>
      <c r="E50" s="466">
        <v>32921</v>
      </c>
      <c r="F50" s="466">
        <v>16318</v>
      </c>
      <c r="G50" s="466">
        <v>8671</v>
      </c>
      <c r="H50" s="466">
        <v>19694</v>
      </c>
      <c r="I50" s="467"/>
      <c r="J50" s="467"/>
      <c r="K50" s="1672">
        <f>SUM(C50:J50)</f>
        <v>469727</v>
      </c>
      <c r="L50" s="466">
        <v>536076</v>
      </c>
    </row>
    <row r="51" spans="1:14" x14ac:dyDescent="0.2">
      <c r="A51" s="1504" t="s">
        <v>42</v>
      </c>
      <c r="B51" s="614">
        <v>2330</v>
      </c>
      <c r="C51" s="466"/>
      <c r="D51" s="466"/>
      <c r="E51" s="466"/>
      <c r="F51" s="466">
        <v>1995</v>
      </c>
      <c r="G51" s="466"/>
      <c r="H51" s="466"/>
      <c r="I51" s="467"/>
      <c r="J51" s="467"/>
      <c r="K51" s="1672">
        <f>SUM(C51:J51)</f>
        <v>1995</v>
      </c>
      <c r="L51" s="466">
        <v>0</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336686</v>
      </c>
      <c r="D53" s="1670">
        <f t="shared" ref="D53:L53" si="5">SUM(D49:D52)</f>
        <v>55437</v>
      </c>
      <c r="E53" s="1670">
        <f t="shared" si="5"/>
        <v>1063642</v>
      </c>
      <c r="F53" s="1670">
        <f t="shared" si="5"/>
        <v>58103</v>
      </c>
      <c r="G53" s="1670">
        <f t="shared" si="5"/>
        <v>8671</v>
      </c>
      <c r="H53" s="1670">
        <f t="shared" si="5"/>
        <v>248627</v>
      </c>
      <c r="I53" s="1670">
        <f t="shared" si="5"/>
        <v>0</v>
      </c>
      <c r="J53" s="1670">
        <f t="shared" si="5"/>
        <v>0</v>
      </c>
      <c r="K53" s="1670">
        <f t="shared" si="5"/>
        <v>1771166</v>
      </c>
      <c r="L53" s="1670">
        <f t="shared" si="5"/>
        <v>1953449</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1240873</v>
      </c>
      <c r="D55" s="481">
        <v>202454</v>
      </c>
      <c r="E55" s="481">
        <v>92858</v>
      </c>
      <c r="F55" s="481">
        <v>107689</v>
      </c>
      <c r="G55" s="481">
        <v>18827</v>
      </c>
      <c r="H55" s="481">
        <v>4122</v>
      </c>
      <c r="I55" s="467"/>
      <c r="J55" s="467"/>
      <c r="K55" s="1672">
        <f>SUM(C55:J55)</f>
        <v>1666823</v>
      </c>
      <c r="L55" s="481">
        <v>1609232</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1240873</v>
      </c>
      <c r="D57" s="1674">
        <f t="shared" ref="D57:K57" si="6">SUM(D55:D56)</f>
        <v>202454</v>
      </c>
      <c r="E57" s="1674">
        <f t="shared" si="6"/>
        <v>92858</v>
      </c>
      <c r="F57" s="1674">
        <f t="shared" si="6"/>
        <v>107689</v>
      </c>
      <c r="G57" s="1674">
        <f t="shared" si="6"/>
        <v>18827</v>
      </c>
      <c r="H57" s="1674">
        <f t="shared" si="6"/>
        <v>4122</v>
      </c>
      <c r="I57" s="1674">
        <f t="shared" si="6"/>
        <v>0</v>
      </c>
      <c r="J57" s="1674">
        <f t="shared" si="6"/>
        <v>0</v>
      </c>
      <c r="K57" s="1674">
        <f t="shared" si="6"/>
        <v>1666823</v>
      </c>
      <c r="L57" s="1670">
        <f>SUM(L55:L56)</f>
        <v>1609232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268713</v>
      </c>
      <c r="D59" s="481">
        <v>30253</v>
      </c>
      <c r="E59" s="481">
        <v>3787</v>
      </c>
      <c r="F59" s="481">
        <v>6202</v>
      </c>
      <c r="G59" s="481"/>
      <c r="H59" s="481">
        <v>2484</v>
      </c>
      <c r="I59" s="467"/>
      <c r="J59" s="467"/>
      <c r="K59" s="1672">
        <f t="shared" ref="K59:K64" si="7">SUM(C59:J59)</f>
        <v>311439</v>
      </c>
      <c r="L59" s="481">
        <v>327860</v>
      </c>
      <c r="M59" s="609"/>
      <c r="N59" s="609"/>
    </row>
    <row r="60" spans="1:14" s="343" customFormat="1" x14ac:dyDescent="0.2">
      <c r="A60" s="1504" t="s">
        <v>462</v>
      </c>
      <c r="B60" s="614">
        <v>2520</v>
      </c>
      <c r="C60" s="466">
        <v>521179</v>
      </c>
      <c r="D60" s="466">
        <v>77230</v>
      </c>
      <c r="E60" s="466">
        <v>244916</v>
      </c>
      <c r="F60" s="466">
        <v>69436</v>
      </c>
      <c r="G60" s="466">
        <v>5969</v>
      </c>
      <c r="H60" s="466">
        <v>197189</v>
      </c>
      <c r="I60" s="467"/>
      <c r="J60" s="467"/>
      <c r="K60" s="1672">
        <f t="shared" si="7"/>
        <v>1115919</v>
      </c>
      <c r="L60" s="466">
        <v>1055957</v>
      </c>
      <c r="M60" s="609"/>
      <c r="N60" s="609"/>
    </row>
    <row r="61" spans="1:14" s="343" customFormat="1" x14ac:dyDescent="0.2">
      <c r="A61" s="1504" t="s">
        <v>197</v>
      </c>
      <c r="B61" s="614">
        <v>2540</v>
      </c>
      <c r="C61" s="466">
        <v>1204898</v>
      </c>
      <c r="D61" s="466">
        <v>235981</v>
      </c>
      <c r="E61" s="466">
        <v>548468</v>
      </c>
      <c r="F61" s="466">
        <v>1764422</v>
      </c>
      <c r="G61" s="466">
        <v>858499</v>
      </c>
      <c r="H61" s="466"/>
      <c r="I61" s="467"/>
      <c r="J61" s="467"/>
      <c r="K61" s="1672">
        <f t="shared" si="7"/>
        <v>4612268</v>
      </c>
      <c r="L61" s="466">
        <v>4488257</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53008</v>
      </c>
      <c r="D63" s="466">
        <v>345</v>
      </c>
      <c r="E63" s="466"/>
      <c r="F63" s="466"/>
      <c r="G63" s="466"/>
      <c r="H63" s="466"/>
      <c r="I63" s="467"/>
      <c r="J63" s="467"/>
      <c r="K63" s="1672">
        <f t="shared" si="7"/>
        <v>53353</v>
      </c>
      <c r="L63" s="466">
        <v>60750</v>
      </c>
    </row>
    <row r="64" spans="1:14" s="609" customFormat="1" x14ac:dyDescent="0.2">
      <c r="A64" s="1509" t="s">
        <v>101</v>
      </c>
      <c r="B64" s="630">
        <v>2570</v>
      </c>
      <c r="C64" s="481">
        <v>41635</v>
      </c>
      <c r="D64" s="481">
        <v>7056</v>
      </c>
      <c r="E64" s="481">
        <v>13009</v>
      </c>
      <c r="F64" s="481">
        <v>83285</v>
      </c>
      <c r="G64" s="481"/>
      <c r="H64" s="481"/>
      <c r="I64" s="467"/>
      <c r="J64" s="467"/>
      <c r="K64" s="1672">
        <f t="shared" si="7"/>
        <v>144985</v>
      </c>
      <c r="L64" s="481">
        <v>130682</v>
      </c>
    </row>
    <row r="65" spans="1:14" s="343" customFormat="1" ht="12.75" customHeight="1" thickBot="1" x14ac:dyDescent="0.25">
      <c r="A65" s="1668" t="s">
        <v>718</v>
      </c>
      <c r="B65" s="1669" t="s">
        <v>35</v>
      </c>
      <c r="C65" s="1670">
        <f>SUM(C59:C64)</f>
        <v>2089433</v>
      </c>
      <c r="D65" s="1670">
        <f t="shared" ref="D65:L65" si="8">SUM(D59:D64)</f>
        <v>350865</v>
      </c>
      <c r="E65" s="1670">
        <f t="shared" si="8"/>
        <v>810180</v>
      </c>
      <c r="F65" s="1670">
        <f t="shared" si="8"/>
        <v>1923345</v>
      </c>
      <c r="G65" s="1670">
        <f t="shared" si="8"/>
        <v>864468</v>
      </c>
      <c r="H65" s="1670">
        <f t="shared" si="8"/>
        <v>199673</v>
      </c>
      <c r="I65" s="1670">
        <f t="shared" si="8"/>
        <v>0</v>
      </c>
      <c r="J65" s="1670">
        <f t="shared" si="8"/>
        <v>0</v>
      </c>
      <c r="K65" s="1670">
        <f t="shared" si="8"/>
        <v>6237964</v>
      </c>
      <c r="L65" s="1670">
        <f t="shared" si="8"/>
        <v>6063506</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v>250564</v>
      </c>
      <c r="D68" s="466">
        <v>51611</v>
      </c>
      <c r="E68" s="466">
        <v>892537</v>
      </c>
      <c r="F68" s="466">
        <v>36264</v>
      </c>
      <c r="G68" s="466">
        <v>602145</v>
      </c>
      <c r="H68" s="466"/>
      <c r="I68" s="467"/>
      <c r="J68" s="467"/>
      <c r="K68" s="1672">
        <f>SUM(C68:J68)</f>
        <v>1833121</v>
      </c>
      <c r="L68" s="466">
        <v>1259913</v>
      </c>
      <c r="M68" s="609"/>
      <c r="N68" s="609"/>
    </row>
    <row r="69" spans="1:14" s="343" customFormat="1" x14ac:dyDescent="0.2">
      <c r="A69" s="1504" t="s">
        <v>1060</v>
      </c>
      <c r="B69" s="614">
        <v>2630</v>
      </c>
      <c r="C69" s="466">
        <v>199853</v>
      </c>
      <c r="D69" s="466">
        <v>23783</v>
      </c>
      <c r="E69" s="466">
        <v>140350</v>
      </c>
      <c r="F69" s="466">
        <v>4516</v>
      </c>
      <c r="G69" s="466"/>
      <c r="H69" s="466">
        <v>1260</v>
      </c>
      <c r="I69" s="467"/>
      <c r="J69" s="467"/>
      <c r="K69" s="1672">
        <f>SUM(C69:J69)</f>
        <v>369762</v>
      </c>
      <c r="L69" s="466">
        <v>493438</v>
      </c>
      <c r="M69" s="609"/>
      <c r="N69" s="609"/>
    </row>
    <row r="70" spans="1:14" s="343" customFormat="1" x14ac:dyDescent="0.2">
      <c r="A70" s="1504" t="s">
        <v>402</v>
      </c>
      <c r="B70" s="614">
        <v>2640</v>
      </c>
      <c r="C70" s="466">
        <v>515778</v>
      </c>
      <c r="D70" s="466">
        <v>83395</v>
      </c>
      <c r="E70" s="466">
        <v>24909</v>
      </c>
      <c r="F70" s="466">
        <v>7552</v>
      </c>
      <c r="G70" s="466">
        <v>7245</v>
      </c>
      <c r="H70" s="466">
        <v>2714</v>
      </c>
      <c r="I70" s="467"/>
      <c r="J70" s="467"/>
      <c r="K70" s="1672">
        <f>SUM(C70:J70)</f>
        <v>641593</v>
      </c>
      <c r="L70" s="466">
        <v>802228</v>
      </c>
      <c r="M70" s="609"/>
      <c r="N70" s="609"/>
    </row>
    <row r="71" spans="1:14" s="343" customFormat="1" x14ac:dyDescent="0.2">
      <c r="A71" s="1504" t="s">
        <v>403</v>
      </c>
      <c r="B71" s="614">
        <v>2660</v>
      </c>
      <c r="C71" s="466">
        <v>220289</v>
      </c>
      <c r="D71" s="466">
        <v>28965</v>
      </c>
      <c r="E71" s="466">
        <v>116273</v>
      </c>
      <c r="F71" s="466">
        <v>31886</v>
      </c>
      <c r="G71" s="466"/>
      <c r="H71" s="466"/>
      <c r="I71" s="467"/>
      <c r="J71" s="467"/>
      <c r="K71" s="1672">
        <f>SUM(C71:J71)</f>
        <v>397413</v>
      </c>
      <c r="L71" s="466">
        <v>564871</v>
      </c>
      <c r="M71" s="609"/>
      <c r="N71" s="609"/>
    </row>
    <row r="72" spans="1:14" s="343" customFormat="1" ht="12.75" customHeight="1" thickBot="1" x14ac:dyDescent="0.25">
      <c r="A72" s="1668" t="s">
        <v>37</v>
      </c>
      <c r="B72" s="1675" t="s">
        <v>36</v>
      </c>
      <c r="C72" s="1670">
        <f>SUM(C67:C71)</f>
        <v>1186484</v>
      </c>
      <c r="D72" s="1670">
        <f t="shared" ref="D72:K72" si="9">SUM(D67:D71)</f>
        <v>187754</v>
      </c>
      <c r="E72" s="1670">
        <f t="shared" si="9"/>
        <v>1174069</v>
      </c>
      <c r="F72" s="1670">
        <f t="shared" si="9"/>
        <v>80218</v>
      </c>
      <c r="G72" s="1670">
        <f t="shared" si="9"/>
        <v>609390</v>
      </c>
      <c r="H72" s="1670">
        <f t="shared" si="9"/>
        <v>3974</v>
      </c>
      <c r="I72" s="1670">
        <f t="shared" si="9"/>
        <v>0</v>
      </c>
      <c r="J72" s="1670">
        <f t="shared" si="9"/>
        <v>0</v>
      </c>
      <c r="K72" s="1670">
        <f t="shared" si="9"/>
        <v>3241889</v>
      </c>
      <c r="L72" s="1670">
        <f>SUM(L67:L71)</f>
        <v>3120450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17680944</v>
      </c>
      <c r="D74" s="1677">
        <f t="shared" ref="D74:K74" si="10">SUM(D42,D47,D53,D57,D65,D72,D73)</f>
        <v>2476269</v>
      </c>
      <c r="E74" s="1677">
        <f t="shared" si="10"/>
        <v>3561411</v>
      </c>
      <c r="F74" s="1677">
        <f t="shared" si="10"/>
        <v>2541186</v>
      </c>
      <c r="G74" s="1677">
        <f t="shared" si="10"/>
        <v>2847643</v>
      </c>
      <c r="H74" s="1677">
        <f t="shared" si="10"/>
        <v>466214</v>
      </c>
      <c r="I74" s="1677">
        <f t="shared" si="10"/>
        <v>0</v>
      </c>
      <c r="J74" s="1677">
        <f t="shared" si="10"/>
        <v>0</v>
      </c>
      <c r="K74" s="1677">
        <f t="shared" si="10"/>
        <v>29573667</v>
      </c>
      <c r="L74" s="1677">
        <f>SUM(L42,L47,L53,L57,L65,L72,L73)</f>
        <v>29309450</v>
      </c>
    </row>
    <row r="75" spans="1:14" s="259" customFormat="1" ht="15.75" customHeight="1" thickTop="1" thickBot="1" x14ac:dyDescent="0.25">
      <c r="A75" s="1610" t="s">
        <v>47</v>
      </c>
      <c r="B75" s="1611" t="s">
        <v>574</v>
      </c>
      <c r="C75" s="573">
        <v>254414</v>
      </c>
      <c r="D75" s="573">
        <v>54845</v>
      </c>
      <c r="E75" s="573">
        <v>42285</v>
      </c>
      <c r="F75" s="573">
        <v>17805</v>
      </c>
      <c r="G75" s="573"/>
      <c r="H75" s="573"/>
      <c r="I75" s="531"/>
      <c r="J75" s="531"/>
      <c r="K75" s="1670">
        <f>SUM(C75:J75)</f>
        <v>369349</v>
      </c>
      <c r="L75" s="576">
        <v>141766</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v>1446852</v>
      </c>
      <c r="I79" s="477"/>
      <c r="J79" s="477"/>
      <c r="K79" s="1671">
        <f t="shared" si="11"/>
        <v>1446852</v>
      </c>
      <c r="L79" s="466">
        <v>1342617</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1446852</v>
      </c>
      <c r="I84" s="477"/>
      <c r="J84" s="477"/>
      <c r="K84" s="1670">
        <f>SUM(K78:K83)</f>
        <v>1446852</v>
      </c>
      <c r="L84" s="1670">
        <f>SUM(L78:L83)</f>
        <v>1342617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1446852</v>
      </c>
      <c r="I102" s="477"/>
      <c r="J102" s="477"/>
      <c r="K102" s="1677">
        <f>SUM(K84,K92,K100,K101)</f>
        <v>1446852</v>
      </c>
      <c r="L102" s="1677">
        <f>SUM(L84,L92,L100,L101)</f>
        <v>1342617</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539968</v>
      </c>
      <c r="M113" s="613"/>
      <c r="N113" s="613"/>
    </row>
    <row r="114" spans="1:14" ht="12.75" customHeight="1" thickTop="1" thickBot="1" x14ac:dyDescent="0.25">
      <c r="A114" s="1668" t="s">
        <v>48</v>
      </c>
      <c r="B114" s="1682"/>
      <c r="C114" s="1670">
        <f>SUM(C33,C74,C75,C102,C112,C113)</f>
        <v>66087213</v>
      </c>
      <c r="D114" s="1670">
        <f t="shared" ref="D114:K114" si="13">SUM(D33,D74,D75,D102,D112,D113)</f>
        <v>8525122</v>
      </c>
      <c r="E114" s="1670">
        <f t="shared" si="13"/>
        <v>4824029</v>
      </c>
      <c r="F114" s="1670">
        <f t="shared" si="13"/>
        <v>3583279</v>
      </c>
      <c r="G114" s="1670">
        <f t="shared" si="13"/>
        <v>3310298</v>
      </c>
      <c r="H114" s="1670">
        <f>SUM(H33,H74,H75,H102,H112,H113)</f>
        <v>5408140</v>
      </c>
      <c r="I114" s="1670">
        <f t="shared" si="13"/>
        <v>0</v>
      </c>
      <c r="J114" s="1670">
        <f t="shared" si="13"/>
        <v>0</v>
      </c>
      <c r="K114" s="1670">
        <f t="shared" si="13"/>
        <v>91738081</v>
      </c>
      <c r="L114" s="1670">
        <f>SUM(L33,L74,L75,L102,L112,L113)</f>
        <v>92741999</v>
      </c>
    </row>
    <row r="115" spans="1:14" ht="13.5" thickTop="1" x14ac:dyDescent="0.2">
      <c r="A115" s="2158" t="s">
        <v>995</v>
      </c>
      <c r="B115" s="2159"/>
      <c r="C115" s="618"/>
      <c r="D115" s="618"/>
      <c r="E115" s="618"/>
      <c r="F115" s="618"/>
      <c r="G115" s="618"/>
      <c r="H115" s="618"/>
      <c r="I115" s="618"/>
      <c r="J115" s="618"/>
      <c r="K115" s="1684">
        <f>'Revenues 9-14'!C268-'Expenditures 15-22'!K114</f>
        <v>7451764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295</v>
      </c>
      <c r="B117" s="2164"/>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2054</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138757</v>
      </c>
      <c r="H123" s="466"/>
      <c r="I123" s="467"/>
      <c r="J123" s="467"/>
      <c r="K123" s="1670">
        <f>SUM(C123:J123)</f>
        <v>138757</v>
      </c>
      <c r="L123" s="466">
        <v>113000</v>
      </c>
    </row>
    <row r="124" spans="1:14" ht="14.25" thickTop="1" thickBot="1" x14ac:dyDescent="0.25">
      <c r="A124" s="1504" t="s">
        <v>197</v>
      </c>
      <c r="B124" s="614">
        <v>2540</v>
      </c>
      <c r="C124" s="466">
        <v>4223151</v>
      </c>
      <c r="D124" s="466">
        <v>799160</v>
      </c>
      <c r="E124" s="466">
        <v>1167424</v>
      </c>
      <c r="F124" s="466">
        <v>693611</v>
      </c>
      <c r="G124" s="466">
        <v>468610</v>
      </c>
      <c r="H124" s="466">
        <v>7209</v>
      </c>
      <c r="I124" s="467"/>
      <c r="J124" s="467"/>
      <c r="K124" s="1670">
        <f>SUM(C124:J124)</f>
        <v>7359165</v>
      </c>
      <c r="L124" s="466">
        <v>7027626</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4223151</v>
      </c>
      <c r="D127" s="1670">
        <f t="shared" ref="D127:L127" si="14">SUM(D122:D126)</f>
        <v>799160</v>
      </c>
      <c r="E127" s="1670">
        <f t="shared" si="14"/>
        <v>1167424</v>
      </c>
      <c r="F127" s="1670">
        <f t="shared" si="14"/>
        <v>693611</v>
      </c>
      <c r="G127" s="1670">
        <f t="shared" si="14"/>
        <v>607367</v>
      </c>
      <c r="H127" s="1670">
        <f t="shared" si="14"/>
        <v>7209</v>
      </c>
      <c r="I127" s="1670">
        <f t="shared" si="14"/>
        <v>0</v>
      </c>
      <c r="J127" s="1670">
        <f t="shared" si="14"/>
        <v>0</v>
      </c>
      <c r="K127" s="1670">
        <f t="shared" si="14"/>
        <v>7497922</v>
      </c>
      <c r="L127" s="1670">
        <f t="shared" si="14"/>
        <v>7140626</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4223151</v>
      </c>
      <c r="D129" s="1677">
        <f t="shared" ref="D129:L129" si="15">SUM(D120,D127,D128)</f>
        <v>799160</v>
      </c>
      <c r="E129" s="1677">
        <f t="shared" si="15"/>
        <v>1167424</v>
      </c>
      <c r="F129" s="1677">
        <f t="shared" si="15"/>
        <v>693611</v>
      </c>
      <c r="G129" s="1677">
        <f t="shared" si="15"/>
        <v>607367</v>
      </c>
      <c r="H129" s="1677">
        <f t="shared" si="15"/>
        <v>7209</v>
      </c>
      <c r="I129" s="1677">
        <f t="shared" si="15"/>
        <v>0</v>
      </c>
      <c r="J129" s="1677">
        <f t="shared" si="15"/>
        <v>0</v>
      </c>
      <c r="K129" s="1677">
        <f t="shared" si="15"/>
        <v>7497922</v>
      </c>
      <c r="L129" s="1677">
        <f t="shared" si="15"/>
        <v>7140626</v>
      </c>
    </row>
    <row r="130" spans="1:14" ht="15.75" customHeight="1" thickTop="1" thickBot="1" x14ac:dyDescent="0.25">
      <c r="A130" s="1610" t="s">
        <v>1035</v>
      </c>
      <c r="B130" s="1611" t="s">
        <v>574</v>
      </c>
      <c r="C130" s="576">
        <v>101792</v>
      </c>
      <c r="D130" s="576"/>
      <c r="E130" s="576"/>
      <c r="F130" s="576"/>
      <c r="G130" s="576"/>
      <c r="H130" s="576"/>
      <c r="I130" s="531"/>
      <c r="J130" s="531"/>
      <c r="K130" s="1670">
        <f>SUM(C130:J130)</f>
        <v>101792</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5" t="s">
        <v>619</v>
      </c>
      <c r="B151" s="2155"/>
      <c r="C151" s="1670">
        <f>SUM(C129,C130,C139,C149,C150)</f>
        <v>4324943</v>
      </c>
      <c r="D151" s="1670">
        <f t="shared" ref="D151:K151" si="16">SUM(D129,D130,D139,D149,D150)</f>
        <v>799160</v>
      </c>
      <c r="E151" s="1670">
        <f t="shared" si="16"/>
        <v>1167424</v>
      </c>
      <c r="F151" s="1670">
        <f t="shared" si="16"/>
        <v>693611</v>
      </c>
      <c r="G151" s="1670">
        <f t="shared" si="16"/>
        <v>607367</v>
      </c>
      <c r="H151" s="1670">
        <f t="shared" si="16"/>
        <v>7209</v>
      </c>
      <c r="I151" s="1670">
        <f t="shared" si="16"/>
        <v>0</v>
      </c>
      <c r="J151" s="1670">
        <f t="shared" si="16"/>
        <v>0</v>
      </c>
      <c r="K151" s="1670">
        <f t="shared" si="16"/>
        <v>7599714</v>
      </c>
      <c r="L151" s="1670">
        <f>SUM(L129,L130,L139,L149,L150)</f>
        <v>7140626</v>
      </c>
    </row>
    <row r="152" spans="1:14" ht="12.75" customHeight="1" thickTop="1" x14ac:dyDescent="0.2">
      <c r="A152" s="2178" t="s">
        <v>1177</v>
      </c>
      <c r="B152" s="2179"/>
      <c r="C152" s="618"/>
      <c r="D152" s="618"/>
      <c r="E152" s="618"/>
      <c r="F152" s="618"/>
      <c r="G152" s="618"/>
      <c r="H152" s="618"/>
      <c r="I152" s="618"/>
      <c r="J152" s="616"/>
      <c r="K152" s="1684">
        <f>'Revenues 9-14'!D268-'Expenditures 15-22'!K151</f>
        <v>1696186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620</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3143788</v>
      </c>
      <c r="I169" s="616"/>
      <c r="J169" s="616"/>
      <c r="K169" s="1671">
        <f>SUM(C169:H169)</f>
        <v>3143788</v>
      </c>
      <c r="L169" s="656">
        <v>3143788</v>
      </c>
    </row>
    <row r="170" spans="1:14" ht="33.75" customHeight="1" x14ac:dyDescent="0.2">
      <c r="A170" s="669" t="s">
        <v>1669</v>
      </c>
      <c r="B170" s="671" t="s">
        <v>31</v>
      </c>
      <c r="C170" s="616"/>
      <c r="D170" s="616"/>
      <c r="E170" s="616"/>
      <c r="F170" s="616"/>
      <c r="G170" s="616"/>
      <c r="H170" s="569">
        <f>9225000</f>
        <v>9225000</v>
      </c>
      <c r="I170" s="616"/>
      <c r="J170" s="616"/>
      <c r="K170" s="1671">
        <f>SUM(C170:J170)</f>
        <v>9225000</v>
      </c>
      <c r="L170" s="569">
        <f>9225000</f>
        <v>9225000</v>
      </c>
    </row>
    <row r="171" spans="1:14" ht="15.75" customHeight="1" x14ac:dyDescent="0.2">
      <c r="A171" s="621" t="s">
        <v>765</v>
      </c>
      <c r="B171" s="672" t="s">
        <v>84</v>
      </c>
      <c r="C171" s="616"/>
      <c r="D171" s="616"/>
      <c r="E171" s="466"/>
      <c r="F171" s="616"/>
      <c r="G171" s="616"/>
      <c r="H171" s="569">
        <v>3125</v>
      </c>
      <c r="I171" s="477"/>
      <c r="J171" s="616"/>
      <c r="K171" s="1671">
        <f>SUM(C171:J171)</f>
        <v>3125</v>
      </c>
      <c r="L171" s="569"/>
    </row>
    <row r="172" spans="1:14" ht="12.75" customHeight="1" thickBot="1" x14ac:dyDescent="0.25">
      <c r="A172" s="1668" t="s">
        <v>637</v>
      </c>
      <c r="B172" s="1669" t="s">
        <v>491</v>
      </c>
      <c r="C172" s="616"/>
      <c r="D172" s="616"/>
      <c r="E172" s="1677">
        <f>SUM(E168,E169,E170,E171)</f>
        <v>0</v>
      </c>
      <c r="F172" s="616"/>
      <c r="G172" s="616"/>
      <c r="H172" s="1677">
        <f>SUM(H168,H169,H170,H171)</f>
        <v>12371913</v>
      </c>
      <c r="I172" s="638"/>
      <c r="J172" s="616"/>
      <c r="K172" s="1677">
        <f>SUM(K168,K169,K170,K171)</f>
        <v>12371913</v>
      </c>
      <c r="L172" s="1677">
        <f>SUM(L168,L169,L170,L171)</f>
        <v>12368788</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12371913</v>
      </c>
      <c r="I174" s="638"/>
      <c r="J174" s="616"/>
      <c r="K174" s="1677">
        <f>SUM(K160,K172,K173)</f>
        <v>12371913</v>
      </c>
      <c r="L174" s="1677">
        <f>SUM(L160,L172,L173)</f>
        <v>12368788</v>
      </c>
    </row>
    <row r="175" spans="1:14" ht="13.5" thickTop="1" x14ac:dyDescent="0.2">
      <c r="A175" s="2158" t="s">
        <v>995</v>
      </c>
      <c r="B175" s="2159"/>
      <c r="C175" s="616"/>
      <c r="D175" s="616"/>
      <c r="E175" s="616"/>
      <c r="F175" s="616"/>
      <c r="G175" s="616"/>
      <c r="H175" s="618"/>
      <c r="I175" s="616"/>
      <c r="J175" s="616"/>
      <c r="K175" s="1684">
        <f>'Revenues 9-14'!E268-'Expenditures 15-22'!K174</f>
        <v>-192548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2054</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82666</v>
      </c>
      <c r="D182" s="466">
        <v>16685</v>
      </c>
      <c r="E182" s="466">
        <v>2149116</v>
      </c>
      <c r="F182" s="466">
        <v>70313</v>
      </c>
      <c r="G182" s="466">
        <v>77370</v>
      </c>
      <c r="H182" s="466"/>
      <c r="I182" s="467"/>
      <c r="J182" s="467"/>
      <c r="K182" s="1671">
        <f>SUM(C182:J182)</f>
        <v>2396150</v>
      </c>
      <c r="L182" s="466">
        <v>1988800</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82666</v>
      </c>
      <c r="D184" s="1677">
        <f t="shared" ref="D184:J184" si="17">SUM(D180,D182,D183)</f>
        <v>16685</v>
      </c>
      <c r="E184" s="1677">
        <f t="shared" si="17"/>
        <v>2149116</v>
      </c>
      <c r="F184" s="1677">
        <f t="shared" si="17"/>
        <v>70313</v>
      </c>
      <c r="G184" s="1677">
        <f t="shared" si="17"/>
        <v>77370</v>
      </c>
      <c r="H184" s="1677">
        <f t="shared" si="17"/>
        <v>0</v>
      </c>
      <c r="I184" s="1677">
        <f t="shared" si="17"/>
        <v>0</v>
      </c>
      <c r="J184" s="1677">
        <f t="shared" si="17"/>
        <v>0</v>
      </c>
      <c r="K184" s="1677">
        <f>SUM(K180,K182,K183)</f>
        <v>2396150</v>
      </c>
      <c r="L184" s="1677">
        <f>SUM(L180, L182:L183)</f>
        <v>1988800</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41616</v>
      </c>
    </row>
    <row r="210" spans="1:14" ht="12.75" customHeight="1" thickTop="1" thickBot="1" x14ac:dyDescent="0.25">
      <c r="A210" s="1692" t="s">
        <v>276</v>
      </c>
      <c r="B210" s="1693"/>
      <c r="C210" s="1670">
        <f>SUM(C184,C185)</f>
        <v>82666</v>
      </c>
      <c r="D210" s="1670">
        <f>SUM(D184,D185)</f>
        <v>16685</v>
      </c>
      <c r="E210" s="1670">
        <f>SUM(E184,E185,E196)</f>
        <v>2149116</v>
      </c>
      <c r="F210" s="1670">
        <f>SUM(F184,F185)</f>
        <v>70313</v>
      </c>
      <c r="G210" s="1670">
        <f>SUM(G184,G185)</f>
        <v>77370</v>
      </c>
      <c r="H210" s="1670">
        <f>SUM(H184,H185,H196,H208,H209)</f>
        <v>0</v>
      </c>
      <c r="I210" s="1670">
        <f>SUM(I184,I185)</f>
        <v>0</v>
      </c>
      <c r="J210" s="1670">
        <f>SUM(J184,J185)</f>
        <v>0</v>
      </c>
      <c r="K210" s="1671">
        <f>SUM(K184,K185,K196,K208,K209)</f>
        <v>2396150</v>
      </c>
      <c r="L210" s="1670">
        <f>SUM(L184,L185,L196,L208,L209)</f>
        <v>2030416</v>
      </c>
    </row>
    <row r="211" spans="1:14" ht="13.5" thickTop="1" x14ac:dyDescent="0.2">
      <c r="A211" s="2158" t="s">
        <v>995</v>
      </c>
      <c r="B211" s="2159"/>
      <c r="C211" s="618"/>
      <c r="D211" s="618"/>
      <c r="E211" s="618"/>
      <c r="F211" s="618"/>
      <c r="G211" s="618"/>
      <c r="H211" s="618"/>
      <c r="I211" s="616"/>
      <c r="J211" s="616"/>
      <c r="K211" s="1684">
        <f>'Revenues 9-14'!F268-'Expenditures 15-22'!K210</f>
        <v>255811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964</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721548</v>
      </c>
      <c r="E215" s="616"/>
      <c r="F215" s="616"/>
      <c r="G215" s="616"/>
      <c r="H215" s="616"/>
      <c r="I215" s="616"/>
      <c r="J215" s="616"/>
      <c r="K215" s="1671">
        <f>D215</f>
        <v>721548</v>
      </c>
      <c r="L215" s="466">
        <v>1148764</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356551</v>
      </c>
      <c r="E217" s="616"/>
      <c r="F217" s="616"/>
      <c r="G217" s="616"/>
      <c r="H217" s="616"/>
      <c r="I217" s="616"/>
      <c r="J217" s="616"/>
      <c r="K217" s="1671">
        <f t="shared" si="19"/>
        <v>356551</v>
      </c>
      <c r="L217" s="466">
        <v>220621</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v>52601</v>
      </c>
      <c r="E221" s="616"/>
      <c r="F221" s="616"/>
      <c r="G221" s="616"/>
      <c r="H221" s="616"/>
      <c r="I221" s="616"/>
      <c r="J221" s="616"/>
      <c r="K221" s="1671">
        <f t="shared" si="19"/>
        <v>52601</v>
      </c>
      <c r="L221" s="466">
        <v>43608</v>
      </c>
    </row>
    <row r="222" spans="1:14" x14ac:dyDescent="0.2">
      <c r="A222" s="1504" t="s">
        <v>722</v>
      </c>
      <c r="B222" s="614">
        <v>1400</v>
      </c>
      <c r="C222" s="616"/>
      <c r="D222" s="466"/>
      <c r="E222" s="616"/>
      <c r="F222" s="616"/>
      <c r="G222" s="616"/>
      <c r="H222" s="616"/>
      <c r="I222" s="616"/>
      <c r="J222" s="616"/>
      <c r="K222" s="1671">
        <f t="shared" si="19"/>
        <v>0</v>
      </c>
      <c r="L222" s="466"/>
    </row>
    <row r="223" spans="1:14" x14ac:dyDescent="0.2">
      <c r="A223" s="1504" t="s">
        <v>962</v>
      </c>
      <c r="B223" s="614">
        <v>1500</v>
      </c>
      <c r="C223" s="616"/>
      <c r="D223" s="466">
        <v>291174</v>
      </c>
      <c r="E223" s="616"/>
      <c r="F223" s="616"/>
      <c r="G223" s="616"/>
      <c r="H223" s="616"/>
      <c r="I223" s="616"/>
      <c r="J223" s="616"/>
      <c r="K223" s="1671">
        <f t="shared" si="19"/>
        <v>291174</v>
      </c>
      <c r="L223" s="466">
        <v>120585</v>
      </c>
    </row>
    <row r="224" spans="1:14" x14ac:dyDescent="0.2">
      <c r="A224" s="1504" t="s">
        <v>963</v>
      </c>
      <c r="B224" s="614">
        <v>1600</v>
      </c>
      <c r="C224" s="616"/>
      <c r="D224" s="466">
        <v>18055</v>
      </c>
      <c r="E224" s="616"/>
      <c r="F224" s="616"/>
      <c r="G224" s="616"/>
      <c r="H224" s="616"/>
      <c r="I224" s="616"/>
      <c r="J224" s="616"/>
      <c r="K224" s="1671">
        <f t="shared" si="19"/>
        <v>18055</v>
      </c>
      <c r="L224" s="466">
        <v>25000</v>
      </c>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1466</v>
      </c>
      <c r="E226" s="616"/>
      <c r="F226" s="616"/>
      <c r="G226" s="616"/>
      <c r="H226" s="616"/>
      <c r="I226" s="616"/>
      <c r="J226" s="616"/>
      <c r="K226" s="1671">
        <f t="shared" si="19"/>
        <v>1466</v>
      </c>
      <c r="L226" s="466">
        <v>1892</v>
      </c>
    </row>
    <row r="227" spans="1:12" x14ac:dyDescent="0.2">
      <c r="A227" s="1504" t="s">
        <v>1086</v>
      </c>
      <c r="B227" s="614">
        <v>1800</v>
      </c>
      <c r="C227" s="616"/>
      <c r="D227" s="466">
        <v>16692</v>
      </c>
      <c r="E227" s="616"/>
      <c r="F227" s="616"/>
      <c r="G227" s="616"/>
      <c r="H227" s="616"/>
      <c r="I227" s="616"/>
      <c r="J227" s="616"/>
      <c r="K227" s="1671">
        <f t="shared" si="19"/>
        <v>16692</v>
      </c>
      <c r="L227" s="466">
        <v>14737</v>
      </c>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1458087</v>
      </c>
      <c r="E229" s="616"/>
      <c r="F229" s="616"/>
      <c r="G229" s="616"/>
      <c r="H229" s="616"/>
      <c r="I229" s="616"/>
      <c r="J229" s="616"/>
      <c r="K229" s="1670">
        <f>SUM(K215:K228)</f>
        <v>1458087</v>
      </c>
      <c r="L229" s="1670">
        <f>SUM(L215:L228)</f>
        <v>1575207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30874</v>
      </c>
      <c r="E232" s="616"/>
      <c r="F232" s="616"/>
      <c r="G232" s="616"/>
      <c r="H232" s="616"/>
      <c r="I232" s="616"/>
      <c r="J232" s="616"/>
      <c r="K232" s="1671">
        <f t="shared" ref="K232:K237" si="20">D232</f>
        <v>30874</v>
      </c>
      <c r="L232" s="466">
        <v>29832</v>
      </c>
    </row>
    <row r="233" spans="1:12" x14ac:dyDescent="0.2">
      <c r="A233" s="1504" t="s">
        <v>1089</v>
      </c>
      <c r="B233" s="614">
        <v>2120</v>
      </c>
      <c r="C233" s="616"/>
      <c r="D233" s="466">
        <v>168626</v>
      </c>
      <c r="E233" s="616"/>
      <c r="F233" s="616"/>
      <c r="G233" s="616"/>
      <c r="H233" s="616"/>
      <c r="I233" s="616"/>
      <c r="J233" s="616"/>
      <c r="K233" s="1671">
        <f t="shared" si="20"/>
        <v>168626</v>
      </c>
      <c r="L233" s="466">
        <v>167374</v>
      </c>
    </row>
    <row r="234" spans="1:12" x14ac:dyDescent="0.2">
      <c r="A234" s="1504" t="s">
        <v>198</v>
      </c>
      <c r="B234" s="614">
        <v>2130</v>
      </c>
      <c r="C234" s="616"/>
      <c r="D234" s="466">
        <v>39453</v>
      </c>
      <c r="E234" s="616"/>
      <c r="F234" s="616"/>
      <c r="G234" s="616"/>
      <c r="H234" s="616"/>
      <c r="I234" s="616"/>
      <c r="J234" s="616"/>
      <c r="K234" s="1671">
        <f t="shared" si="20"/>
        <v>39453</v>
      </c>
      <c r="L234" s="466">
        <v>42173</v>
      </c>
    </row>
    <row r="235" spans="1:12" x14ac:dyDescent="0.2">
      <c r="A235" s="1504" t="s">
        <v>199</v>
      </c>
      <c r="B235" s="614">
        <v>2140</v>
      </c>
      <c r="C235" s="616"/>
      <c r="D235" s="466">
        <v>9556</v>
      </c>
      <c r="E235" s="616"/>
      <c r="F235" s="616"/>
      <c r="G235" s="616"/>
      <c r="H235" s="616"/>
      <c r="I235" s="616"/>
      <c r="J235" s="616"/>
      <c r="K235" s="1671">
        <f t="shared" si="20"/>
        <v>9556</v>
      </c>
      <c r="L235" s="466">
        <v>10198</v>
      </c>
    </row>
    <row r="236" spans="1:12" x14ac:dyDescent="0.2">
      <c r="A236" s="1504" t="s">
        <v>200</v>
      </c>
      <c r="B236" s="614">
        <v>2150</v>
      </c>
      <c r="C236" s="616"/>
      <c r="D236" s="466">
        <v>5899</v>
      </c>
      <c r="E236" s="616"/>
      <c r="F236" s="616"/>
      <c r="G236" s="616"/>
      <c r="H236" s="616"/>
      <c r="I236" s="616"/>
      <c r="J236" s="616"/>
      <c r="K236" s="1671">
        <f t="shared" si="20"/>
        <v>5899</v>
      </c>
      <c r="L236" s="466">
        <v>6191</v>
      </c>
    </row>
    <row r="237" spans="1:12" x14ac:dyDescent="0.2">
      <c r="A237" s="1504" t="s">
        <v>165</v>
      </c>
      <c r="B237" s="614">
        <v>2190</v>
      </c>
      <c r="C237" s="616"/>
      <c r="D237" s="466">
        <v>16783</v>
      </c>
      <c r="E237" s="616"/>
      <c r="F237" s="616"/>
      <c r="G237" s="616"/>
      <c r="H237" s="616"/>
      <c r="I237" s="616"/>
      <c r="J237" s="616"/>
      <c r="K237" s="1671">
        <f t="shared" si="20"/>
        <v>16783</v>
      </c>
      <c r="L237" s="466">
        <v>13860</v>
      </c>
    </row>
    <row r="238" spans="1:12" ht="12.75" customHeight="1" thickBot="1" x14ac:dyDescent="0.25">
      <c r="A238" s="1668" t="s">
        <v>559</v>
      </c>
      <c r="B238" s="1675" t="s">
        <v>715</v>
      </c>
      <c r="C238" s="616"/>
      <c r="D238" s="1670">
        <f>SUM(D232:D237)</f>
        <v>271191</v>
      </c>
      <c r="E238" s="616"/>
      <c r="F238" s="616"/>
      <c r="G238" s="616"/>
      <c r="H238" s="616"/>
      <c r="I238" s="616"/>
      <c r="J238" s="616"/>
      <c r="K238" s="1670">
        <f>SUM(K232:K237)</f>
        <v>271191</v>
      </c>
      <c r="L238" s="1670">
        <f>SUM(L232:L237)</f>
        <v>269628</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16379</v>
      </c>
      <c r="E240" s="616"/>
      <c r="F240" s="616"/>
      <c r="G240" s="616"/>
      <c r="H240" s="616"/>
      <c r="I240" s="616"/>
      <c r="J240" s="616"/>
      <c r="K240" s="1672">
        <f>D240</f>
        <v>16379</v>
      </c>
      <c r="L240" s="481">
        <v>17034</v>
      </c>
    </row>
    <row r="241" spans="1:12" x14ac:dyDescent="0.2">
      <c r="A241" s="1504" t="s">
        <v>814</v>
      </c>
      <c r="B241" s="614">
        <v>2220</v>
      </c>
      <c r="C241" s="616"/>
      <c r="D241" s="466">
        <v>126303</v>
      </c>
      <c r="E241" s="616"/>
      <c r="F241" s="616"/>
      <c r="G241" s="616"/>
      <c r="H241" s="616"/>
      <c r="I241" s="616"/>
      <c r="J241" s="616"/>
      <c r="K241" s="1672">
        <f>D241</f>
        <v>126303</v>
      </c>
      <c r="L241" s="466">
        <v>152012</v>
      </c>
    </row>
    <row r="242" spans="1:12" x14ac:dyDescent="0.2">
      <c r="A242" s="1504" t="s">
        <v>815</v>
      </c>
      <c r="B242" s="614">
        <v>2230</v>
      </c>
      <c r="C242" s="616"/>
      <c r="D242" s="466">
        <v>25489</v>
      </c>
      <c r="E242" s="616"/>
      <c r="F242" s="616"/>
      <c r="G242" s="616"/>
      <c r="H242" s="616"/>
      <c r="I242" s="616"/>
      <c r="J242" s="616"/>
      <c r="K242" s="1672">
        <f>D242</f>
        <v>25489</v>
      </c>
      <c r="L242" s="466">
        <v>15504</v>
      </c>
    </row>
    <row r="243" spans="1:12" ht="12.75" customHeight="1" thickBot="1" x14ac:dyDescent="0.25">
      <c r="A243" s="1694" t="s">
        <v>560</v>
      </c>
      <c r="B243" s="1695">
        <v>2200</v>
      </c>
      <c r="C243" s="616"/>
      <c r="D243" s="1670">
        <f>SUM(D240:D242)</f>
        <v>168171</v>
      </c>
      <c r="E243" s="616"/>
      <c r="F243" s="616"/>
      <c r="G243" s="616"/>
      <c r="H243" s="616"/>
      <c r="I243" s="616"/>
      <c r="J243" s="616"/>
      <c r="K243" s="1670">
        <f>SUM(K240:K242)</f>
        <v>168171</v>
      </c>
      <c r="L243" s="1670">
        <f>SUM(L240:L242)</f>
        <v>184550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15685</v>
      </c>
      <c r="E246" s="616"/>
      <c r="F246" s="616"/>
      <c r="G246" s="616"/>
      <c r="H246" s="616"/>
      <c r="I246" s="616"/>
      <c r="J246" s="616"/>
      <c r="K246" s="1672">
        <f t="shared" ref="K246:K256" si="21">D246</f>
        <v>15685</v>
      </c>
      <c r="L246" s="466">
        <v>14462</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15685</v>
      </c>
      <c r="E257" s="616"/>
      <c r="F257" s="616"/>
      <c r="G257" s="616"/>
      <c r="H257" s="616"/>
      <c r="I257" s="616"/>
      <c r="J257" s="616"/>
      <c r="K257" s="1670">
        <f>SUM(K245:K256)</f>
        <v>15685</v>
      </c>
      <c r="L257" s="1670">
        <f>SUM(L245:L256)</f>
        <v>14462</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60047</v>
      </c>
      <c r="E259" s="616"/>
      <c r="F259" s="616"/>
      <c r="G259" s="616"/>
      <c r="H259" s="616"/>
      <c r="I259" s="616"/>
      <c r="J259" s="616"/>
      <c r="K259" s="1672">
        <f>D259</f>
        <v>60047</v>
      </c>
      <c r="L259" s="481">
        <v>59937</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60047</v>
      </c>
      <c r="E261" s="616"/>
      <c r="F261" s="616"/>
      <c r="G261" s="616"/>
      <c r="H261" s="616"/>
      <c r="I261" s="616"/>
      <c r="J261" s="616"/>
      <c r="K261" s="1670">
        <f>SUM(K259:K260)</f>
        <v>60047</v>
      </c>
      <c r="L261" s="1670">
        <f>SUM(L259:L260)</f>
        <v>59937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35375</v>
      </c>
      <c r="E263" s="616"/>
      <c r="F263" s="616"/>
      <c r="G263" s="616"/>
      <c r="H263" s="616"/>
      <c r="I263" s="616"/>
      <c r="J263" s="616"/>
      <c r="K263" s="1672">
        <f>D263</f>
        <v>35375</v>
      </c>
      <c r="L263" s="481">
        <v>37565</v>
      </c>
    </row>
    <row r="264" spans="1:14" x14ac:dyDescent="0.2">
      <c r="A264" s="1504" t="s">
        <v>462</v>
      </c>
      <c r="B264" s="685">
        <v>2520</v>
      </c>
      <c r="C264" s="616"/>
      <c r="D264" s="466">
        <v>74206</v>
      </c>
      <c r="E264" s="616"/>
      <c r="F264" s="616"/>
      <c r="G264" s="616"/>
      <c r="H264" s="616"/>
      <c r="I264" s="616"/>
      <c r="J264" s="616"/>
      <c r="K264" s="1672">
        <f t="shared" ref="K264:K269" si="22">D264</f>
        <v>74206</v>
      </c>
      <c r="L264" s="466">
        <v>78204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776018</v>
      </c>
      <c r="E266" s="616"/>
      <c r="F266" s="616"/>
      <c r="G266" s="616"/>
      <c r="H266" s="616"/>
      <c r="I266" s="616"/>
      <c r="J266" s="616"/>
      <c r="K266" s="1672">
        <f t="shared" si="22"/>
        <v>776018</v>
      </c>
      <c r="L266" s="466">
        <v>687694</v>
      </c>
    </row>
    <row r="267" spans="1:14" x14ac:dyDescent="0.2">
      <c r="A267" s="1504" t="s">
        <v>952</v>
      </c>
      <c r="B267" s="614">
        <v>2550</v>
      </c>
      <c r="C267" s="616"/>
      <c r="D267" s="466">
        <v>11643</v>
      </c>
      <c r="E267" s="616"/>
      <c r="F267" s="616"/>
      <c r="G267" s="616"/>
      <c r="H267" s="616"/>
      <c r="I267" s="616"/>
      <c r="J267" s="616"/>
      <c r="K267" s="1672">
        <f t="shared" si="22"/>
        <v>11643</v>
      </c>
      <c r="L267" s="466">
        <v>11949</v>
      </c>
    </row>
    <row r="268" spans="1:14" x14ac:dyDescent="0.2">
      <c r="A268" s="1504" t="s">
        <v>100</v>
      </c>
      <c r="B268" s="614">
        <v>2560</v>
      </c>
      <c r="C268" s="616"/>
      <c r="D268" s="466">
        <v>4379</v>
      </c>
      <c r="E268" s="616"/>
      <c r="F268" s="616"/>
      <c r="G268" s="616"/>
      <c r="H268" s="616"/>
      <c r="I268" s="616"/>
      <c r="J268" s="616"/>
      <c r="K268" s="1672">
        <f t="shared" si="22"/>
        <v>4379</v>
      </c>
      <c r="L268" s="466"/>
    </row>
    <row r="269" spans="1:14" x14ac:dyDescent="0.2">
      <c r="A269" s="1504" t="s">
        <v>101</v>
      </c>
      <c r="B269" s="614">
        <v>2570</v>
      </c>
      <c r="C269" s="616"/>
      <c r="D269" s="466">
        <v>5987</v>
      </c>
      <c r="E269" s="616"/>
      <c r="F269" s="616"/>
      <c r="G269" s="616"/>
      <c r="H269" s="616"/>
      <c r="I269" s="616"/>
      <c r="J269" s="616"/>
      <c r="K269" s="1672">
        <f t="shared" si="22"/>
        <v>5987</v>
      </c>
      <c r="L269" s="466">
        <v>6454</v>
      </c>
    </row>
    <row r="270" spans="1:14" ht="12.75" customHeight="1" thickBot="1" x14ac:dyDescent="0.25">
      <c r="A270" s="1668" t="s">
        <v>718</v>
      </c>
      <c r="B270" s="1675" t="s">
        <v>35</v>
      </c>
      <c r="C270" s="616"/>
      <c r="D270" s="1670">
        <f>SUM(D263:D269)</f>
        <v>907608</v>
      </c>
      <c r="E270" s="616"/>
      <c r="F270" s="616"/>
      <c r="G270" s="616"/>
      <c r="H270" s="616"/>
      <c r="I270" s="616"/>
      <c r="J270" s="616"/>
      <c r="K270" s="1670">
        <f>SUM(K263:K269)</f>
        <v>907608</v>
      </c>
      <c r="L270" s="1670">
        <f>SUM(L263:L269)</f>
        <v>821866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v>15191</v>
      </c>
      <c r="E273" s="616"/>
      <c r="F273" s="616"/>
      <c r="G273" s="616"/>
      <c r="H273" s="616"/>
      <c r="I273" s="616"/>
      <c r="J273" s="616"/>
      <c r="K273" s="1672">
        <f>D273</f>
        <v>15191</v>
      </c>
      <c r="L273" s="466">
        <v>16550</v>
      </c>
    </row>
    <row r="274" spans="1:12" ht="12" customHeight="1" x14ac:dyDescent="0.2">
      <c r="A274" s="1504" t="s">
        <v>1060</v>
      </c>
      <c r="B274" s="614">
        <v>2630</v>
      </c>
      <c r="C274" s="616"/>
      <c r="D274" s="466">
        <v>35011</v>
      </c>
      <c r="E274" s="616"/>
      <c r="F274" s="616"/>
      <c r="G274" s="616"/>
      <c r="H274" s="616"/>
      <c r="I274" s="616"/>
      <c r="J274" s="616"/>
      <c r="K274" s="1672">
        <f>D274</f>
        <v>35011</v>
      </c>
      <c r="L274" s="466">
        <v>37632</v>
      </c>
    </row>
    <row r="275" spans="1:12" x14ac:dyDescent="0.2">
      <c r="A275" s="1504" t="s">
        <v>402</v>
      </c>
      <c r="B275" s="614">
        <v>2640</v>
      </c>
      <c r="C275" s="616"/>
      <c r="D275" s="466">
        <v>64235</v>
      </c>
      <c r="E275" s="616"/>
      <c r="F275" s="616"/>
      <c r="G275" s="616"/>
      <c r="H275" s="616"/>
      <c r="I275" s="616"/>
      <c r="J275" s="616"/>
      <c r="K275" s="1672">
        <f>D275</f>
        <v>64235</v>
      </c>
      <c r="L275" s="466">
        <v>64846</v>
      </c>
    </row>
    <row r="276" spans="1:12" x14ac:dyDescent="0.2">
      <c r="A276" s="1504" t="s">
        <v>403</v>
      </c>
      <c r="B276" s="614">
        <v>2660</v>
      </c>
      <c r="C276" s="616"/>
      <c r="D276" s="466">
        <v>31089</v>
      </c>
      <c r="E276" s="616"/>
      <c r="F276" s="616"/>
      <c r="G276" s="616"/>
      <c r="H276" s="616"/>
      <c r="I276" s="616"/>
      <c r="J276" s="616"/>
      <c r="K276" s="1672">
        <f>D276</f>
        <v>31089</v>
      </c>
      <c r="L276" s="466">
        <v>40707</v>
      </c>
    </row>
    <row r="277" spans="1:12" ht="12.75" customHeight="1" thickBot="1" x14ac:dyDescent="0.25">
      <c r="A277" s="1691" t="s">
        <v>37</v>
      </c>
      <c r="B277" s="1669" t="s">
        <v>36</v>
      </c>
      <c r="C277" s="616"/>
      <c r="D277" s="1670">
        <f>SUM(D272:D276)</f>
        <v>145526</v>
      </c>
      <c r="E277" s="616"/>
      <c r="F277" s="616"/>
      <c r="G277" s="616"/>
      <c r="H277" s="616"/>
      <c r="I277" s="616"/>
      <c r="J277" s="616"/>
      <c r="K277" s="1670">
        <f>SUM(K272:K276)</f>
        <v>145526</v>
      </c>
      <c r="L277" s="1670">
        <f>SUM(L272:L276)</f>
        <v>159735</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1568228</v>
      </c>
      <c r="E279" s="616"/>
      <c r="F279" s="616"/>
      <c r="G279" s="616"/>
      <c r="H279" s="616"/>
      <c r="I279" s="616"/>
      <c r="J279" s="616"/>
      <c r="K279" s="1677">
        <f>SUM(K238,K243,K257,K261,K270,K277,K278)</f>
        <v>1568228</v>
      </c>
      <c r="L279" s="1677">
        <f>SUM(L238,L243,L257,L261,L270,L277,L278)</f>
        <v>1510178</v>
      </c>
    </row>
    <row r="280" spans="1:12" ht="15.75" customHeight="1" thickTop="1" thickBot="1" x14ac:dyDescent="0.25">
      <c r="A280" s="1624" t="s">
        <v>874</v>
      </c>
      <c r="B280" s="1613">
        <v>3000</v>
      </c>
      <c r="C280" s="616"/>
      <c r="D280" s="576">
        <v>19746</v>
      </c>
      <c r="E280" s="616"/>
      <c r="F280" s="616"/>
      <c r="G280" s="616"/>
      <c r="H280" s="616"/>
      <c r="I280" s="616"/>
      <c r="J280" s="616"/>
      <c r="K280" s="1679">
        <f>D280</f>
        <v>19746</v>
      </c>
      <c r="L280" s="576">
        <v>16820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6" t="s">
        <v>504</v>
      </c>
      <c r="B295" s="2177"/>
      <c r="C295" s="616"/>
      <c r="D295" s="1670">
        <f>SUM(D229,D279,D280,D285)</f>
        <v>3046061</v>
      </c>
      <c r="E295" s="616"/>
      <c r="F295" s="616"/>
      <c r="G295" s="616"/>
      <c r="H295" s="1670">
        <f>H293</f>
        <v>0</v>
      </c>
      <c r="I295" s="616"/>
      <c r="J295" s="616"/>
      <c r="K295" s="1670">
        <f>SUM(K229,K279,K280,K285,K293,K294)</f>
        <v>3046061</v>
      </c>
      <c r="L295" s="1670">
        <f>SUM(L229,L279,L280,L285,L293,L294)</f>
        <v>3102205</v>
      </c>
    </row>
    <row r="296" spans="1:14" ht="13.5" thickTop="1" x14ac:dyDescent="0.2">
      <c r="A296" s="2158" t="s">
        <v>995</v>
      </c>
      <c r="B296" s="2159"/>
      <c r="C296" s="616"/>
      <c r="D296" s="618"/>
      <c r="E296" s="616"/>
      <c r="F296" s="616"/>
      <c r="G296" s="616"/>
      <c r="H296" s="687"/>
      <c r="I296" s="616"/>
      <c r="J296" s="616"/>
      <c r="K296" s="1684">
        <f>'Revenues 9-14'!G268-'Expenditures 15-22'!K295</f>
        <v>1141011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339565</v>
      </c>
      <c r="F301" s="466"/>
      <c r="G301" s="466">
        <v>7793511</v>
      </c>
      <c r="H301" s="466"/>
      <c r="I301" s="467"/>
      <c r="J301" s="467"/>
      <c r="K301" s="1671">
        <f>SUM(C301:J301)</f>
        <v>8133076</v>
      </c>
      <c r="L301" s="467">
        <v>12459505</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339565</v>
      </c>
      <c r="F303" s="1677">
        <f t="shared" si="23"/>
        <v>0</v>
      </c>
      <c r="G303" s="1677">
        <f t="shared" si="23"/>
        <v>7793511</v>
      </c>
      <c r="H303" s="1677">
        <f t="shared" si="23"/>
        <v>0</v>
      </c>
      <c r="I303" s="1677">
        <f t="shared" si="23"/>
        <v>0</v>
      </c>
      <c r="J303" s="1677">
        <f t="shared" si="23"/>
        <v>0</v>
      </c>
      <c r="K303" s="1677">
        <f t="shared" si="23"/>
        <v>8133076</v>
      </c>
      <c r="L303" s="1677">
        <f t="shared" si="23"/>
        <v>12459505</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3" t="s">
        <v>276</v>
      </c>
      <c r="B312" s="2174"/>
      <c r="C312" s="1670">
        <f>SUM(C303)</f>
        <v>0</v>
      </c>
      <c r="D312" s="1670">
        <f>SUM(D303)</f>
        <v>0</v>
      </c>
      <c r="E312" s="1670">
        <f>SUM(E303,E310)</f>
        <v>339565</v>
      </c>
      <c r="F312" s="1670">
        <f>SUM(F303)</f>
        <v>0</v>
      </c>
      <c r="G312" s="1670">
        <f>SUM(G303)</f>
        <v>7793511</v>
      </c>
      <c r="H312" s="1670">
        <f>SUM(H303,H310)</f>
        <v>0</v>
      </c>
      <c r="I312" s="1670">
        <f>SUM(I303)</f>
        <v>0</v>
      </c>
      <c r="J312" s="1670">
        <f>SUM(J303)</f>
        <v>0</v>
      </c>
      <c r="K312" s="1670">
        <f>SUM(K303,K310,K311)</f>
        <v>8133076</v>
      </c>
      <c r="L312" s="1670">
        <f>SUM(L303,L310,L311)</f>
        <v>12459505</v>
      </c>
      <c r="M312" s="665"/>
      <c r="N312" s="665"/>
    </row>
    <row r="313" spans="1:14" ht="13.5" thickTop="1" x14ac:dyDescent="0.2">
      <c r="A313" s="2169" t="s">
        <v>995</v>
      </c>
      <c r="B313" s="2170"/>
      <c r="C313" s="626"/>
      <c r="D313" s="626"/>
      <c r="E313" s="626"/>
      <c r="F313" s="626"/>
      <c r="G313" s="626"/>
      <c r="H313" s="626"/>
      <c r="I313" s="626"/>
      <c r="J313" s="626"/>
      <c r="K313" s="1685">
        <f>'Revenues 9-14'!H268-'Expenditures 15-22'!K312</f>
        <v>-7701450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897</v>
      </c>
      <c r="B317" s="2183"/>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1" t="s">
        <v>995</v>
      </c>
      <c r="B343" s="2172"/>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965</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86909</v>
      </c>
      <c r="H349" s="466"/>
      <c r="I349" s="467"/>
      <c r="J349" s="467"/>
      <c r="K349" s="1671">
        <f>SUM(C349:J349)</f>
        <v>86909</v>
      </c>
      <c r="L349" s="466">
        <v>262675</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86909</v>
      </c>
      <c r="H350" s="1670">
        <f t="shared" si="26"/>
        <v>0</v>
      </c>
      <c r="I350" s="1670">
        <f t="shared" si="26"/>
        <v>0</v>
      </c>
      <c r="J350" s="1670">
        <f t="shared" si="26"/>
        <v>0</v>
      </c>
      <c r="K350" s="1670">
        <f t="shared" si="26"/>
        <v>86909</v>
      </c>
      <c r="L350" s="1670">
        <f t="shared" si="26"/>
        <v>262675</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86909</v>
      </c>
      <c r="H352" s="1670">
        <f t="shared" si="27"/>
        <v>0</v>
      </c>
      <c r="I352" s="1670">
        <f t="shared" si="27"/>
        <v>0</v>
      </c>
      <c r="J352" s="1670">
        <f t="shared" si="27"/>
        <v>0</v>
      </c>
      <c r="K352" s="1670">
        <f t="shared" si="27"/>
        <v>86909</v>
      </c>
      <c r="L352" s="1670">
        <f t="shared" si="27"/>
        <v>262675</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86909</v>
      </c>
      <c r="H367" s="1670">
        <f t="shared" si="28"/>
        <v>0</v>
      </c>
      <c r="I367" s="1670">
        <f t="shared" si="28"/>
        <v>0</v>
      </c>
      <c r="J367" s="1670">
        <f t="shared" si="28"/>
        <v>0</v>
      </c>
      <c r="K367" s="1670">
        <f t="shared" si="28"/>
        <v>86909</v>
      </c>
      <c r="L367" s="1670">
        <f t="shared" si="28"/>
        <v>262675</v>
      </c>
    </row>
    <row r="368" spans="1:14" ht="13.5" thickTop="1" x14ac:dyDescent="0.2">
      <c r="A368" s="2158" t="s">
        <v>995</v>
      </c>
      <c r="B368" s="2159"/>
      <c r="C368" s="654"/>
      <c r="D368" s="654"/>
      <c r="E368" s="626"/>
      <c r="F368" s="626"/>
      <c r="G368" s="626"/>
      <c r="H368" s="626"/>
      <c r="I368" s="626"/>
      <c r="J368" s="623"/>
      <c r="K368" s="1671">
        <f>'Revenues 9-14'!K268-'Expenditures 15-22'!K367</f>
        <v>-83955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6ce3111e-7420-4802-b50a-75d4e9a0b980"/>
    <ds:schemaRef ds:uri="http://schemas.microsoft.com/sharepoint/v3"/>
    <ds:schemaRef ds:uri="http://schemas.microsoft.com/office/2006/metadata/propertie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2019-10-14T17:42:31Z</cp:lastPrinted>
  <dcterms:created xsi:type="dcterms:W3CDTF">2003-10-29T19:06:34Z</dcterms:created>
  <dcterms:modified xsi:type="dcterms:W3CDTF">2019-11-22T16:46:15Z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