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9719A5E-2A82-484B-B07B-9BA020F990AA}"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65" i="5" l="1"/>
  <c r="H124" i="29"/>
  <c r="I5" i="29" l="1"/>
  <c r="L301" i="29" l="1"/>
  <c r="G301"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D22" i="37"/>
  <c r="J22" i="37"/>
  <c r="D24" i="37"/>
  <c r="B4270" i="106" s="1"/>
  <c r="D4270" i="106" s="1"/>
  <c r="D69" i="36" l="1"/>
  <c r="B7076" i="106"/>
  <c r="D7076" i="106" s="1"/>
  <c r="F72" i="34"/>
  <c r="C14" i="4"/>
  <c r="B2558" i="106" s="1"/>
  <c r="D2558" i="106" s="1"/>
  <c r="B2724" i="106"/>
  <c r="D2724" i="106" s="1"/>
  <c r="G33" i="108"/>
  <c r="D36" i="108"/>
  <c r="B4211" i="106"/>
  <c r="D4211" i="106" s="1"/>
  <c r="E30" i="108"/>
  <c r="B6289" i="106"/>
  <c r="D6289" i="106" s="1"/>
  <c r="L5" i="11"/>
  <c r="H28" i="118"/>
  <c r="L13" i="11"/>
  <c r="B2060" i="106" s="1"/>
  <c r="D2060" i="106" s="1"/>
  <c r="D68" i="36"/>
  <c r="B2836" i="106"/>
  <c r="D2836" i="106" s="1"/>
  <c r="G14" i="4"/>
  <c r="B2609" i="106" s="1"/>
  <c r="D2609" i="106" s="1"/>
  <c r="H29" i="118"/>
  <c r="H33" i="118"/>
  <c r="D27" i="108"/>
  <c r="H112" i="29"/>
  <c r="B7018" i="106" s="1"/>
  <c r="D7018" i="106" s="1"/>
  <c r="F44" i="34"/>
  <c r="F42" i="34"/>
  <c r="F50" i="34"/>
  <c r="F46" i="34"/>
  <c r="G38" i="108"/>
  <c r="B1274" i="106"/>
  <c r="D1274" i="106" s="1"/>
  <c r="F71" i="34"/>
  <c r="G26" i="108"/>
  <c r="G35" i="108"/>
  <c r="E35" i="108"/>
  <c r="E26" i="108"/>
  <c r="F38" i="34"/>
  <c r="G15" i="145"/>
  <c r="F36" i="34"/>
  <c r="B1124" i="106"/>
  <c r="D1124" i="106" s="1"/>
  <c r="E34" i="108"/>
  <c r="F28" i="108"/>
  <c r="J210" i="29"/>
  <c r="B7072" i="106" s="1"/>
  <c r="D7072" i="106" s="1"/>
  <c r="E38" i="108"/>
  <c r="J352" i="29"/>
  <c r="J367" i="29" s="1"/>
  <c r="B7245" i="106" s="1"/>
  <c r="D7245" i="106" s="1"/>
  <c r="F67" i="34"/>
  <c r="F56" i="34"/>
  <c r="G30" i="108"/>
  <c r="F31" i="108"/>
  <c r="F69" i="34"/>
  <c r="I210" i="29"/>
  <c r="B7071" i="106" s="1"/>
  <c r="D7071" i="106" s="1"/>
  <c r="D14" i="4"/>
  <c r="B2570" i="106" s="1"/>
  <c r="D2570" i="106" s="1"/>
  <c r="F70" i="34"/>
  <c r="F37" i="34"/>
  <c r="F34" i="34"/>
  <c r="F36" i="108"/>
  <c r="H342" i="29"/>
  <c r="B7221" i="106" s="1"/>
  <c r="D7221" i="106" s="1"/>
  <c r="B6995" i="106"/>
  <c r="D6995" i="106" s="1"/>
  <c r="B3647" i="106"/>
  <c r="D3647" i="106" s="1"/>
  <c r="H76" i="4"/>
  <c r="B3298" i="106" s="1"/>
  <c r="D3298" i="106" s="1"/>
  <c r="K184" i="29"/>
  <c r="F13" i="4" s="1"/>
  <c r="B2596" i="106" s="1"/>
  <c r="D2596" i="106" s="1"/>
  <c r="G210" i="29"/>
  <c r="B1365" i="106" s="1"/>
  <c r="D1365" i="106" s="1"/>
  <c r="C129" i="29"/>
  <c r="B1225" i="106" s="1"/>
  <c r="D1225" i="106" s="1"/>
  <c r="G39" i="108"/>
  <c r="L367" i="29"/>
  <c r="D9" i="7"/>
  <c r="B1767" i="106" s="1"/>
  <c r="D1767" i="106" s="1"/>
  <c r="J41" i="3"/>
  <c r="B6216" i="106" s="1"/>
  <c r="D6216" i="106" s="1"/>
  <c r="L342" i="29"/>
  <c r="H365" i="29"/>
  <c r="B7242" i="106" s="1"/>
  <c r="D7242" i="106" s="1"/>
  <c r="C342" i="29"/>
  <c r="B7216" i="106" s="1"/>
  <c r="D7216" i="106" s="1"/>
  <c r="F77" i="4"/>
  <c r="B3255" i="106" s="1"/>
  <c r="D3255" i="106" s="1"/>
  <c r="K76" i="4"/>
  <c r="B3586" i="106" s="1"/>
  <c r="D3586"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3459" i="106" l="1"/>
  <c r="D3459" i="106" s="1"/>
  <c r="M20" i="3"/>
  <c r="B2864" i="106" s="1"/>
  <c r="D2864" i="106" s="1"/>
  <c r="B2057" i="106"/>
  <c r="D2057" i="106" s="1"/>
  <c r="M17" i="3"/>
  <c r="B274" i="106" s="1"/>
  <c r="D274" i="106" s="1"/>
  <c r="B2056" i="106"/>
  <c r="D2056" i="106" s="1"/>
  <c r="M16" i="3"/>
  <c r="B2059" i="106"/>
  <c r="D2059" i="106" s="1"/>
  <c r="M19" i="3"/>
  <c r="B276" i="106" s="1"/>
  <c r="D276" i="106" s="1"/>
  <c r="B2058" i="106"/>
  <c r="D2058" i="106" s="1"/>
  <c r="M18" i="3"/>
  <c r="B275" i="106" s="1"/>
  <c r="D275" i="106" s="1"/>
  <c r="L16" i="11"/>
  <c r="K28" i="118"/>
  <c r="O27" i="118" s="1"/>
  <c r="O29" i="118" s="1"/>
  <c r="B1328" i="106"/>
  <c r="D1328" i="106" s="1"/>
  <c r="F66" i="34"/>
  <c r="H77" i="4"/>
  <c r="B3299" i="106" s="1"/>
  <c r="D3299" i="106" s="1"/>
  <c r="C151" i="29"/>
  <c r="B1226" i="106" s="1"/>
  <c r="D1226" i="106" s="1"/>
  <c r="H151" i="29"/>
  <c r="B1273" i="106" s="1"/>
  <c r="D1273" i="106" s="1"/>
  <c r="B7235" i="106"/>
  <c r="D7235" i="106" s="1"/>
  <c r="L114" i="29"/>
  <c r="F65" i="34"/>
  <c r="F41" i="108"/>
  <c r="G43" i="108" s="1"/>
  <c r="D51" i="36"/>
  <c r="D44" i="36"/>
  <c r="K365" i="29"/>
  <c r="K16" i="4" s="1"/>
  <c r="B4435" i="106"/>
  <c r="D4435" i="106" s="1"/>
  <c r="B5527" i="106"/>
  <c r="D5527" i="106" s="1"/>
  <c r="K77" i="4"/>
  <c r="B3587" i="106" s="1"/>
  <c r="D3587" i="106" s="1"/>
  <c r="D41" i="108"/>
  <c r="E43" i="108" s="1"/>
  <c r="G6" i="4"/>
  <c r="B2604" i="106" s="1"/>
  <c r="D2604" i="106" s="1"/>
  <c r="B5770" i="106"/>
  <c r="D5770" i="106" s="1"/>
  <c r="C114" i="29"/>
  <c r="B757" i="106" s="1"/>
  <c r="D757" i="106" s="1"/>
  <c r="K342" i="29"/>
  <c r="F13" i="34"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061" i="106" l="1"/>
  <c r="D2061" i="106" s="1"/>
  <c r="M40" i="3"/>
  <c r="M23" i="3"/>
  <c r="B273" i="106"/>
  <c r="D273" i="106" s="1"/>
  <c r="F24" i="37"/>
  <c r="B7243" i="106"/>
  <c r="D7243" i="106" s="1"/>
  <c r="B7224" i="106"/>
  <c r="D7224" i="106" s="1"/>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F8" i="4"/>
  <c r="F10" i="4" s="1"/>
  <c r="B4125" i="106" s="1"/>
  <c r="D4125" i="106" s="1"/>
  <c r="K368" i="29"/>
  <c r="B3681" i="106" s="1"/>
  <c r="D3681" i="106" s="1"/>
  <c r="K17" i="4"/>
  <c r="K19" i="4" s="1"/>
  <c r="B4144" i="106" s="1"/>
  <c r="D4144" i="106" s="1"/>
  <c r="D8" i="146"/>
  <c r="B6227" i="106"/>
  <c r="D6227" i="106" s="1"/>
  <c r="J20" i="4"/>
  <c r="B6230" i="106" s="1"/>
  <c r="D6230"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3575" i="106"/>
  <c r="D3575" i="106" s="1"/>
  <c r="K20" i="4"/>
  <c r="K78" i="4"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J81" i="4"/>
  <c r="J82" i="4"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l="1"/>
  <c r="B6266" i="106"/>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<sst xmlns="http://schemas.openxmlformats.org/spreadsheetml/2006/main" count="5108" uniqueCount="2114">
  <si>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</si>
  <si>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</si>
  <si>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</si>
  <si>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</si>
  <si>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</si>
  <si>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</si>
  <si>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</si>
  <si>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</si>
  <si>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</si>
  <si>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</si>
  <si>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</si>
  <si>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</si>
  <si>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</si>
  <si>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</si>
  <si>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</si>
  <si>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</si>
  <si>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</si>
  <si>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</si>
  <si>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</si>
  <si>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</si>
  <si>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</si>
  <si>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</si>
  <si>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</si>
  <si>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</si>
  <si>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</si>
  <si>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</si>
  <si>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</si>
  <si>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</si>
  <si>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</si>
  <si>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</si>
  <si>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</si>
  <si>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</si>
  <si>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</si>
  <si>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</si>
  <si>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</si>
  <si>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</si>
  <si>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</si>
  <si>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</si>
  <si>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</si>
  <si>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</si>
  <si>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</si>
  <si>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</si>
  <si>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</si>
  <si>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</si>
  <si>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</si>
  <si>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</si>
  <si>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</si>
  <si>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</si>
  <si>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</si>
  <si>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</si>
  <si>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</si>
  <si>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</si>
  <si>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</si>
  <si>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</si>
  <si>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</si>
  <si>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</si>
  <si>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</si>
  <si>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</si>
  <si>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</si>
  <si>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</si>
  <si>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</si>
  <si>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</si>
  <si>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</si>
  <si>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</si>
  <si>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</si>
  <si>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</si>
  <si>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</si>
  <si>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</si>
  <si>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</si>
  <si>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</si>
  <si>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</si>
  <si>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</si>
  <si>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</si>
  <si>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</si>
  <si>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</si>
  <si>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</si>
  <si>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</si>
  <si>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</si>
  <si>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</si>
  <si>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</si>
  <si>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</si>
  <si>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</si>
  <si>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</si>
  <si>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</si>
  <si>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</si>
  <si>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</si>
  <si>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</si>
  <si>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</si>
  <si>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</si>
  <si>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</si>
  <si>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</si>
  <si>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</si>
  <si>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</si>
  <si>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</si>
  <si>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</si>
  <si>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</si>
  <si>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</si>
  <si>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</si>
  <si>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</si>
  <si>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</si>
  <si>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</si>
  <si>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</si>
  <si>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</si>
  <si>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</si>
  <si>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</si>
  <si>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</si>
  <si>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</si>
  <si>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</si>
  <si>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</si>
  <si>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</si>
  <si>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</si>
  <si>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</si>
  <si>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</si>
  <si>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</si>
  <si>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</si>
  <si>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</si>
  <si>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</si>
  <si>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</si>
  <si>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</si>
  <si>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</si>
  <si>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</si>
  <si>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</si>
  <si>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</si>
  <si>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</si>
  <si>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</si>
  <si>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</si>
  <si>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</si>
  <si>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</si>
  <si>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</si>
  <si>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</si>
  <si>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</si>
  <si>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</si>
  <si>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</si>
  <si>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</si>
  <si>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</si>
  <si>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</si>
  <si>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</si>
  <si>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</si>
  <si>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</si>
  <si>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</si>
  <si>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</si>
  <si>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</si>
  <si>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</si>
  <si>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</si>
  <si>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</si>
  <si>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</si>
  <si>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</si>
  <si>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</si>
  <si>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</si>
  <si>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</si>
  <si>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</si>
  <si>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</si>
  <si>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</si>
  <si>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</si>
  <si>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</si>
  <si>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</si>
  <si>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</si>
  <si>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</si>
  <si>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</si>
  <si>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</si>
  <si>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</si>
  <si>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</si>
  <si>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</si>
  <si>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</si>
  <si>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</si>
  <si>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</si>
  <si>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</si>
  <si>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</si>
  <si>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</si>
  <si>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</si>
  <si>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</si>
  <si>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</si>
  <si>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</si>
  <si>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</si>
  <si>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</si>
  <si>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</si>
  <si>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</si>
  <si>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</si>
  <si>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</si>
  <si>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</si>
  <si>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</si>
  <si>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</si>
  <si>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</si>
  <si>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</si>
  <si>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</si>
  <si>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</si>
  <si>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</si>
  <si>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</si>
  <si>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</si>
  <si>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</si>
  <si>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</si>
  <si>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</si>
  <si>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</si>
  <si>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</si>
  <si>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</si>
  <si>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</si>
  <si>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</si>
  <si>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</si>
  <si>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</si>
  <si>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</si>
  <si>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</si>
  <si>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</si>
  <si>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</si>
  <si>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</si>
  <si>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</si>
  <si>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</si>
  <si>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</si>
  <si>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</si>
  <si>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</si>
  <si>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</si>
  <si>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</si>
  <si>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</si>
  <si>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</si>
  <si>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</si>
  <si>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</si>
  <si>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</si>
  <si>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</si>
  <si>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</si>
  <si>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</si>
  <si>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</si>
  <si>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</si>
  <si>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</si>
  <si>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</si>
  <si>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</si>
  <si>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</si>
  <si>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</si>
  <si>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</si>
  <si>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</si>
  <si>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</si>
  <si>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</si>
  <si>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</si>
  <si>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</si>
  <si>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</si>
  <si>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</si>
  <si>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</si>
  <si>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</si>
  <si>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</si>
  <si>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</si>
  <si>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</si>
  <si>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</si>
  <si>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</si>
  <si>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</si>
  <si>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</si>
  <si>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</si>
  <si>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</si>
  <si>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</si>
  <si>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</si>
  <si>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</si>
  <si>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</si>
  <si>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</si>
  <si>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</si>
  <si>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</si>
  <si>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</si>
  <si>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</si>
  <si>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</si>
  <si>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</si>
  <si>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</si>
  <si>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</si>
  <si>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</si>
  <si>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</si>
  <si>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</si>
  <si>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</si>
  <si>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</si>
  <si>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</si>
  <si>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</si>
  <si>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</si>
  <si>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</si>
  <si>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</si>
  <si>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</si>
  <si>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</si>
  <si>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</si>
  <si>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</si>
  <si>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</si>
  <si>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</si>
  <si>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</si>
  <si>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</si>
  <si>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</si>
  <si>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</si>
  <si>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</si>
  <si>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</si>
  <si>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</si>
  <si>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</si>
  <si>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</si>
  <si>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</si>
  <si>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</si>
  <si>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</si>
  <si>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</si>
  <si>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</si>
  <si>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</si>
  <si>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</si>
  <si>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</si>
  <si>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</si>
  <si>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</si>
  <si>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</si>
  <si>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</si>
  <si>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</si>
  <si>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</si>
  <si>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</si>
  <si>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</si>
  <si>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</si>
  <si>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</si>
  <si>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</si>
  <si>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</si>
  <si>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</si>
  <si>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</si>
  <si>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</si>
  <si>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</si>
  <si>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</si>
  <si>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</si>
  <si>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</si>
  <si>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</si>
  <si>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</si>
  <si>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</si>
  <si>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</si>
  <si>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</si>
  <si>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</si>
  <si>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</si>
  <si>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</si>
  <si>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</si>
  <si>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</si>
  <si>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</si>
  <si>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</si>
  <si>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</si>
  <si>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</si>
  <si>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</si>
  <si>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</si>
  <si>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</si>
  <si>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</si>
  <si>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</si>
  <si>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</si>
  <si>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</si>
  <si>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</si>
  <si>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</si>
  <si>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</si>
  <si>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</si>
  <si>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</si>
  <si>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</si>
  <si>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</si>
  <si>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</si>
  <si>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</si>
  <si>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</si>
  <si>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</si>
  <si>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</si>
  <si>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</si>
  <si>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</si>
  <si>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</si>
  <si>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</si>
  <si>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</si>
  <si>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</si>
  <si>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</si>
  <si>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</si>
  <si>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</si>
  <si>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</si>
  <si>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</si>
  <si>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</si>
  <si>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</si>
  <si>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</si>
  <si>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</si>
  <si>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</si>
  <si>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</si>
  <si>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</si>
  <si>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</si>
  <si>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</si>
  <si>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</si>
  <si>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</si>
  <si>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</si>
  <si>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</si>
  <si>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</si>
  <si>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</si>
  <si>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</si>
  <si>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</si>
  <si>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</si>
  <si>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</si>
  <si>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</si>
  <si>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</si>
  <si>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</si>
  <si>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</si>
  <si>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</si>
  <si>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</si>
  <si>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</si>
  <si>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</si>
  <si>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</si>
  <si>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</si>
  <si>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</si>
  <si>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</si>
  <si>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</si>
  <si>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</si>
  <si>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</si>
  <si>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</si>
  <si>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</si>
  <si>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</si>
  <si>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</si>
  <si>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</si>
  <si>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</si>
  <si>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</si>
  <si>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</si>
  <si>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</si>
  <si>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</si>
  <si>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</si>
  <si>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</si>
  <si>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</si>
  <si>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</si>
  <si>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</si>
  <si>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</si>
  <si>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</si>
  <si>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</si>
  <si>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</si>
  <si>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</si>
  <si>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</si>
  <si>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</si>
  <si>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</si>
  <si>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</si>
  <si>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</si>
  <si>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</si>
  <si>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</si>
  <si>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</si>
  <si>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</si>
  <si>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</si>
  <si>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</si>
  <si>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</si>
  <si>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</si>
  <si>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</si>
  <si>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</si>
  <si>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</si>
  <si>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</si>
  <si>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</si>
  <si>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</si>
  <si>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</si>
  <si>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</si>
  <si>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</si>
  <si>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</si>
  <si>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</si>
  <si>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</si>
  <si>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</si>
  <si>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</si>
  <si>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</si>
  <si>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</si>
  <si>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</si>
  <si>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</si>
  <si>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</si>
  <si>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</si>
  <si>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</si>
  <si>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</si>
  <si>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</si>
  <si>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</si>
  <si>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</si>
  <si>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</si>
  <si>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</si>
  <si>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</si>
  <si>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</si>
  <si>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</si>
  <si>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</si>
  <si>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</si>
  <si>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</si>
  <si>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</si>
  <si>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</si>
  <si>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</si>
  <si>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</si>
  <si>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</si>
  <si>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</si>
  <si>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</si>
  <si>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</si>
  <si>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</si>
  <si>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</si>
  <si>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</si>
  <si>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</si>
  <si>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</si>
  <si>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</si>
  <si>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</si>
  <si>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</si>
  <si>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</si>
  <si>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</si>
  <si>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</si>
  <si>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</si>
  <si>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</si>
  <si>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</si>
  <si>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</si>
  <si>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</si>
  <si>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</si>
  <si>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</si>
  <si>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</si>
  <si>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</si>
  <si>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</si>
  <si>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</si>
  <si>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</si>
  <si>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</si>
  <si>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</si>
  <si>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</si>
  <si>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</si>
  <si>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</si>
  <si>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</si>
  <si>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</si>
  <si>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</si>
  <si>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</si>
  <si>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</si>
  <si>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</si>
  <si>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</si>
  <si>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</si>
  <si>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</si>
  <si>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</si>
  <si>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</si>
  <si>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</si>
  <si>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</si>
  <si>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</si>
  <si>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</si>
  <si>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</si>
  <si>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</si>
  <si>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</si>
  <si>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</si>
  <si>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</si>
  <si>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</si>
  <si>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</si>
  <si>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</si>
  <si>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</si>
  <si>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</si>
  <si>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</si>
  <si>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</si>
  <si>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</si>
  <si>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</si>
  <si>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</si>
  <si>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</si>
  <si>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</si>
  <si>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</si>
  <si>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</si>
  <si>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</si>
  <si>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</si>
  <si>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</si>
  <si>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</si>
  <si>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</si>
  <si>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</si>
  <si>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</si>
  <si>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</si>
  <si>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</si>
  <si>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</si>
  <si>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</si>
  <si>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</si>
  <si>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</si>
  <si>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</si>
  <si>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</si>
  <si>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</si>
  <si>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</si>
  <si>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</si>
  <si>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</si>
  <si>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</si>
  <si>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</si>
  <si>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</si>
  <si>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</si>
  <si>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</si>
  <si>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</si>
  <si>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</si>
  <si>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</si>
  <si>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</si>
  <si>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</si>
  <si>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</si>
  <si>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</si>
  <si>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</si>
  <si>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</si>
  <si>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</si>
  <si>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</si>
  <si>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</si>
  <si>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</si>
  <si>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</si>
  <si>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</si>
  <si>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</si>
  <si>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</si>
  <si>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</si>
  <si>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</si>
  <si>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</si>
  <si>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</si>
  <si>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</si>
  <si>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</si>
  <si>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</si>
  <si>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</si>
  <si>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</si>
  <si>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</si>
  <si>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</si>
  <si>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</si>
  <si>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</si>
  <si>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</si>
  <si>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</si>
  <si>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</si>
  <si>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</si>
  <si>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</si>
  <si>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</si>
  <si>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</si>
  <si>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</si>
  <si>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</si>
  <si>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</si>
  <si>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</si>
  <si>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</si>
  <si>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</si>
  <si>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</si>
  <si>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</si>
  <si>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</si>
  <si>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</si>
  <si>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</si>
  <si>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</si>
  <si>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</si>
  <si>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</si>
  <si>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</si>
  <si>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</si>
  <si>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</si>
  <si>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</si>
  <si>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</si>
  <si>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</si>
  <si>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</si>
  <si>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</si>
  <si>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</si>
  <si>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</si>
  <si>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</si>
  <si>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</si>
  <si>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</si>
  <si>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</si>
  <si>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</si>
  <si>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</si>
  <si>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</si>
  <si>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</si>
  <si>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</si>
  <si>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</si>
  <si>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</si>
  <si>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</si>
  <si>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</si>
  <si>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</si>
  <si>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</si>
  <si>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</si>
  <si>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</si>
  <si>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</si>
  <si>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</si>
  <si>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</si>
  <si>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</si>
  <si>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</si>
  <si>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</si>
  <si>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</si>
  <si>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</si>
  <si>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</si>
  <si>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</si>
  <si>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</si>
  <si>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</si>
  <si>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</si>
  <si>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</si>
  <si>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</si>
  <si>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</si>
  <si>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</si>
  <si>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</si>
  <si>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</si>
  <si>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</si>
  <si>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</si>
  <si>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</si>
  <si>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</si>
  <si>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</si>
  <si>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</si>
  <si>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</si>
  <si>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</si>
  <si>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</si>
  <si>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</si>
  <si>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</si>
  <si>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</si>
  <si>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</si>
  <si>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</si>
  <si>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</si>
  <si>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</si>
  <si>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</si>
  <si>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</si>
  <si>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</si>
  <si>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</si>
  <si>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</si>
  <si>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</si>
  <si>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</si>
  <si>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</si>
  <si>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</si>
  <si>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</si>
  <si>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</si>
  <si>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</si>
  <si>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</si>
  <si>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</si>
  <si>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</si>
  <si>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</si>
  <si>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</si>
  <si>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</si>
  <si>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</si>
  <si>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</si>
  <si>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</si>
  <si>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</si>
  <si>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</si>
  <si>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</si>
  <si>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</si>
  <si>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</si>
  <si>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</si>
  <si>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</si>
  <si>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</si>
  <si>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</si>
  <si>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</si>
  <si>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</si>
  <si>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</si>
  <si>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</si>
  <si>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</si>
  <si>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</si>
  <si>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</si>
  <si>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</si>
  <si>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</si>
  <si>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</si>
  <si>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</si>
  <si>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</si>
  <si>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</si>
  <si>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</si>
  <si>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</si>
  <si>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</si>
  <si>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</si>
  <si>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</si>
  <si>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</si>
  <si>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</si>
  <si>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</si>
  <si>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</si>
  <si>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</si>
  <si>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</si>
  <si>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</si>
  <si>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</si>
  <si>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</si>
  <si>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</si>
  <si>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</si>
  <si>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</si>
  <si>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</si>
  <si>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</si>
  <si>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</si>
  <si>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</si>
  <si>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</si>
  <si>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</si>
  <si>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</si>
  <si>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</si>
  <si>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</si>
  <si>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</si>
  <si>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</si>
  <si>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</si>
  <si>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</si>
  <si>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</si>
  <si>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</si>
  <si>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</si>
  <si>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</si>
  <si>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</si>
  <si>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</si>
  <si>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</si>
  <si>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</si>
  <si>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</si>
  <si>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</si>
  <si>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</si>
  <si>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</si>
  <si>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</si>
  <si>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</si>
  <si>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</si>
  <si>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</si>
  <si>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</si>
  <si>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</si>
  <si>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</si>
  <si>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</si>
  <si>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</si>
  <si>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</si>
  <si>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</si>
  <si>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</si>
  <si>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</si>
  <si>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</si>
  <si>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</si>
  <si>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</si>
  <si>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</si>
  <si>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</si>
  <si>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</si>
  <si>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</si>
  <si>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</si>
  <si>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</si>
  <si>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</si>
  <si>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</si>
  <si>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</si>
  <si>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</si>
  <si>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</si>
  <si>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</si>
  <si>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</si>
  <si>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</si>
  <si>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</si>
  <si>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</si>
  <si>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</si>
  <si>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</si>
  <si>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</si>
  <si>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</si>
  <si>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</si>
  <si>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</si>
  <si>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</si>
  <si>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</si>
  <si>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</si>
  <si>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</si>
  <si>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</si>
  <si>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</si>
  <si>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</si>
  <si>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</si>
  <si>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</si>
  <si>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</si>
  <si>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</si>
  <si>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</si>
  <si>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</si>
  <si>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</si>
  <si>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</si>
  <si>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</si>
  <si>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</si>
  <si>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</si>
  <si>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</si>
  <si>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</si>
  <si>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</si>
  <si>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</si>
  <si>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</si>
  <si>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</si>
  <si>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</si>
  <si>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</si>
  <si>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</si>
  <si>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</si>
  <si>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</si>
  <si>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</si>
  <si>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</si>
  <si>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</si>
  <si>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</si>
  <si>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</si>
  <si>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</si>
  <si>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</si>
  <si>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</si>
  <si>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</si>
  <si>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</si>
  <si>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</si>
  <si>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</si>
  <si>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</si>
  <si>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</si>
  <si>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</si>
  <si>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</si>
  <si>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</si>
  <si>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</si>
  <si>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</si>
  <si>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</si>
  <si>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</si>
  <si>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</si>
  <si>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</si>
  <si>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</si>
  <si>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</si>
  <si>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</si>
  <si>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</si>
  <si>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</si>
  <si>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</si>
  <si>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</si>
  <si>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</si>
  <si>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</si>
  <si>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</si>
  <si>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</si>
  <si>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</si>
  <si>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</si>
  <si>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</si>
  <si>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</si>
  <si>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</si>
  <si>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</si>
  <si>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</si>
  <si>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</si>
  <si>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</si>
  <si>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</si>
  <si>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</si>
  <si>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</si>
  <si>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</si>
  <si>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</si>
  <si>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</si>
  <si>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</si>
  <si>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</si>
  <si>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</si>
  <si>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</si>
  <si>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</si>
  <si>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</si>
  <si>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</si>
  <si>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</si>
  <si>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</si>
  <si>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</si>
  <si>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</si>
  <si>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</si>
  <si>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</si>
  <si>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</si>
  <si>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</si>
  <si>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</si>
  <si>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</si>
  <si>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</si>
  <si>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</si>
  <si>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</si>
  <si>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</si>
  <si>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</si>
  <si>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</si>
  <si>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</si>
  <si>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</si>
  <si>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</si>
  <si>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</si>
  <si>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</si>
  <si>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</si>
  <si>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</si>
  <si>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</si>
  <si>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</si>
  <si>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</si>
  <si>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</si>
  <si>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</si>
  <si>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</si>
  <si>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</si>
  <si>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</si>
  <si>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</si>
  <si>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</si>
  <si>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</si>
  <si>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</si>
  <si>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</si>
  <si>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</si>
  <si>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</si>
  <si>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</si>
  <si>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</si>
  <si>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</si>
  <si>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</si>
  <si>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</si>
  <si>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</si>
  <si>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</si>
  <si>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</si>
  <si>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</si>
  <si>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</si>
  <si>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</si>
  <si>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</si>
  <si>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</si>
  <si>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</si>
  <si>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</si>
  <si>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</si>
  <si>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</si>
  <si>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</si>
  <si>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</si>
  <si>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</si>
  <si>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</si>
  <si>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</si>
  <si>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</si>
  <si>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</si>
  <si>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</si>
  <si>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</si>
  <si>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</si>
  <si>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</si>
  <si>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</si>
  <si>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</si>
  <si>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</si>
  <si>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</si>
  <si>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</si>
  <si>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</si>
  <si>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</si>
  <si>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</si>
  <si>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</si>
  <si>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</si>
  <si>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</si>
  <si>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</si>
  <si>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</si>
  <si>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</si>
  <si>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</si>
  <si>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</si>
  <si>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</si>
  <si>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</si>
  <si>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</si>
  <si>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</si>
  <si>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</si>
  <si>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</si>
  <si>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</si>
  <si>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</si>
  <si>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</si>
  <si>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</si>
  <si>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</si>
  <si>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</si>
  <si>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</si>
  <si>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</si>
  <si>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</si>
  <si>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</si>
  <si>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</si>
  <si>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</si>
  <si>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</si>
  <si>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</si>
  <si>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</si>
  <si>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</si>
  <si>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</si>
  <si>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</si>
  <si>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</si>
  <si>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</si>
  <si>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</si>
  <si>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</si>
  <si>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</si>
  <si>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</si>
  <si>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</si>
  <si>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</si>
  <si>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</si>
  <si>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</si>
  <si>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</si>
  <si>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</si>
  <si>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</si>
  <si>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</si>
  <si>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</si>
  <si>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</si>
  <si>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</si>
  <si>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</si>
  <si>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</si>
  <si>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</si>
  <si>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</si>
  <si>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</si>
  <si>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</si>
  <si>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</si>
  <si>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</si>
  <si>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</si>
  <si>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</si>
  <si>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</si>
  <si>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</si>
  <si>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</si>
  <si>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</si>
  <si>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</si>
  <si>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</si>
  <si>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</si>
  <si>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</si>
  <si>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</si>
  <si>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</si>
  <si>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</si>
  <si>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</si>
  <si>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</si>
  <si>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</si>
  <si>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</si>
  <si>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</si>
  <si>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</si>
  <si>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</si>
  <si>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</si>
  <si>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</si>
  <si>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</si>
  <si>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</si>
  <si>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</si>
  <si>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</si>
  <si>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</si>
  <si>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</si>
  <si>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</si>
  <si>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</si>
  <si>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</si>
  <si>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</si>
  <si>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</si>
  <si>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</si>
  <si>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</si>
  <si>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</si>
  <si>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</si>
  <si>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</si>
  <si>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</si>
  <si>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</si>
  <si>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</si>
  <si>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</si>
  <si>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</si>
  <si>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</si>
  <si>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</si>
  <si>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</si>
  <si>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</si>
  <si>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</si>
  <si>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</si>
  <si>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</si>
  <si>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</si>
  <si>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</si>
  <si>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</si>
  <si>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</si>
  <si>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</si>
  <si>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</si>
  <si>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</si>
  <si>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</si>
  <si>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</si>
  <si>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</si>
  <si>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</si>
  <si>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</si>
  <si>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</si>
  <si>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</si>
  <si>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</si>
  <si>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</si>
  <si>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</si>
  <si>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</si>
  <si>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</si>
  <si>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</si>
  <si>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</si>
  <si>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</si>
  <si>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</si>
  <si>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</si>
  <si>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</si>
  <si>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</si>
  <si>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</si>
  <si>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</si>
  <si>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</si>
  <si>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</si>
  <si>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</si>
  <si>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</si>
  <si>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</si>
  <si>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</si>
  <si>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</si>
  <si>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</si>
  <si>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</si>
  <si>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</si>
  <si>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</si>
  <si>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</si>
  <si>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</si>
  <si>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</si>
  <si>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</si>
  <si>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</si>
  <si>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</si>
  <si>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</si>
  <si>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</si>
  <si>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</si>
  <si>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</si>
  <si>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</si>
  <si>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</si>
  <si>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</si>
  <si>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</si>
  <si>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</si>
  <si>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</si>
  <si>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</si>
  <si>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</si>
  <si>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</si>
  <si>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</si>
  <si>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</si>
  <si>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</si>
  <si>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</si>
  <si>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</si>
  <si>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</si>
  <si>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</si>
  <si>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</si>
  <si>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</si>
  <si>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</si>
  <si>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</si>
  <si>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</si>
  <si>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</si>
  <si>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</si>
  <si>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</si>
  <si>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</si>
  <si>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</si>
  <si>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</si>
  <si>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</si>
  <si>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</si>
  <si>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</si>
  <si>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</si>
  <si>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</si>
  <si>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</si>
  <si>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</si>
  <si>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</si>
  <si>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</si>
  <si>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</si>
  <si>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</si>
  <si>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</si>
  <si>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</si>
  <si>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</si>
  <si>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</si>
  <si>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</si>
  <si>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</si>
  <si>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</si>
  <si>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</si>
  <si>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</si>
  <si>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</si>
  <si>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</si>
  <si>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</si>
  <si>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</si>
  <si>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</si>
  <si>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</si>
  <si>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</si>
  <si>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</si>
  <si>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</si>
  <si>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</si>
  <si>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</si>
  <si>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</si>
  <si>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</si>
  <si>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</si>
  <si>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</si>
  <si>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</si>
  <si>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</si>
  <si>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</si>
  <si>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</si>
  <si>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</si>
  <si>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</si>
  <si>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</si>
  <si>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</si>
  <si>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</si>
  <si>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</si>
  <si>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</si>
  <si>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</si>
  <si>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</si>
  <si>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</si>
  <si>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</si>
  <si>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</si>
  <si>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</si>
  <si>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</si>
  <si>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</si>
  <si>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</si>
  <si>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</si>
  <si>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</si>
  <si>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</si>
  <si>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</si>
  <si>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</si>
  <si>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</si>
  <si>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</si>
  <si>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</si>
  <si>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</si>
  <si>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</si>
  <si>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</si>
  <si>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</si>
  <si>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</si>
  <si>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</si>
  <si>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</si>
  <si>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</si>
  <si>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</si>
  <si>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</si>
  <si>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</si>
  <si>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</si>
  <si>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</si>
  <si>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</si>
  <si>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</si>
  <si>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</si>
  <si>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</si>
  <si>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</si>
  <si>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</si>
  <si>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</si>
  <si>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</si>
  <si>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</si>
  <si>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</si>
  <si>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</si>
  <si>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</si>
  <si>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</si>
  <si>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</si>
  <si>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</si>
  <si>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</si>
  <si>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</si>
  <si>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</si>
  <si>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</si>
  <si>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</si>
  <si>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</si>
  <si>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</si>
  <si>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</si>
  <si>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</si>
  <si>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</si>
  <si>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</si>
  <si>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</si>
  <si>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</si>
  <si>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</si>
  <si>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</si>
  <si>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</si>
  <si>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</si>
  <si>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</si>
  <si>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</si>
  <si>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</si>
  <si>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</si>
  <si>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</si>
  <si>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</si>
  <si>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</si>
  <si>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</si>
  <si>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</si>
  <si>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</si>
  <si>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</si>
  <si>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</si>
  <si>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</si>
  <si>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</si>
  <si>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</si>
  <si>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</si>
  <si>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</si>
  <si>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</si>
  <si>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</si>
  <si>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</si>
  <si>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</si>
  <si>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</si>
  <si>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</si>
  <si>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</si>
  <si>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</si>
  <si>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</si>
  <si>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</si>
  <si>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</si>
  <si>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</si>
  <si>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</si>
  <si>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</si>
  <si>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</si>
  <si>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</si>
  <si>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</si>
  <si>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</si>
  <si>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</si>
  <si>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</si>
  <si>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</si>
  <si>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</si>
  <si>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</si>
  <si>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</si>
  <si>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</si>
  <si>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</si>
  <si>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</si>
  <si>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</si>
  <si>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</si>
  <si>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</si>
  <si>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</si>
  <si>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</si>
  <si>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</si>
  <si>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</si>
  <si>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</si>
  <si>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</si>
  <si>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</si>
  <si>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</si>
  <si>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</si>
  <si>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</si>
  <si>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</si>
  <si>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</si>
  <si>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</si>
  <si>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</si>
  <si>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</si>
  <si>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</si>
  <si>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</si>
  <si>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</si>
  <si>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</si>
  <si>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</si>
  <si>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</si>
  <si>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</si>
  <si>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</si>
  <si>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</si>
  <si>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</si>
  <si>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</si>
  <si>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</si>
  <si>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</si>
  <si>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</si>
  <si>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</si>
  <si>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</si>
  <si>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</si>
  <si>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</si>
  <si>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</si>
  <si>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</si>
  <si>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</si>
  <si>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</si>
  <si>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</si>
  <si>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</si>
  <si>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</si>
  <si>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</si>
  <si>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</si>
  <si>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</si>
  <si>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</si>
  <si>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</si>
  <si>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</si>
  <si>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</si>
  <si>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</si>
  <si>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</si>
  <si>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</si>
  <si>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</si>
  <si>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</si>
  <si>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</si>
  <si>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</si>
  <si>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</si>
  <si>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</si>
  <si>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</si>
  <si>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</si>
  <si>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</si>
  <si>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</si>
  <si>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</si>
  <si>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</si>
  <si>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</si>
  <si>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</si>
  <si>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</si>
  <si>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</si>
  <si>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</si>
  <si>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</si>
  <si>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</si>
  <si>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</si>
  <si>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</si>
  <si>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</si>
  <si>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</si>
  <si>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</si>
  <si>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</si>
  <si>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</si>
  <si>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</si>
  <si>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</si>
  <si>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</si>
  <si>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</si>
  <si>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</si>
  <si>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</si>
  <si>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</si>
  <si>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</si>
  <si>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</si>
  <si>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</si>
  <si>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</si>
  <si>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</si>
  <si>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</si>
  <si>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</si>
  <si>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</si>
  <si>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</si>
  <si>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</si>
  <si>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</si>
  <si>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</si>
  <si>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</si>
  <si>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</si>
  <si>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</si>
  <si>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</si>
  <si>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</si>
  <si>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</si>
  <si>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</si>
  <si>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</si>
  <si>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</si>
  <si>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</si>
  <si>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</si>
  <si>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</si>
  <si>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</si>
  <si>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</si>
  <si>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</si>
  <si>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</si>
  <si>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</si>
  <si>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</si>
  <si>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</si>
  <si>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</si>
  <si>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</si>
  <si>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</si>
  <si>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</si>
  <si>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</si>
  <si>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</si>
  <si>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</si>
  <si>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</si>
  <si>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</si>
  <si>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</si>
  <si>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</si>
  <si>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</si>
  <si>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</si>
  <si>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</si>
  <si>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</si>
  <si>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</si>
  <si>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</si>
  <si>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</si>
  <si>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</si>
  <si>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</si>
  <si>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</si>
  <si>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</si>
  <si>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</si>
  <si>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</si>
  <si>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</si>
  <si>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</si>
  <si>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</si>
  <si>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</si>
  <si>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</si>
  <si>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</si>
  <si>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</si>
  <si>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</si>
  <si>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</si>
  <si>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</si>
  <si>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</si>
  <si>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</si>
  <si>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</si>
  <si>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</si>
  <si>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</si>
  <si>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</si>
  <si>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</si>
  <si>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</si>
  <si>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</si>
  <si>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</si>
  <si>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</si>
  <si>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</si>
  <si>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</si>
  <si>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</si>
  <si>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</si>
  <si>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</si>
  <si>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</si>
  <si>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</si>
  <si>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</si>
  <si>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</si>
  <si>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</si>
  <si>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</si>
  <si>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</si>
  <si>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</si>
  <si>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</si>
  <si>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</si>
  <si>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</si>
  <si>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</si>
  <si>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</si>
  <si>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</si>
  <si>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</si>
  <si>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</si>
  <si>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</si>
  <si>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</si>
  <si>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</si>
  <si>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</si>
  <si>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</si>
  <si>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</si>
  <si>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</si>
  <si>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</si>
  <si>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</si>
  <si>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</si>
  <si>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</si>
  <si>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</si>
  <si>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</si>
  <si>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</si>
  <si>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</si>
  <si>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</si>
  <si>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</si>
  <si>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</si>
  <si>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</si>
  <si>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</si>
  <si>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</si>
  <si>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</si>
  <si>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</si>
  <si>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</si>
  <si>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</si>
  <si>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</si>
  <si>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</si>
  <si>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</si>
  <si>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</si>
  <si>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</si>
  <si>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</si>
  <si>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</si>
  <si>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</si>
  <si>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</si>
  <si>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</si>
  <si>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</si>
  <si>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</si>
  <si>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</si>
  <si>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</si>
  <si>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</si>
  <si>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</si>
  <si>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</si>
  <si>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</si>
  <si>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</si>
  <si>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</si>
  <si>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</si>
  <si>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</si>
  <si>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</si>
  <si>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</si>
  <si>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</si>
  <si>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</si>
  <si>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</si>
  <si>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</si>
  <si>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</si>
  <si>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</si>
  <si>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</si>
  <si>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</si>
  <si>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</si>
  <si>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</si>
  <si>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</si>
  <si>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</si>
  <si>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</si>
  <si>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</si>
  <si>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</si>
  <si>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</si>
  <si>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</si>
  <si>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</si>
  <si>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</si>
  <si>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</si>
  <si>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</si>
  <si>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</si>
  <si>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</si>
  <si>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</si>
  <si>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</si>
  <si>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</si>
  <si>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</si>
  <si>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</si>
  <si>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</si>
  <si>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</si>
  <si>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</si>
  <si>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</si>
  <si>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</si>
  <si>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</si>
  <si>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</si>
  <si>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</si>
  <si>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</si>
  <si>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</si>
  <si>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</si>
  <si>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</si>
  <si>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</si>
  <si>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</si>
  <si>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</si>
  <si>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</si>
  <si>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</si>
  <si>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</si>
  <si>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</si>
  <si>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</si>
  <si>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</si>
  <si>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</si>
  <si>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</si>
  <si>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</si>
  <si>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</si>
  <si>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</si>
  <si>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</si>
  <si>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</si>
  <si>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</si>
  <si>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</si>
  <si>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</si>
  <si>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</si>
  <si>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</si>
  <si>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</si>
  <si>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</si>
  <si>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</si>
  <si>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</si>
  <si>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</si>
  <si>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</si>
  <si>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</si>
  <si>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</si>
  <si>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</si>
  <si>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</si>
  <si>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</si>
  <si>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</si>
  <si>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</si>
  <si>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</si>
  <si>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</si>
  <si>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</si>
  <si>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</si>
  <si>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</si>
  <si>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</si>
  <si>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</si>
  <si>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</si>
  <si>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</si>
  <si>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</si>
  <si>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</si>
  <si>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</si>
  <si>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</si>
  <si>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</si>
  <si>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</si>
  <si>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</si>
  <si>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</si>
  <si>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</si>
  <si>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</si>
  <si>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</si>
  <si>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</si>
  <si>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</si>
  <si>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</si>
  <si>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</si>
  <si>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</si>
  <si>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</si>
  <si>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</si>
  <si>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</si>
  <si>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</si>
  <si>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</si>
  <si>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</si>
  <si>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</si>
  <si>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</si>
  <si>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</si>
  <si>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</si>
  <si>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</si>
  <si>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</si>
  <si>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</si>
  <si>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</si>
  <si>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</si>
  <si>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</si>
  <si>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</si>
  <si>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</si>
  <si>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</si>
  <si>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</si>
  <si>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</si>
  <si>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</si>
  <si>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</si>
  <si>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</si>
  <si>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</si>
  <si>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</si>
  <si>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</si>
  <si>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</si>
  <si>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</si>
  <si>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</si>
  <si>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</si>
  <si>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</si>
  <si>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</si>
  <si>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</si>
  <si>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</si>
  <si>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</si>
  <si>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</si>
  <si>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</si>
  <si>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</si>
  <si>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</si>
  <si>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</si>
  <si>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</si>
  <si>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</si>
  <si>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</si>
  <si>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</si>
  <si>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</si>
  <si>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</si>
  <si>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</si>
  <si>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</si>
  <si>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</si>
  <si>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</si>
  <si>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</si>
  <si>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</si>
  <si>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</si>
  <si>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</si>
  <si>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</si>
  <si>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</si>
  <si>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</si>
  <si>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</si>
  <si>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</si>
  <si>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</si>
  <si>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</si>
  <si>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</si>
  <si>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</si>
  <si>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</si>
  <si>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</si>
  <si>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</si>
  <si>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</si>
  <si>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</si>
  <si>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</si>
  <si>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</si>
  <si>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</si>
  <si>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</si>
  <si>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</si>
  <si>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</si>
  <si>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</si>
  <si>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</si>
  <si>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</si>
  <si>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</si>
  <si>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</si>
  <si>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</si>
  <si>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</si>
  <si>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</si>
  <si>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</si>
  <si>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</si>
  <si>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</si>
  <si>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</si>
  <si>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</si>
  <si>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</si>
  <si>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</si>
  <si>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</si>
  <si>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</si>
  <si>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</si>
  <si>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</si>
  <si>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</si>
  <si>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</si>
  <si>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</si>
  <si>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</si>
  <si>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</si>
  <si>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</si>
  <si>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</si>
  <si>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</si>
  <si>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</si>
  <si>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</si>
  <si>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</si>
  <si>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</si>
  <si>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</si>
  <si>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</si>
  <si>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</si>
  <si>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</si>
  <si>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</si>
  <si>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</si>
  <si>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</si>
  <si>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</si>
  <si>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</si>
  <si>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</si>
  <si>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</si>
  <si>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</si>
  <si>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</si>
  <si>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</si>
  <si>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</si>
  <si>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</si>
  <si>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</si>
  <si>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</si>
  <si>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</si>
  <si>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</si>
  <si>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</si>
  <si>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</si>
  <si>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</si>
  <si>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</si>
  <si>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</si>
  <si>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</si>
  <si>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</si>
  <si>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</si>
  <si>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</si>
  <si>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</si>
  <si>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</si>
  <si>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</si>
  <si>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</si>
  <si>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</si>
  <si>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</si>
  <si>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</si>
  <si>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</si>
  <si>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</si>
  <si>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</si>
  <si>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</si>
  <si>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</si>
  <si>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</si>
  <si>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</si>
  <si>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</si>
  <si>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</si>
  <si>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</si>
  <si>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</si>
  <si>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</si>
  <si>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</si>
  <si>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</si>
  <si>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</si>
  <si>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</si>
  <si>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</si>
  <si>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</si>
  <si>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</si>
  <si>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</si>
  <si>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</si>
  <si>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</si>
  <si>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</si>
  <si>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</si>
  <si>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</si>
  <si>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</si>
  <si>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</si>
  <si>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</si>
  <si>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</si>
  <si>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</si>
  <si>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</si>
  <si>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</si>
  <si>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</si>
  <si>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</si>
  <si>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</si>
  <si>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</si>
  <si>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</si>
  <si>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</si>
  <si>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</si>
  <si>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</si>
  <si>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</si>
  <si>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</si>
  <si>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</si>
  <si>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</si>
  <si>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</si>
  <si>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</si>
  <si>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</si>
  <si>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</si>
  <si>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</si>
  <si>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</si>
  <si>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</si>
  <si>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</si>
  <si>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</si>
  <si>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</si>
  <si>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</si>
  <si>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</si>
  <si>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</si>
  <si>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</si>
  <si>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</si>
  <si>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</si>
  <si>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</si>
  <si>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</si>
  <si>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</si>
  <si>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</si>
  <si>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</si>
  <si>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</si>
  <si>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</si>
  <si>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</si>
  <si>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</si>
  <si>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</si>
  <si>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</si>
  <si>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</si>
  <si>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</si>
  <si>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</si>
  <si>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</si>
  <si>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</si>
  <si>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</si>
  <si>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</si>
  <si>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</si>
  <si>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</si>
  <si>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</si>
  <si>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</si>
  <si>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</si>
  <si>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</si>
  <si>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</si>
  <si>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</si>
  <si>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</si>
  <si>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</si>
  <si>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</si>
  <si>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</si>
  <si>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</si>
  <si>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</si>
  <si>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</si>
  <si>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</si>
  <si>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</si>
  <si>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</si>
  <si>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</si>
  <si>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</si>
  <si>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</si>
  <si>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</si>
  <si>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</si>
  <si>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</si>
  <si>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</si>
  <si>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</si>
  <si>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</si>
  <si>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</si>
  <si>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</si>
  <si>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</si>
  <si>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</si>
  <si>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</si>
  <si>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</si>
  <si>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</si>
  <si>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</si>
  <si>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</si>
  <si>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</si>
  <si>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</si>
  <si>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</si>
  <si>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</si>
  <si>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</si>
  <si>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</si>
  <si>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</si>
  <si>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</si>
  <si>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</si>
  <si>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</si>
  <si>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</si>
  <si>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</si>
  <si>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</si>
  <si>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</si>
  <si>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</si>
  <si>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</si>
  <si>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</si>
  <si>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</si>
  <si>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</si>
  <si>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</si>
  <si>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</si>
  <si>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</si>
  <si>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</si>
  <si>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</si>
  <si>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</si>
  <si>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</si>
  <si>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</si>
  <si>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</si>
  <si>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</si>
  <si>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</si>
  <si>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</si>
  <si>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</si>
  <si>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</si>
  <si>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</si>
  <si>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</si>
  <si>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</si>
  <si>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</si>
  <si>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</si>
  <si>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</si>
  <si>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</si>
  <si>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</si>
  <si>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</si>
  <si>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</si>
  <si>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</si>
  <si>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</si>
  <si>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</si>
  <si>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</si>
  <si>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</si>
  <si>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</si>
  <si>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</si>
  <si>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</si>
  <si>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</si>
  <si>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</si>
  <si>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</si>
  <si>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</si>
  <si>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</si>
  <si>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</si>
  <si>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</si>
  <si>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</si>
  <si>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</si>
  <si>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</si>
  <si>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</si>
  <si>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</si>
  <si>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</si>
  <si>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</si>
  <si>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</si>
  <si>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</si>
  <si>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</si>
  <si>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</si>
  <si>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</si>
  <si>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</si>
  <si>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</si>
  <si>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</si>
  <si>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</si>
  <si>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</si>
  <si>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</si>
  <si>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</si>
  <si>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</si>
  <si>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</si>
  <si>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</si>
  <si>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</si>
  <si>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</si>
  <si>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</si>
  <si>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</si>
  <si>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</si>
  <si>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</si>
  <si>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</si>
  <si>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</si>
  <si>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</si>
  <si>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</si>
  <si>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</si>
  <si>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</si>
  <si>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</si>
  <si>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</si>
  <si>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</si>
  <si>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</si>
  <si>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</si>
  <si>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</si>
  <si>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</si>
  <si>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</si>
  <si>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</si>
  <si>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</si>
  <si>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</si>
  <si>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</si>
  <si>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</si>
  <si>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</si>
  <si>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</si>
  <si>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</si>
  <si>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</si>
  <si>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</si>
  <si>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</si>
  <si>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</si>
  <si>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</si>
  <si>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</si>
  <si>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</si>
  <si>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</si>
  <si>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</si>
  <si>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</si>
  <si>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</si>
  <si>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</si>
  <si>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</si>
  <si>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</si>
  <si>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</si>
  <si>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</si>
  <si>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</si>
  <si>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</si>
  <si>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</si>
  <si>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</si>
  <si>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</si>
  <si>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</si>
  <si>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</si>
  <si>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</si>
  <si>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</si>
  <si>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</si>
  <si>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</si>
  <si>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</si>
  <si>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</si>
  <si>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</si>
  <si>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</si>
  <si>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</si>
  <si>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</si>
  <si>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</si>
  <si>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</si>
  <si>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</si>
  <si>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</si>
  <si>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</si>
  <si>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</si>
  <si>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</si>
  <si>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</si>
  <si>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</si>
  <si>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</si>
  <si>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</si>
  <si>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</si>
  <si>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</si>
  <si>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</si>
  <si>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</si>
  <si>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</si>
  <si>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</si>
  <si>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</si>
  <si>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</si>
  <si>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</si>
  <si>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</si>
  <si>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</si>
  <si>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</si>
  <si>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</si>
  <si>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</si>
  <si>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</si>
  <si>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</si>
  <si>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</si>
  <si>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</si>
  <si>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</si>
  <si>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</si>
  <si>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</si>
  <si>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</si>
  <si>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</si>
  <si>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</si>
  <si>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</si>
  <si>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</si>
  <si>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</si>
  <si>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</si>
  <si>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</si>
  <si>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</si>
  <si>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</si>
  <si>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</si>
  <si>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</si>
  <si>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</si>
  <si>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</si>
  <si>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</si>
  <si>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</si>
  <si>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</si>
  <si>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</si>
  <si>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</si>
  <si>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</si>
  <si>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</si>
  <si>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</si>
  <si>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</si>
  <si>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</si>
  <si>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</si>
  <si>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</si>
  <si>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</si>
  <si>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Lauterbach &amp; Amen, LLP</t>
  </si>
  <si>
    <t>Cook</t>
  </si>
  <si>
    <t>Matt Beran</t>
  </si>
  <si>
    <t>668 N. River Road</t>
  </si>
  <si>
    <t>6950 East Prairie Road</t>
  </si>
  <si>
    <t xml:space="preserve">Naperville </t>
  </si>
  <si>
    <t>IL</t>
  </si>
  <si>
    <t>Lincolnwood</t>
  </si>
  <si>
    <t>630-393-1483</t>
  </si>
  <si>
    <t>630-393-2516</t>
  </si>
  <si>
    <t>cwhited@SD74.org</t>
  </si>
  <si>
    <t>065-033233</t>
  </si>
  <si>
    <t>mberan@lauterbachamen.com</t>
  </si>
  <si>
    <t>Dr. Kimberly Nasshan</t>
  </si>
  <si>
    <t>knasshan@SD74.org</t>
  </si>
  <si>
    <t>General Obligation Limited Tax Bonds 2015</t>
  </si>
  <si>
    <t>General Obligation Limited Tax Bonds 2016</t>
  </si>
  <si>
    <t>General Obligation Limited Tax Bonds 2018A</t>
  </si>
  <si>
    <t>O&amp;M-OP &amp; MAINT OF PLANT SERVICES-SERVICES</t>
  </si>
  <si>
    <t>ED-INSTRUCTIONAL-SERVICES</t>
  </si>
  <si>
    <t>O&amp;M-OP &amp; MAINT OF PLANT SERVICES-SUPPLIES</t>
  </si>
  <si>
    <t>TRANSPORTATION-PUPIL TRANSPORTATION-SERVICES</t>
  </si>
  <si>
    <t>ED-BOARD OF ED SERVICES-SERVICES</t>
  </si>
  <si>
    <t>ED-FISCAL SERVICES-SERVICES</t>
  </si>
  <si>
    <t>10-1000-300</t>
  </si>
  <si>
    <t>ACCESS MASTER</t>
  </si>
  <si>
    <t>CONTOUR LANDSCAPING, INC</t>
  </si>
  <si>
    <t>DE LAGE LANDEN FINANCIAL SERVICES, INC</t>
  </si>
  <si>
    <t>ENGIE RESOURCES</t>
  </si>
  <si>
    <t>FIRST STUDENT, INC</t>
  </si>
  <si>
    <t>GCA SERVICE GROUP</t>
  </si>
  <si>
    <t>HODGES LOIZZI EISENHAMMER RODICK &amp; KOHN</t>
  </si>
  <si>
    <t>IMAGETEC</t>
  </si>
  <si>
    <t>NILES TOWNSHIP SCHOOL TREASURER</t>
  </si>
  <si>
    <t>NORTH SHORE TRANSIT</t>
  </si>
  <si>
    <t>VANGUARD ENERGY SERVICES</t>
  </si>
  <si>
    <t>WHITT LAW, LLC</t>
  </si>
  <si>
    <t>HEARTLAND BUSINESS SYSTEMS</t>
  </si>
  <si>
    <t>N/A</t>
  </si>
  <si>
    <t>EDUCATION BENEFIT COOPERATIVE</t>
  </si>
  <si>
    <t>COLLECTIVE LIABILITY INSURANCE COOPERATIVE</t>
  </si>
  <si>
    <t>NILES TOWNSHIP SCHOOL TREASURER'S OFFICE</t>
  </si>
  <si>
    <t>20-2540-300</t>
  </si>
  <si>
    <t>20-2540-400</t>
  </si>
  <si>
    <t>40-2550-300</t>
  </si>
  <si>
    <t>10-2510-300</t>
  </si>
  <si>
    <t>10-2520-300</t>
  </si>
  <si>
    <t>10-1000-400</t>
  </si>
  <si>
    <t>Lincolnwood SD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</si>
</sst>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4</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2064</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5">
        <v>5016074002</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2066</v>
      </c>
      <c r="B15" s="2018"/>
      <c r="C15" s="2018"/>
      <c r="D15" s="2018"/>
      <c r="E15" s="2018"/>
      <c r="F15" s="2018"/>
      <c r="G15" s="2018"/>
      <c r="H15" s="2019"/>
      <c r="T15" s="2024" t="s">
        <v>2067</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2113</v>
      </c>
      <c r="B17" s="1975"/>
      <c r="C17" s="1975"/>
      <c r="D17" s="1975"/>
      <c r="E17" s="1975"/>
      <c r="F17" s="1975"/>
      <c r="G17" s="1975"/>
      <c r="H17" s="2000"/>
      <c r="T17" s="2031" t="s">
        <v>2068</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2069</v>
      </c>
      <c r="B19" s="1960"/>
      <c r="C19" s="1960"/>
      <c r="D19" s="1960"/>
      <c r="E19" s="1960"/>
      <c r="F19" s="1960"/>
      <c r="G19" s="1960"/>
      <c r="H19" s="1940"/>
      <c r="I19" s="30"/>
      <c r="J19" s="99"/>
      <c r="K19" s="40"/>
      <c r="L19" s="38"/>
      <c r="M19" s="112" t="s">
        <v>315</v>
      </c>
      <c r="P19" s="27"/>
      <c r="Q19" s="27"/>
      <c r="R19" s="27"/>
      <c r="S19" s="31"/>
      <c r="T19" s="2014" t="s">
        <v>2070</v>
      </c>
      <c r="U19" s="1939"/>
      <c r="V19" s="1939"/>
      <c r="W19" s="1940"/>
      <c r="X19" s="2029" t="s">
        <v>2071</v>
      </c>
      <c r="Y19" s="2030"/>
      <c r="Z19" s="2027">
        <v>60563</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2072</v>
      </c>
      <c r="B21" s="1939"/>
      <c r="C21" s="1939"/>
      <c r="D21" s="1939"/>
      <c r="E21" s="1939"/>
      <c r="F21" s="1939"/>
      <c r="G21" s="1939"/>
      <c r="H21" s="1940"/>
      <c r="I21" s="1994" t="s">
        <v>678</v>
      </c>
      <c r="J21" s="1989"/>
      <c r="K21" s="1989"/>
      <c r="L21" s="1989"/>
      <c r="M21" s="1989"/>
      <c r="N21" s="1989"/>
      <c r="O21" s="1989"/>
      <c r="P21" s="1989"/>
      <c r="Q21" s="1989"/>
      <c r="R21" s="1989"/>
      <c r="S21" s="1995"/>
      <c r="T21" s="2038" t="s">
        <v>2073</v>
      </c>
      <c r="U21" s="2039"/>
      <c r="V21" s="2039"/>
      <c r="W21" s="2039"/>
      <c r="X21" s="2044" t="s">
        <v>2074</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2075</v>
      </c>
      <c r="B23" s="1992"/>
      <c r="C23" s="1992"/>
      <c r="D23" s="1992"/>
      <c r="E23" s="1992"/>
      <c r="F23" s="1992"/>
      <c r="G23" s="1992"/>
      <c r="H23" s="1993"/>
      <c r="T23" s="1974" t="s">
        <v>2076</v>
      </c>
      <c r="U23" s="2037"/>
      <c r="V23" s="2037"/>
      <c r="W23" s="2037"/>
      <c r="X23" s="2041">
        <v>44469</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60712</v>
      </c>
      <c r="B25" s="1939"/>
      <c r="C25" s="1939"/>
      <c r="D25" s="1939"/>
      <c r="E25" s="1939"/>
      <c r="F25" s="1939"/>
      <c r="G25" s="1939"/>
      <c r="H25" s="1940"/>
      <c r="I25" s="113"/>
      <c r="J25" s="1963"/>
      <c r="K25" s="1963"/>
      <c r="L25" s="1963"/>
      <c r="M25" s="1963"/>
      <c r="N25" s="1963"/>
      <c r="O25" s="1963"/>
      <c r="P25" s="1963"/>
      <c r="Q25" s="1963"/>
      <c r="R25" s="1963"/>
      <c r="S25" s="1964"/>
      <c r="T25" s="2034" t="s">
        <v>2077</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2078</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2079</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v>8476758234</v>
      </c>
      <c r="B42" s="1958"/>
      <c r="C42" s="1959"/>
      <c r="D42" s="1957"/>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C15" sqref="C1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15773028</v>
      </c>
      <c r="C4" s="1524">
        <v>8984732</v>
      </c>
      <c r="D4" s="1752">
        <f>B4-C4</f>
        <v>6788296</v>
      </c>
      <c r="E4" s="1524">
        <v>17507021</v>
      </c>
      <c r="F4" s="1752">
        <f>E4-C4</f>
        <v>8522289</v>
      </c>
    </row>
    <row r="5" spans="1:6" ht="13.7" customHeight="1" x14ac:dyDescent="0.2">
      <c r="A5" s="715" t="s">
        <v>870</v>
      </c>
      <c r="B5" s="1750">
        <f>'Revenues 9-14'!D5</f>
        <v>1815610</v>
      </c>
      <c r="C5" s="585">
        <v>1052503</v>
      </c>
      <c r="D5" s="1753">
        <f t="shared" ref="D5:D18" si="0">B5-C5</f>
        <v>763107</v>
      </c>
      <c r="E5" s="585">
        <v>2050833</v>
      </c>
      <c r="F5" s="1753">
        <f>E5-C5</f>
        <v>998330</v>
      </c>
    </row>
    <row r="6" spans="1:6" ht="13.7" customHeight="1" x14ac:dyDescent="0.2">
      <c r="A6" s="715" t="s">
        <v>411</v>
      </c>
      <c r="B6" s="1750">
        <f>'Revenues 9-14'!E5</f>
        <v>1102558</v>
      </c>
      <c r="C6" s="585">
        <v>665248</v>
      </c>
      <c r="D6" s="1753">
        <f t="shared" si="0"/>
        <v>437310</v>
      </c>
      <c r="E6" s="585">
        <v>1296645</v>
      </c>
      <c r="F6" s="1753">
        <f t="shared" ref="F6:F18" si="1">E6-C6</f>
        <v>631397</v>
      </c>
    </row>
    <row r="7" spans="1:6" ht="13.7" customHeight="1" x14ac:dyDescent="0.2">
      <c r="A7" s="715" t="s">
        <v>155</v>
      </c>
      <c r="B7" s="1750">
        <f>'Revenues 9-14'!F5</f>
        <v>415866</v>
      </c>
      <c r="C7" s="585">
        <v>214886</v>
      </c>
      <c r="D7" s="1753">
        <f t="shared" si="0"/>
        <v>200980</v>
      </c>
      <c r="E7" s="585">
        <v>418711</v>
      </c>
      <c r="F7" s="1753">
        <f t="shared" si="1"/>
        <v>203825</v>
      </c>
    </row>
    <row r="8" spans="1:6" ht="13.7" customHeight="1" x14ac:dyDescent="0.2">
      <c r="A8" s="715" t="s">
        <v>1179</v>
      </c>
      <c r="B8" s="1750">
        <f>'Revenues 9-14'!G5</f>
        <v>162934</v>
      </c>
      <c r="C8" s="585">
        <v>92768</v>
      </c>
      <c r="D8" s="1753">
        <f t="shared" si="0"/>
        <v>70166</v>
      </c>
      <c r="E8" s="585">
        <v>180762</v>
      </c>
      <c r="F8" s="1753">
        <f t="shared" si="1"/>
        <v>87994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602</v>
      </c>
      <c r="C10" s="585">
        <v>337</v>
      </c>
      <c r="D10" s="1753">
        <f t="shared" si="0"/>
        <v>265</v>
      </c>
      <c r="E10" s="585">
        <v>657</v>
      </c>
      <c r="F10" s="1753">
        <f t="shared" si="1"/>
        <v>320</v>
      </c>
    </row>
    <row r="11" spans="1:6" x14ac:dyDescent="0.2">
      <c r="A11" s="715" t="s">
        <v>409</v>
      </c>
      <c r="B11" s="1750">
        <f>'Revenues 9-14'!J5</f>
        <v>602</v>
      </c>
      <c r="C11" s="585">
        <v>337</v>
      </c>
      <c r="D11" s="1753">
        <f t="shared" si="0"/>
        <v>265</v>
      </c>
      <c r="E11" s="585">
        <v>657</v>
      </c>
      <c r="F11" s="1753">
        <f t="shared" si="1"/>
        <v>320</v>
      </c>
    </row>
    <row r="12" spans="1:6" ht="13.7" customHeight="1" x14ac:dyDescent="0.2">
      <c r="A12" s="715" t="s">
        <v>157</v>
      </c>
      <c r="B12" s="1750">
        <f>'Revenues 9-14'!K5</f>
        <v>428305</v>
      </c>
      <c r="C12" s="585">
        <v>237488</v>
      </c>
      <c r="D12" s="1753">
        <f t="shared" si="0"/>
        <v>190817</v>
      </c>
      <c r="E12" s="585">
        <v>462752</v>
      </c>
      <c r="F12" s="1753">
        <f t="shared" si="1"/>
        <v>225264</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471650</v>
      </c>
      <c r="C14" s="585">
        <v>159562</v>
      </c>
      <c r="D14" s="1753">
        <f t="shared" si="0"/>
        <v>312088</v>
      </c>
      <c r="E14" s="585">
        <v>310911</v>
      </c>
      <c r="F14" s="1753">
        <f t="shared" si="1"/>
        <v>151349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20171155</v>
      </c>
      <c r="C19" s="1751">
        <f>SUM(C4:C18)</f>
        <v>11407861</v>
      </c>
      <c r="D19" s="1751">
        <f>SUM(D4:D18)</f>
        <v>8763294</v>
      </c>
      <c r="E19" s="1751">
        <f>SUM(E4:E18)</f>
        <v>22228949</v>
      </c>
      <c r="F19" s="1751">
        <f>SUM(F4:F18)</f>
        <v>10821088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31" colorId="8" zoomScale="110" zoomScaleNormal="11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42367</v>
      </c>
      <c r="C31" s="734">
        <v>8505000</v>
      </c>
      <c r="D31" s="735">
        <v>1</v>
      </c>
      <c r="E31" s="734">
        <v>6230000</v>
      </c>
      <c r="F31" s="734"/>
      <c r="G31" s="734"/>
      <c r="H31" s="734">
        <v>700000</v>
      </c>
      <c r="I31" s="1756">
        <f>((E31+F31)-H31)+G31</f>
        <v>5530000</v>
      </c>
      <c r="J31" s="734">
        <v>5530000</v>
      </c>
      <c r="K31" s="736"/>
    </row>
    <row r="32" spans="1:11" ht="12" customHeight="1" x14ac:dyDescent="0.2">
      <c r="A32" s="732" t="s">
        <v>2081</v>
      </c>
      <c r="B32" s="733">
        <v>42467</v>
      </c>
      <c r="C32" s="734">
        <v>4235000</v>
      </c>
      <c r="D32" s="735">
        <v>1</v>
      </c>
      <c r="E32" s="734">
        <v>4205000</v>
      </c>
      <c r="F32" s="734"/>
      <c r="G32" s="734"/>
      <c r="H32" s="734"/>
      <c r="I32" s="1756">
        <f>((E32+F32)-H32)+G32</f>
        <v>4205000</v>
      </c>
      <c r="J32" s="734">
        <v>4205000</v>
      </c>
      <c r="K32" s="736"/>
    </row>
    <row r="33" spans="1:11" ht="12" customHeight="1" x14ac:dyDescent="0.2">
      <c r="A33" s="732" t="s">
        <v>2082</v>
      </c>
      <c r="B33" s="733">
        <v>43284</v>
      </c>
      <c r="C33" s="734">
        <v>5910000</v>
      </c>
      <c r="D33" s="735">
        <v>1</v>
      </c>
      <c r="E33" s="734"/>
      <c r="F33" s="734">
        <v>5910000</v>
      </c>
      <c r="G33" s="734"/>
      <c r="H33" s="734"/>
      <c r="I33" s="1756">
        <f t="shared" ref="I33:I48" si="1">((E33+F33)-H33)+G33</f>
        <v>5910000</v>
      </c>
      <c r="J33" s="734">
        <v>5910000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18650000</v>
      </c>
      <c r="D49" s="745"/>
      <c r="E49" s="1756">
        <f t="shared" ref="E49:J49" si="2">SUM(E31:E48)</f>
        <v>10435000</v>
      </c>
      <c r="F49" s="1756">
        <f t="shared" si="2"/>
        <v>5910000</v>
      </c>
      <c r="G49" s="1756">
        <f t="shared" si="2"/>
        <v>0</v>
      </c>
      <c r="H49" s="1756">
        <f t="shared" si="2"/>
        <v>700000</v>
      </c>
      <c r="I49" s="1756">
        <f t="shared" si="2"/>
        <v>15645000</v>
      </c>
      <c r="J49" s="1756">
        <f t="shared" si="2"/>
        <v>15645000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v>280040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280040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280040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280040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N20" sqref="N20:N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2337500</v>
      </c>
      <c r="D5" s="841"/>
      <c r="E5" s="841"/>
      <c r="F5" s="1760">
        <f>(C5+D5)-E5</f>
        <v>2337500</v>
      </c>
      <c r="G5" s="837"/>
      <c r="H5" s="842"/>
      <c r="I5" s="842"/>
      <c r="J5" s="842"/>
      <c r="K5" s="793"/>
      <c r="L5" s="1769">
        <f>F5-K5</f>
        <v>2337500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49158024</v>
      </c>
      <c r="D8" s="844"/>
      <c r="E8" s="844"/>
      <c r="F8" s="1760">
        <f>(C8+D8)-E8</f>
        <v>49158024</v>
      </c>
      <c r="G8" s="843">
        <v>50</v>
      </c>
      <c r="H8" s="765">
        <v>18081560</v>
      </c>
      <c r="I8" s="765">
        <v>1766926</v>
      </c>
      <c r="J8" s="765"/>
      <c r="K8" s="1769">
        <f>(H8+I8)-J8</f>
        <v>19848486</v>
      </c>
      <c r="L8" s="1769">
        <f>F8-K8</f>
        <v>29309538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2060107</v>
      </c>
      <c r="D10" s="846"/>
      <c r="E10" s="846"/>
      <c r="F10" s="1764">
        <f>(C10+D10)-E10</f>
        <v>2060107</v>
      </c>
      <c r="G10" s="843">
        <v>20</v>
      </c>
      <c r="H10" s="847">
        <v>1294315</v>
      </c>
      <c r="I10" s="847">
        <v>99765</v>
      </c>
      <c r="J10" s="847"/>
      <c r="K10" s="1769">
        <f>(H10+I10)-J10</f>
        <v>1394080</v>
      </c>
      <c r="L10" s="1769">
        <f>F10-K10</f>
        <v>666027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6980895</v>
      </c>
      <c r="D12" s="844">
        <v>353450</v>
      </c>
      <c r="E12" s="844"/>
      <c r="F12" s="1760">
        <f>(C12+D12)-E12</f>
        <v>7334345</v>
      </c>
      <c r="G12" s="843">
        <v>10</v>
      </c>
      <c r="H12" s="765">
        <v>4515151</v>
      </c>
      <c r="I12" s="765">
        <v>715523</v>
      </c>
      <c r="J12" s="765"/>
      <c r="K12" s="1769">
        <f>(H12+I12)-J12</f>
        <v>5230674</v>
      </c>
      <c r="L12" s="1769">
        <f>F12-K12</f>
        <v>2103671</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1915505</v>
      </c>
      <c r="D15" s="844">
        <v>6086678</v>
      </c>
      <c r="E15" s="844"/>
      <c r="F15" s="1760">
        <f>(C15+D15)-E15</f>
        <v>8002183</v>
      </c>
      <c r="G15" s="849" t="s">
        <v>862</v>
      </c>
      <c r="H15" s="781"/>
      <c r="I15" s="781"/>
      <c r="J15" s="781"/>
      <c r="K15" s="781"/>
      <c r="L15" s="1769">
        <f>F15-K15</f>
        <v>8002183</v>
      </c>
    </row>
    <row r="16" spans="1:14" ht="15" customHeight="1" thickTop="1" thickBot="1" x14ac:dyDescent="0.25">
      <c r="A16" s="1765" t="s">
        <v>643</v>
      </c>
      <c r="B16" s="1766">
        <v>200</v>
      </c>
      <c r="C16" s="1760">
        <f>SUM(C3,C5:C6,C8:C10,C12:C15)</f>
        <v>62452031</v>
      </c>
      <c r="D16" s="1760">
        <f>SUM(D3,D5:D6,D8:D10,D12:D15)</f>
        <v>6440128</v>
      </c>
      <c r="E16" s="1760">
        <f>SUM(E3,E5:E6,E8:E10,E12:E15)</f>
        <v>0</v>
      </c>
      <c r="F16" s="1760">
        <f>SUM(F3,F5:F6,F8:F10,F12:F15)</f>
        <v>68892159</v>
      </c>
      <c r="G16" s="843"/>
      <c r="H16" s="1760">
        <f>SUM(H3,H6,H8:H10,H12:H14,)</f>
        <v>23891026</v>
      </c>
      <c r="I16" s="1760">
        <f>SUM(I3,I6,I8:I10,I12:I14,)</f>
        <v>2582214</v>
      </c>
      <c r="J16" s="1760">
        <f>SUM(J3,J6,J8:J10,J12:J14,)</f>
        <v>0</v>
      </c>
      <c r="K16" s="1760">
        <f>(H16+I16)-J16</f>
        <v>26473240</v>
      </c>
      <c r="L16" s="1760">
        <f>F16-K16</f>
        <v>42418919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80993</v>
      </c>
      <c r="G17" s="837">
        <v>10</v>
      </c>
      <c r="H17" s="769"/>
      <c r="I17" s="1769">
        <f>F17/G17</f>
        <v>8099.3</v>
      </c>
      <c r="J17" s="769"/>
      <c r="K17" s="795"/>
      <c r="L17" s="795"/>
    </row>
    <row r="18" spans="1:12" ht="14.25" thickTop="1" thickBot="1" x14ac:dyDescent="0.25">
      <c r="A18" s="1767" t="s">
        <v>685</v>
      </c>
      <c r="B18" s="1768"/>
      <c r="C18" s="771"/>
      <c r="D18" s="771"/>
      <c r="E18" s="771"/>
      <c r="F18" s="850"/>
      <c r="G18" s="851"/>
      <c r="H18" s="773"/>
      <c r="I18" s="1760">
        <f>SUM(I16,I17)</f>
        <v>2590313.2999999998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27"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20858703</v>
      </c>
      <c r="G8" s="865"/>
    </row>
    <row r="9" spans="1:7" x14ac:dyDescent="0.2">
      <c r="A9" s="869" t="s">
        <v>460</v>
      </c>
      <c r="B9" s="870" t="s">
        <v>1877</v>
      </c>
      <c r="C9" s="871"/>
      <c r="D9" s="869" t="s">
        <v>501</v>
      </c>
      <c r="E9" s="868"/>
      <c r="F9" s="1909">
        <f>'Expenditures 15-22'!K151</f>
        <v>2037225</v>
      </c>
      <c r="G9" s="872"/>
    </row>
    <row r="10" spans="1:7" x14ac:dyDescent="0.2">
      <c r="A10" s="869" t="s">
        <v>499</v>
      </c>
      <c r="B10" s="870" t="s">
        <v>1878</v>
      </c>
      <c r="C10" s="871"/>
      <c r="D10" s="869" t="s">
        <v>501</v>
      </c>
      <c r="E10" s="868"/>
      <c r="F10" s="1909">
        <f>'Expenditures 15-22'!K174</f>
        <v>1342435</v>
      </c>
      <c r="G10" s="872"/>
    </row>
    <row r="11" spans="1:7" x14ac:dyDescent="0.2">
      <c r="A11" s="869" t="s">
        <v>461</v>
      </c>
      <c r="B11" s="870" t="s">
        <v>1879</v>
      </c>
      <c r="C11" s="871"/>
      <c r="D11" s="869" t="s">
        <v>501</v>
      </c>
      <c r="E11" s="868"/>
      <c r="F11" s="1909">
        <f>'Expenditures 15-22'!K210</f>
        <v>1178695</v>
      </c>
      <c r="G11" s="872"/>
    </row>
    <row r="12" spans="1:7" x14ac:dyDescent="0.2">
      <c r="A12" s="869" t="s">
        <v>462</v>
      </c>
      <c r="B12" s="870" t="s">
        <v>1880</v>
      </c>
      <c r="C12" s="871"/>
      <c r="D12" s="869" t="s">
        <v>501</v>
      </c>
      <c r="E12" s="868"/>
      <c r="F12" s="1909">
        <f>'Expenditures 15-22'!K295</f>
        <v>546334</v>
      </c>
      <c r="G12" s="872"/>
    </row>
    <row r="13" spans="1:7" x14ac:dyDescent="0.2">
      <c r="A13" s="869" t="s">
        <v>106</v>
      </c>
      <c r="B13" s="870" t="s">
        <v>1881</v>
      </c>
      <c r="C13" s="871"/>
      <c r="D13" s="869" t="s">
        <v>501</v>
      </c>
      <c r="E13" s="868"/>
      <c r="F13" s="1909">
        <f>'Expenditures 15-22'!K342</f>
        <v>134680</v>
      </c>
      <c r="G13" s="873"/>
    </row>
    <row r="14" spans="1:7" ht="12" customHeight="1" thickBot="1" x14ac:dyDescent="0.25">
      <c r="A14" s="1770"/>
      <c r="B14" s="1771"/>
      <c r="C14" s="1772"/>
      <c r="D14" s="1773" t="s">
        <v>501</v>
      </c>
      <c r="E14" s="1774" t="s">
        <v>958</v>
      </c>
      <c r="F14" s="1775">
        <f>SUM(F8:F13)</f>
        <v>26098072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91302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961</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47856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1972674</v>
      </c>
      <c r="G53" s="865"/>
    </row>
    <row r="54" spans="1:7" x14ac:dyDescent="0.2">
      <c r="A54" s="869" t="s">
        <v>459</v>
      </c>
      <c r="B54" s="869" t="s">
        <v>1476</v>
      </c>
      <c r="C54" s="889" t="s">
        <v>982</v>
      </c>
      <c r="D54" s="885" t="s">
        <v>1095</v>
      </c>
      <c r="E54" s="868"/>
      <c r="F54" s="1913">
        <f>'Expenditures 15-22'!G114</f>
        <v>207865</v>
      </c>
      <c r="G54" s="865"/>
    </row>
    <row r="55" spans="1:7" x14ac:dyDescent="0.2">
      <c r="A55" s="869" t="s">
        <v>459</v>
      </c>
      <c r="B55" s="869" t="s">
        <v>1477</v>
      </c>
      <c r="C55" s="889" t="s">
        <v>982</v>
      </c>
      <c r="D55" s="885" t="s">
        <v>291</v>
      </c>
      <c r="E55" s="868"/>
      <c r="F55" s="1913">
        <f>'Expenditures 15-22'!I114</f>
        <v>76320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131802</v>
      </c>
      <c r="G58" s="865"/>
    </row>
    <row r="59" spans="1:7" x14ac:dyDescent="0.2">
      <c r="A59" s="893" t="s">
        <v>460</v>
      </c>
      <c r="B59" s="856" t="s">
        <v>1884</v>
      </c>
      <c r="C59" s="894" t="s">
        <v>982</v>
      </c>
      <c r="D59" s="856" t="s">
        <v>291</v>
      </c>
      <c r="F59" s="1916">
        <f>'Expenditures 15-22'!I151</f>
        <v>4673</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700000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805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1722</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3235980</v>
      </c>
      <c r="G76" s="865"/>
    </row>
    <row r="77" spans="1:8" s="893" customFormat="1" ht="12" customHeight="1" thickTop="1" thickBot="1" x14ac:dyDescent="0.25">
      <c r="A77" s="1779"/>
      <c r="B77" s="1776"/>
      <c r="C77" s="1772"/>
      <c r="D77" s="1777" t="s">
        <v>1900</v>
      </c>
      <c r="E77" s="1774"/>
      <c r="F77" s="1780">
        <f>(F14-F76)</f>
        <v>22862092</v>
      </c>
      <c r="G77" s="869"/>
    </row>
    <row r="78" spans="1:8" s="893" customFormat="1" ht="12" customHeight="1" thickTop="1" x14ac:dyDescent="0.2">
      <c r="A78" s="1781"/>
      <c r="B78" s="1776"/>
      <c r="C78" s="1772"/>
      <c r="D78" s="1777" t="s">
        <v>2062</v>
      </c>
      <c r="E78" s="1774"/>
      <c r="F78" s="898">
        <v>1123.8</v>
      </c>
      <c r="G78" s="899"/>
      <c r="H78" s="869"/>
    </row>
    <row r="79" spans="1:8" s="893" customFormat="1" ht="12" customHeight="1" thickBot="1" x14ac:dyDescent="0.25">
      <c r="A79" s="1782"/>
      <c r="B79" s="1776"/>
      <c r="C79" s="1772"/>
      <c r="D79" s="1777" t="s">
        <v>1901</v>
      </c>
      <c r="E79" s="1774" t="s">
        <v>958</v>
      </c>
      <c r="F79" s="1783">
        <f>IF(F78&gt;0,F77/F78," Complete Line 78")</f>
        <v>20343.559352197899</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294396</v>
      </c>
      <c r="G94" s="912"/>
    </row>
    <row r="95" spans="1:7" x14ac:dyDescent="0.2">
      <c r="A95" s="908" t="s">
        <v>140</v>
      </c>
      <c r="B95" s="908" t="s">
        <v>175</v>
      </c>
      <c r="C95" s="910">
        <v>1700</v>
      </c>
      <c r="D95" s="918" t="str">
        <f>'Revenues 9-14'!A82</f>
        <v>Total District/School Activity Income</v>
      </c>
      <c r="E95" s="906"/>
      <c r="F95" s="1789">
        <f>SUM('Revenues 9-14'!C82,'Revenues 9-14'!D82)</f>
        <v>117283</v>
      </c>
      <c r="G95" s="912"/>
    </row>
    <row r="96" spans="1:7" x14ac:dyDescent="0.2">
      <c r="A96" s="908" t="s">
        <v>459</v>
      </c>
      <c r="B96" s="908" t="s">
        <v>176</v>
      </c>
      <c r="C96" s="910">
        <f>'Revenues 9-14'!B84</f>
        <v>1811</v>
      </c>
      <c r="D96" s="911" t="str">
        <f>'Revenues 9-14'!A84</f>
        <v>Rentals - Regular Textbooks</v>
      </c>
      <c r="E96" s="906"/>
      <c r="F96" s="1789">
        <f>'Revenues 9-14'!C84</f>
        <v>44594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1722</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5</v>
      </c>
      <c r="G100" s="912"/>
    </row>
    <row r="101" spans="1:7" x14ac:dyDescent="0.2">
      <c r="A101" s="908" t="s">
        <v>140</v>
      </c>
      <c r="B101" s="908" t="s">
        <v>181</v>
      </c>
      <c r="C101" s="910">
        <f>'Revenues 9-14'!B95</f>
        <v>1910</v>
      </c>
      <c r="D101" s="911" t="str">
        <f>'Revenues 9-14'!A95</f>
        <v>Rentals</v>
      </c>
      <c r="E101" s="906"/>
      <c r="F101" s="1789">
        <f>SUM('Revenues 9-14'!C95:D95)</f>
        <v>123964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412755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1735</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18264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422613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5000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3420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27205</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5000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36715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14135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417471.47</v>
      </c>
      <c r="G171" s="927"/>
    </row>
    <row r="172" spans="1:7" x14ac:dyDescent="0.2">
      <c r="A172" s="1918" t="s">
        <v>664</v>
      </c>
      <c r="B172" s="1919" t="s">
        <v>1920</v>
      </c>
      <c r="C172" s="1920">
        <v>3300</v>
      </c>
      <c r="D172" s="1921" t="s">
        <v>1923</v>
      </c>
      <c r="E172" s="906"/>
      <c r="F172" s="1906">
        <v>42066.42</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1988343.89</v>
      </c>
    </row>
    <row r="175" spans="1:7" ht="12" customHeight="1" x14ac:dyDescent="0.2">
      <c r="A175" s="1770"/>
      <c r="B175" s="1784"/>
      <c r="C175" s="1785"/>
      <c r="D175" s="1786" t="s">
        <v>2057</v>
      </c>
      <c r="E175" s="1787"/>
      <c r="F175" s="1789">
        <f>'PCTC-OEPP 27-28'!F77-F174</f>
        <v>20873748.109999999</v>
      </c>
    </row>
    <row r="176" spans="1:7" ht="12" customHeight="1" x14ac:dyDescent="0.2">
      <c r="A176" s="1770"/>
      <c r="B176" s="1784"/>
      <c r="C176" s="1785"/>
      <c r="D176" s="1786" t="s">
        <v>1817</v>
      </c>
      <c r="E176" s="1787"/>
      <c r="F176" s="1789">
        <f>'Cap Outlay Deprec 26'!I18</f>
        <v>2590313.2999999998</v>
      </c>
    </row>
    <row r="177" spans="1:7" ht="12" customHeight="1" x14ac:dyDescent="0.2">
      <c r="A177" s="1770"/>
      <c r="B177" s="1784"/>
      <c r="C177" s="1785"/>
      <c r="D177" s="1786" t="s">
        <v>2058</v>
      </c>
      <c r="E177" s="1787"/>
      <c r="F177" s="1789">
        <f>F175+F176</f>
        <v>23464061.41</v>
      </c>
    </row>
    <row r="178" spans="1:7" ht="12" customHeight="1" x14ac:dyDescent="0.2">
      <c r="A178" s="1770"/>
      <c r="B178" s="1790"/>
      <c r="C178" s="1785"/>
      <c r="D178" s="1786" t="str">
        <f>D78</f>
        <v>9 Month ADA from District Average Daily Attendance/Prior General State Aid Inquiry 2018-2019</v>
      </c>
      <c r="E178" s="1787"/>
      <c r="F178" s="1791">
        <f>'PCTC-OEPP 27-28'!F78</f>
        <v>1123.8</v>
      </c>
      <c r="G178" s="930"/>
    </row>
    <row r="179" spans="1:7" ht="12" customHeight="1" thickBot="1" x14ac:dyDescent="0.25">
      <c r="A179" s="1770"/>
      <c r="B179" s="1790"/>
      <c r="C179" s="1785"/>
      <c r="D179" s="1786" t="s">
        <v>2059</v>
      </c>
      <c r="E179" s="1787" t="s">
        <v>1545</v>
      </c>
      <c r="F179" s="1792">
        <f>F177/F178</f>
        <v>20879.214637835914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6" zoomScaleNormal="100" workbookViewId="0">
      <selection activeCell="D25" sqref="D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2083</v>
      </c>
      <c r="B17" s="2484" t="s">
        <v>2107</v>
      </c>
      <c r="C17" s="1656" t="s">
        <v>2090</v>
      </c>
      <c r="D17" s="1844">
        <v>99378</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74378</v>
      </c>
      <c r="H17" s="1647"/>
    </row>
    <row r="18" spans="1:8" x14ac:dyDescent="0.25">
      <c r="A18" s="1653" t="s">
        <v>2083</v>
      </c>
      <c r="B18" s="2484" t="s">
        <v>2107</v>
      </c>
      <c r="C18" s="1656" t="s">
        <v>2091</v>
      </c>
      <c r="D18" s="1844">
        <v>114700</v>
      </c>
      <c r="E18" s="1540">
        <f t="shared" ref="E18:E140" si="2">IF(D18&lt;=25000,D18,IF(D18&gt;25000,25000,0))</f>
        <v>25000</v>
      </c>
      <c r="F18" s="1933">
        <f t="shared" si="1"/>
        <v>25000</v>
      </c>
      <c r="G18" s="1793">
        <f t="shared" ref="G18:G140" si="3">IF(F18=0,0,D18-F18)</f>
        <v>89700</v>
      </c>
    </row>
    <row r="19" spans="1:8" x14ac:dyDescent="0.25">
      <c r="A19" s="1653" t="s">
        <v>2084</v>
      </c>
      <c r="B19" s="1935" t="s">
        <v>2089</v>
      </c>
      <c r="C19" s="1656" t="s">
        <v>2092</v>
      </c>
      <c r="D19" s="1844">
        <v>61879</v>
      </c>
      <c r="E19" s="1540">
        <f t="shared" si="2"/>
        <v>25000</v>
      </c>
      <c r="F19" s="1933">
        <f t="shared" si="1"/>
        <v>25000</v>
      </c>
      <c r="G19" s="1793">
        <f t="shared" si="3"/>
        <v>36879</v>
      </c>
    </row>
    <row r="20" spans="1:8" x14ac:dyDescent="0.25">
      <c r="A20" s="1653" t="s">
        <v>2085</v>
      </c>
      <c r="B20" s="2484" t="s">
        <v>2108</v>
      </c>
      <c r="C20" s="1656" t="s">
        <v>2093</v>
      </c>
      <c r="D20" s="1844">
        <v>193359</v>
      </c>
      <c r="E20" s="1540">
        <f t="shared" si="2"/>
        <v>25000</v>
      </c>
      <c r="F20" s="1933">
        <f t="shared" si="1"/>
        <v>25000</v>
      </c>
      <c r="G20" s="1793">
        <f t="shared" si="3"/>
        <v>168359</v>
      </c>
    </row>
    <row r="21" spans="1:8" x14ac:dyDescent="0.25">
      <c r="A21" s="1653" t="s">
        <v>2086</v>
      </c>
      <c r="B21" s="2484" t="s">
        <v>2109</v>
      </c>
      <c r="C21" s="1656" t="s">
        <v>2094</v>
      </c>
      <c r="D21" s="1844">
        <v>742859</v>
      </c>
      <c r="E21" s="1540">
        <f t="shared" si="2"/>
        <v>25000</v>
      </c>
      <c r="F21" s="1933">
        <f t="shared" si="1"/>
        <v>25000</v>
      </c>
      <c r="G21" s="1793">
        <f t="shared" si="3"/>
        <v>717859</v>
      </c>
    </row>
    <row r="22" spans="1:8" x14ac:dyDescent="0.25">
      <c r="A22" s="1653" t="s">
        <v>2083</v>
      </c>
      <c r="B22" s="2484" t="s">
        <v>2107</v>
      </c>
      <c r="C22" s="1656" t="s">
        <v>2095</v>
      </c>
      <c r="D22" s="1844">
        <v>319151</v>
      </c>
      <c r="E22" s="1540">
        <f t="shared" si="2"/>
        <v>25000</v>
      </c>
      <c r="F22" s="1933">
        <f t="shared" si="1"/>
        <v>25000</v>
      </c>
      <c r="G22" s="1793">
        <f t="shared" si="3"/>
        <v>294151</v>
      </c>
    </row>
    <row r="23" spans="1:8" x14ac:dyDescent="0.25">
      <c r="A23" s="1653" t="s">
        <v>2087</v>
      </c>
      <c r="B23" s="2484" t="s">
        <v>2110</v>
      </c>
      <c r="C23" s="1656" t="s">
        <v>2096</v>
      </c>
      <c r="D23" s="1844">
        <v>64350</v>
      </c>
      <c r="E23" s="1540">
        <f t="shared" si="2"/>
        <v>25000</v>
      </c>
      <c r="F23" s="1933">
        <f t="shared" si="1"/>
        <v>25000</v>
      </c>
      <c r="G23" s="1793">
        <f t="shared" si="3"/>
        <v>39350</v>
      </c>
    </row>
    <row r="24" spans="1:8" x14ac:dyDescent="0.25">
      <c r="A24" s="1653" t="s">
        <v>2084</v>
      </c>
      <c r="B24" s="1935" t="s">
        <v>2089</v>
      </c>
      <c r="C24" s="1656" t="s">
        <v>2097</v>
      </c>
      <c r="D24" s="1844">
        <v>30878</v>
      </c>
      <c r="E24" s="1540">
        <f t="shared" si="2"/>
        <v>25000</v>
      </c>
      <c r="F24" s="1933">
        <f t="shared" si="1"/>
        <v>25000</v>
      </c>
      <c r="G24" s="1793">
        <f t="shared" si="3"/>
        <v>5878</v>
      </c>
    </row>
    <row r="25" spans="1:8" x14ac:dyDescent="0.25">
      <c r="A25" s="1653"/>
      <c r="B25" s="1935"/>
      <c r="C25" s="1656"/>
      <c r="D25" s="1844"/>
      <c r="E25" s="1540">
        <f t="shared" si="2"/>
        <v>0</v>
      </c>
      <c r="F25" s="1933">
        <f t="shared" si="1"/>
        <v>0</v>
      </c>
      <c r="G25" s="1793">
        <f t="shared" si="3"/>
        <v>0</v>
      </c>
    </row>
    <row r="26" spans="1:8" x14ac:dyDescent="0.25">
      <c r="A26" s="1653" t="s">
        <v>2088</v>
      </c>
      <c r="B26" s="2484" t="s">
        <v>2111</v>
      </c>
      <c r="C26" s="1654" t="s">
        <v>2098</v>
      </c>
      <c r="D26" s="1844">
        <v>79533</v>
      </c>
      <c r="E26" s="1540">
        <f t="shared" si="2"/>
        <v>25000</v>
      </c>
      <c r="F26" s="1933">
        <f t="shared" si="1"/>
        <v>25000</v>
      </c>
      <c r="G26" s="1793">
        <f t="shared" si="3"/>
        <v>54533</v>
      </c>
    </row>
    <row r="27" spans="1:8" x14ac:dyDescent="0.25">
      <c r="A27" s="1653" t="s">
        <v>2086</v>
      </c>
      <c r="B27" s="2484" t="s">
        <v>2109</v>
      </c>
      <c r="C27" s="1654" t="s">
        <v>2099</v>
      </c>
      <c r="D27" s="1844">
        <v>374548</v>
      </c>
      <c r="E27" s="1540">
        <f t="shared" si="2"/>
        <v>25000</v>
      </c>
      <c r="F27" s="1933">
        <f t="shared" si="1"/>
        <v>25000</v>
      </c>
      <c r="G27" s="1793">
        <f t="shared" si="3"/>
        <v>349548</v>
      </c>
    </row>
    <row r="28" spans="1:8" x14ac:dyDescent="0.25">
      <c r="A28" s="1653"/>
      <c r="B28" s="1935"/>
      <c r="C28" s="1654"/>
      <c r="D28" s="1844"/>
      <c r="E28" s="1540">
        <f t="shared" si="2"/>
        <v>0</v>
      </c>
      <c r="F28" s="1933">
        <f t="shared" si="1"/>
        <v>0</v>
      </c>
      <c r="G28" s="1793">
        <f t="shared" si="3"/>
        <v>0</v>
      </c>
    </row>
    <row r="29" spans="1:8" x14ac:dyDescent="0.25">
      <c r="A29" s="1653" t="s">
        <v>2083</v>
      </c>
      <c r="B29" s="2484" t="s">
        <v>2108</v>
      </c>
      <c r="C29" s="1654" t="s">
        <v>2100</v>
      </c>
      <c r="D29" s="1844">
        <v>65929</v>
      </c>
      <c r="E29" s="1540">
        <f t="shared" si="2"/>
        <v>25000</v>
      </c>
      <c r="F29" s="1933">
        <f t="shared" si="1"/>
        <v>25000</v>
      </c>
      <c r="G29" s="1793">
        <f t="shared" si="3"/>
        <v>40929</v>
      </c>
    </row>
    <row r="30" spans="1:8" x14ac:dyDescent="0.25">
      <c r="A30" s="1653" t="s">
        <v>2087</v>
      </c>
      <c r="B30" s="2484" t="s">
        <v>2110</v>
      </c>
      <c r="C30" s="1654" t="s">
        <v>2101</v>
      </c>
      <c r="D30" s="1844">
        <v>180002</v>
      </c>
      <c r="E30" s="1540">
        <f t="shared" si="2"/>
        <v>25000</v>
      </c>
      <c r="F30" s="1933">
        <f t="shared" si="1"/>
        <v>25000</v>
      </c>
      <c r="G30" s="1793">
        <f t="shared" si="3"/>
        <v>155002</v>
      </c>
    </row>
    <row r="31" spans="1:8" x14ac:dyDescent="0.25">
      <c r="A31" s="1653" t="s">
        <v>2084</v>
      </c>
      <c r="B31" s="2484" t="s">
        <v>2089</v>
      </c>
      <c r="C31" s="1654" t="s">
        <v>2102</v>
      </c>
      <c r="D31" s="1844">
        <v>14122.5</v>
      </c>
      <c r="E31" s="1540">
        <f t="shared" si="2"/>
        <v>14122.5</v>
      </c>
      <c r="F31" s="1933">
        <f t="shared" si="1"/>
        <v>14122.5</v>
      </c>
      <c r="G31" s="1793">
        <f t="shared" si="3"/>
        <v>0</v>
      </c>
    </row>
    <row r="32" spans="1:8" x14ac:dyDescent="0.25">
      <c r="A32" s="1653" t="s">
        <v>2084</v>
      </c>
      <c r="B32" s="2484" t="s">
        <v>2112</v>
      </c>
      <c r="C32" s="1654" t="s">
        <v>2102</v>
      </c>
      <c r="D32" s="1844">
        <v>24822</v>
      </c>
      <c r="E32" s="1540">
        <f t="shared" si="2"/>
        <v>24822</v>
      </c>
      <c r="F32" s="1933">
        <f t="shared" si="1"/>
        <v>24822</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2365510.5</v>
      </c>
      <c r="E141" s="1541">
        <f t="shared" si="0"/>
        <v>25000</v>
      </c>
      <c r="F141" s="1934">
        <f>SUM(F17:F140)</f>
        <v>338944.5</v>
      </c>
      <c r="G141" s="1795">
        <f>SUM(G17:G140)</f>
        <v>2026566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31"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591943</v>
      </c>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14174837</v>
      </c>
      <c r="F19" s="1799"/>
      <c r="G19" s="1801">
        <f>'Expenditures 15-22'!K33-SUM('Expenditures 15-22'!G33,'Expenditures 15-22'!I33)+'Expenditures 15-22'!D229</f>
        <v>14174837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1205512</v>
      </c>
      <c r="F21" s="1802"/>
      <c r="G21" s="1805">
        <f>'Expenditures 15-22'!K42-SUM('Expenditures 15-22'!G42,'Expenditures 15-22'!I42)+'Expenditures 15-22'!K120-SUM('Expenditures 15-22'!G120,'Expenditures 15-22'!I120)+'Expenditures 15-22'!K180-SUM('Expenditures 15-22'!G180,'Expenditures 15-22'!I180)+'Expenditures 15-22'!D238</f>
        <v>1205512</v>
      </c>
      <c r="H21" s="987"/>
      <c r="I21" s="162"/>
    </row>
    <row r="22" spans="1:9" s="668" customFormat="1" ht="12" customHeight="1" x14ac:dyDescent="0.2">
      <c r="A22" s="994" t="s">
        <v>564</v>
      </c>
      <c r="B22" s="995"/>
      <c r="C22" s="993">
        <v>2200</v>
      </c>
      <c r="D22" s="1802"/>
      <c r="E22" s="1804">
        <f>'Expenditures 15-22'!K47-SUM('Expenditures 15-22'!G47,'Expenditures 15-22'!I47)+'Expenditures 15-22'!D243</f>
        <v>427132</v>
      </c>
      <c r="F22" s="1802"/>
      <c r="G22" s="1805">
        <f>'Expenditures 15-22'!K47-SUM('Expenditures 15-22'!G47,'Expenditures 15-22'!I47)+'Expenditures 15-22'!D243</f>
        <v>427132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781087</v>
      </c>
      <c r="F23" s="1802"/>
      <c r="G23" s="1804">
        <f>'Expenditures 15-22'!K53-SUM('Expenditures 15-22'!G53,'Expenditures 15-22'!I53)+'Expenditures 15-22'!D257+'Expenditures 15-22'!K330-SUM('Expenditures 15-22'!G330,'Expenditures 15-22'!I330)</f>
        <v>781087</v>
      </c>
      <c r="H23" s="987"/>
      <c r="I23" s="162"/>
    </row>
    <row r="24" spans="1:9" s="668" customFormat="1" ht="12" customHeight="1" x14ac:dyDescent="0.2">
      <c r="A24" s="994" t="s">
        <v>566</v>
      </c>
      <c r="B24" s="995"/>
      <c r="C24" s="993">
        <v>2400</v>
      </c>
      <c r="D24" s="1802"/>
      <c r="E24" s="1804">
        <f>'Expenditures 15-22'!K57-SUM('Expenditures 15-22'!G57,'Expenditures 15-22'!I57)+'Expenditures 15-22'!D261</f>
        <v>951428</v>
      </c>
      <c r="F24" s="1802"/>
      <c r="G24" s="1805">
        <f>'Expenditures 15-22'!K57-SUM('Expenditures 15-22'!G57,'Expenditures 15-22'!I57)+'Expenditures 15-22'!D261</f>
        <v>951428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51880</v>
      </c>
      <c r="E26" s="1804">
        <f>'Expenditures 15-22'!K122-SUM('Expenditures 15-22'!G122,'Expenditures 15-22'!I122)+E7</f>
        <v>0</v>
      </c>
      <c r="F26" s="1804">
        <f>'Expenditures 15-22'!K59-SUM('Expenditures 15-22'!G59,'Expenditures 15-22'!I59)+'Expenditures 15-22'!D263-E7</f>
        <v>51880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526036</v>
      </c>
      <c r="E27" s="1804">
        <f>E8</f>
        <v>0</v>
      </c>
      <c r="F27" s="1804">
        <f>'Expenditures 15-22'!K60-SUM('Expenditures 15-22'!G60,'Expenditures 15-22'!I60)+'Expenditures 15-22'!D264-E8</f>
        <v>526036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1983141</v>
      </c>
      <c r="F28" s="1806">
        <f>'Expenditures 15-22'!K61-SUM('Expenditures 15-22'!G61,'Expenditures 15-22'!I61)+'Expenditures 15-22'!K124-SUM('Expenditures 15-22'!G124,'Expenditures 15-22'!I124)+'Expenditures 15-22'!D266-E9</f>
        <v>1983141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1178695</v>
      </c>
      <c r="F29" s="1802"/>
      <c r="G29" s="1805">
        <f>'Expenditures 15-22'!K62-SUM('Expenditures 15-22'!G62,'Expenditures 15-22'!I62)+'Expenditures 15-22'!K125-SUM('Expenditures 15-22'!G125,'Expenditures 15-22'!I125)+'Expenditures 15-22'!K182-SUM('Expenditures 15-22'!G182,'Expenditures 15-22'!I182)+'Expenditures 15-22'!D267</f>
        <v>1178695</v>
      </c>
      <c r="H29" s="985"/>
    </row>
    <row r="30" spans="1:9" ht="12" customHeight="1" x14ac:dyDescent="0.2">
      <c r="A30" s="994" t="s">
        <v>100</v>
      </c>
      <c r="B30" s="997"/>
      <c r="C30" s="993">
        <v>2560</v>
      </c>
      <c r="D30" s="1802"/>
      <c r="E30" s="1804">
        <f>'Expenditures 15-22'!K63-SUM('Expenditures 15-22'!G63,'Expenditures 15-22'!I63)+'Expenditures 15-22'!D268-E10</f>
        <v>38847</v>
      </c>
      <c r="F30" s="1802"/>
      <c r="G30" s="1804">
        <f>'Expenditures 15-22'!K63-SUM('Expenditures 15-22'!G63,'Expenditures 15-22'!I63)+'Expenditures 15-22'!D268-E10</f>
        <v>38847</v>
      </c>
    </row>
    <row r="31" spans="1:9" ht="12" customHeight="1" x14ac:dyDescent="0.2">
      <c r="A31" s="994" t="s">
        <v>101</v>
      </c>
      <c r="B31" s="997"/>
      <c r="C31" s="993">
        <v>2570</v>
      </c>
      <c r="D31" s="1804">
        <f>'Expenditures 15-22'!K64-SUM('Expenditures 15-22'!G64,'Expenditures 15-22'!I64)+'Expenditures 15-22'!D269-E12</f>
        <v>4269</v>
      </c>
      <c r="E31" s="1804">
        <f>E12</f>
        <v>0</v>
      </c>
      <c r="F31" s="1804">
        <f>'Expenditures 15-22'!K64-SUM('Expenditures 15-22'!G64,'Expenditures 15-22'!I64)+'Expenditures 15-22'!D269-E12</f>
        <v>4269</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280338</v>
      </c>
      <c r="F33" s="1802"/>
      <c r="G33" s="1804">
        <f>'Expenditures 15-22'!K67-SUM('Expenditures 15-22'!G67,'Expenditures 15-22'!I67)+'Expenditures 15-22'!D272</f>
        <v>280338</v>
      </c>
    </row>
    <row r="34" spans="1:7" ht="12" customHeight="1" x14ac:dyDescent="0.2">
      <c r="A34" s="994" t="s">
        <v>520</v>
      </c>
      <c r="B34" s="997"/>
      <c r="C34" s="993">
        <v>2620</v>
      </c>
      <c r="D34" s="1802"/>
      <c r="E34" s="1804">
        <f>'Expenditures 15-22'!K68-SUM('Expenditures 15-22'!G68,'Expenditures 15-22'!I68)+'Expenditures 15-22'!D273</f>
        <v>4898</v>
      </c>
      <c r="F34" s="1802"/>
      <c r="G34" s="1804">
        <f>'Expenditures 15-22'!K68-SUM('Expenditures 15-22'!G68,'Expenditures 15-22'!I68)+'Expenditures 15-22'!D273</f>
        <v>4898</v>
      </c>
    </row>
    <row r="35" spans="1:7" ht="12" customHeight="1" x14ac:dyDescent="0.2">
      <c r="A35" s="994" t="s">
        <v>1061</v>
      </c>
      <c r="B35" s="997"/>
      <c r="C35" s="993">
        <v>2630</v>
      </c>
      <c r="D35" s="1802"/>
      <c r="E35" s="1804">
        <f>'Expenditures 15-22'!K69-SUM('Expenditures 15-22'!G69,'Expenditures 15-22'!I69)+'Expenditures 15-22'!D274</f>
        <v>160324</v>
      </c>
      <c r="F35" s="1802"/>
      <c r="G35" s="1804">
        <f>'Expenditures 15-22'!K69-SUM('Expenditures 15-22'!G69,'Expenditures 15-22'!I69)+'Expenditures 15-22'!D274</f>
        <v>160324</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336</v>
      </c>
      <c r="E37" s="1804">
        <f>E14</f>
        <v>0</v>
      </c>
      <c r="F37" s="1804">
        <f>'Expenditures 15-22'!K71-SUM('Expenditures 15-22'!G71,'Expenditures 15-22'!I71)+'Expenditures 15-22'!D276-E14</f>
        <v>336</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1600</v>
      </c>
      <c r="F38" s="1802"/>
      <c r="G38" s="1804">
        <f>'Expenditures 15-22'!K73-SUM('Expenditures 15-22'!G73,'Expenditures 15-22'!I73)+'Expenditures 15-22'!K128-SUM('Expenditures 15-22'!G128,'Expenditures 15-22'!I128)+'Expenditures 15-22'!K183-SUM('Expenditures 15-22'!G183,'Expenditures 15-22'!I183)+'Expenditures 15-22'!D278</f>
        <v>1600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-2026566</v>
      </c>
      <c r="F40" s="1802"/>
      <c r="G40" s="1806">
        <f>-'Contracts Paid in CY 29'!G141</f>
        <v>-2026566</v>
      </c>
    </row>
    <row r="41" spans="1:7" ht="12" customHeight="1" x14ac:dyDescent="0.2">
      <c r="A41" s="998" t="s">
        <v>156</v>
      </c>
      <c r="B41" s="999"/>
      <c r="C41" s="1000"/>
      <c r="D41" s="1806">
        <f>SUM(D19:D39)</f>
        <v>582521</v>
      </c>
      <c r="E41" s="1806">
        <f>SUM(E19:E40)</f>
        <v>19161273</v>
      </c>
      <c r="F41" s="1806">
        <f>SUM(F19:F39)</f>
        <v>2565662</v>
      </c>
      <c r="G41" s="1806">
        <f>SUM(G19:G40)</f>
        <v>17178132</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582521</v>
      </c>
      <c r="F43" s="1807" t="s">
        <v>473</v>
      </c>
      <c r="G43" s="1808">
        <f>F41</f>
        <v>2565662</v>
      </c>
    </row>
    <row r="44" spans="1:7" ht="12" customHeight="1" x14ac:dyDescent="0.2">
      <c r="A44" s="987"/>
      <c r="B44" s="162"/>
      <c r="C44" s="1001"/>
      <c r="D44" s="1807" t="s">
        <v>474</v>
      </c>
      <c r="E44" s="1808">
        <f>E41</f>
        <v>19161273</v>
      </c>
      <c r="F44" s="1807" t="s">
        <v>474</v>
      </c>
      <c r="G44" s="1808">
        <f>G41</f>
        <v>17178132</v>
      </c>
    </row>
    <row r="45" spans="1:7" ht="12" customHeight="1" x14ac:dyDescent="0.2">
      <c r="A45" s="987"/>
      <c r="B45" s="162"/>
      <c r="C45" s="162"/>
      <c r="D45" s="1809" t="s">
        <v>1006</v>
      </c>
      <c r="E45" s="1810">
        <f>(E43/E44)</f>
        <v>3.0400955093119335E-2</v>
      </c>
      <c r="F45" s="1809" t="s">
        <v>1006</v>
      </c>
      <c r="G45" s="1810">
        <f>(G43/G44)</f>
        <v>0.14935628623647787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1"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Lincolnwood SD 74</v>
      </c>
      <c r="D6" s="2305"/>
      <c r="E6" s="2305"/>
      <c r="F6" s="1852"/>
    </row>
    <row r="7" spans="1:10" ht="11.25" customHeight="1" thickBot="1" x14ac:dyDescent="0.3">
      <c r="A7" s="1850"/>
      <c r="B7" s="1851"/>
      <c r="C7" s="2306">
        <f>COVER!A13</f>
        <v>5016074002</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2103</v>
      </c>
      <c r="F14" s="1867" t="s">
        <v>2104</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2103</v>
      </c>
      <c r="F19" s="1867" t="s">
        <v>2105</v>
      </c>
      <c r="H19" s="1878">
        <f t="shared" si="0"/>
        <v>5</v>
      </c>
      <c r="I19" s="1878">
        <f t="shared" si="1"/>
        <v>5</v>
      </c>
      <c r="J19" s="1878">
        <f t="shared" si="2"/>
        <v>0</v>
      </c>
    </row>
    <row r="20" spans="1:12" ht="12" customHeight="1" x14ac:dyDescent="0.2">
      <c r="A20" s="1863" t="s">
        <v>1528</v>
      </c>
      <c r="B20" s="1864"/>
      <c r="C20" s="1865" t="s">
        <v>2064</v>
      </c>
      <c r="D20" s="1865" t="s">
        <v>2064</v>
      </c>
      <c r="E20" s="1868" t="s">
        <v>2103</v>
      </c>
      <c r="F20" s="1867" t="s">
        <v>2106</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2103</v>
      </c>
      <c r="F26" s="1867" t="s">
        <v>2106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3" colorId="8" zoomScale="110" zoomScaleNormal="110" workbookViewId="0">
      <selection activeCell="C39" sqref="C39:I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Lincolnwood SD 74</v>
      </c>
      <c r="J6" s="2315"/>
      <c r="Q6" s="1664"/>
    </row>
    <row r="7" spans="1:17" x14ac:dyDescent="0.2">
      <c r="A7" s="2316" t="s">
        <v>869</v>
      </c>
      <c r="B7" s="2317"/>
      <c r="C7" s="2317"/>
      <c r="D7" s="2317"/>
      <c r="E7" s="2318"/>
      <c r="F7" s="1017"/>
      <c r="G7" s="1009"/>
      <c r="H7" s="1016" t="s">
        <v>372</v>
      </c>
      <c r="I7" s="2319">
        <f>COVER!A13</f>
        <v>5016074002</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284473</v>
      </c>
      <c r="F12" s="1039"/>
      <c r="G12" s="1811">
        <f t="shared" ref="G12:G18" si="0">SUM(E12:F12)</f>
        <v>284473</v>
      </c>
      <c r="H12" s="1040">
        <v>311009</v>
      </c>
      <c r="I12" s="1039"/>
      <c r="J12" s="1811">
        <f t="shared" ref="J12:J18" si="1">SUM(H12:I12)</f>
        <v>311009</v>
      </c>
    </row>
    <row r="13" spans="1:17" ht="15" customHeight="1" x14ac:dyDescent="0.2">
      <c r="A13" s="1035">
        <v>2</v>
      </c>
      <c r="B13" s="1036" t="s">
        <v>42</v>
      </c>
      <c r="C13" s="1037"/>
      <c r="D13" s="1038">
        <v>2330</v>
      </c>
      <c r="E13" s="1811">
        <f>'Expenditures 15-22'!K51</f>
        <v>0</v>
      </c>
      <c r="F13" s="1039"/>
      <c r="G13" s="1811">
        <f t="shared" si="0"/>
        <v>0</v>
      </c>
      <c r="H13" s="1040">
        <v>179948</v>
      </c>
      <c r="I13" s="1039"/>
      <c r="J13" s="1811">
        <f t="shared" si="1"/>
        <v>179948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51243</v>
      </c>
      <c r="F15" s="1811">
        <f>'Expenditures 15-22'!K122</f>
        <v>0</v>
      </c>
      <c r="G15" s="1811">
        <f t="shared" si="0"/>
        <v>51243</v>
      </c>
      <c r="H15" s="1040">
        <v>196046</v>
      </c>
      <c r="I15" s="1040"/>
      <c r="J15" s="1811">
        <f t="shared" si="1"/>
        <v>196046</v>
      </c>
    </row>
    <row r="16" spans="1:17" ht="15" customHeight="1" x14ac:dyDescent="0.2">
      <c r="A16" s="1035">
        <v>5</v>
      </c>
      <c r="B16" s="1036" t="s">
        <v>101</v>
      </c>
      <c r="C16" s="1037"/>
      <c r="D16" s="1038">
        <v>2570</v>
      </c>
      <c r="E16" s="1811">
        <f>'Expenditures 15-22'!K64</f>
        <v>4269</v>
      </c>
      <c r="F16" s="1039"/>
      <c r="G16" s="1811">
        <f t="shared" si="0"/>
        <v>4269</v>
      </c>
      <c r="H16" s="1040">
        <v>43000</v>
      </c>
      <c r="I16" s="1039"/>
      <c r="J16" s="1811">
        <f t="shared" si="1"/>
        <v>43000</v>
      </c>
    </row>
    <row r="17" spans="1:10" ht="15" customHeight="1" x14ac:dyDescent="0.2">
      <c r="A17" s="1035">
        <v>6</v>
      </c>
      <c r="B17" s="1036" t="s">
        <v>1060</v>
      </c>
      <c r="C17" s="1037"/>
      <c r="D17" s="1038">
        <v>2610</v>
      </c>
      <c r="E17" s="1811">
        <f>'Expenditures 15-22'!K67</f>
        <v>268264</v>
      </c>
      <c r="F17" s="1039"/>
      <c r="G17" s="1811">
        <f t="shared" si="0"/>
        <v>268264</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608249</v>
      </c>
      <c r="F19" s="1813">
        <f t="shared" si="2"/>
        <v>0</v>
      </c>
      <c r="G19" s="1813">
        <f t="shared" si="2"/>
        <v>608249</v>
      </c>
      <c r="H19" s="1813">
        <f t="shared" si="2"/>
        <v>730003</v>
      </c>
      <c r="I19" s="1813">
        <f t="shared" si="2"/>
        <v>0</v>
      </c>
      <c r="J19" s="1813">
        <f t="shared" si="2"/>
        <v>730003</v>
      </c>
    </row>
    <row r="20" spans="1:10" ht="13.5" thickTop="1" x14ac:dyDescent="0.2">
      <c r="A20" s="1035">
        <v>9</v>
      </c>
      <c r="B20" s="2326" t="s">
        <v>1981</v>
      </c>
      <c r="C20" s="2326"/>
      <c r="D20" s="2327"/>
      <c r="E20" s="1046"/>
      <c r="F20" s="1046"/>
      <c r="G20" s="1046"/>
      <c r="H20" s="1046"/>
      <c r="I20" s="1046"/>
      <c r="J20" s="1814">
        <f>IF(AND(G19&gt;0,J19&gt;0),(((J19-G19)/G19)),"Enter Budget Data")</f>
        <v>0.20017131142015851</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t="s">
        <v>2064</v>
      </c>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Lincolnwood SD 74</v>
      </c>
    </row>
    <row r="65" spans="2:2" x14ac:dyDescent="0.2">
      <c r="B65" s="1070">
        <f>COVER!A13</f>
        <v>5016074002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4</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20008587</v>
      </c>
      <c r="C8" s="1815">
        <f>'Acct Summary 7-8'!D8</f>
        <v>2064407</v>
      </c>
      <c r="D8" s="1815">
        <f>'Acct Summary 7-8'!F8</f>
        <v>1025146</v>
      </c>
      <c r="E8" s="1815">
        <f>'Acct Summary 7-8'!I8</f>
        <v>23933</v>
      </c>
      <c r="F8" s="1815">
        <f>SUM(B8:E8)</f>
        <v>23122073</v>
      </c>
    </row>
    <row r="9" spans="1:8" s="1079" customFormat="1" ht="14.25" customHeight="1" thickBot="1" x14ac:dyDescent="0.25">
      <c r="A9" s="1078" t="s">
        <v>1369</v>
      </c>
      <c r="B9" s="1816">
        <f>'Acct Summary 7-8'!C17</f>
        <v>20858703</v>
      </c>
      <c r="C9" s="1816">
        <f>'Acct Summary 7-8'!D17</f>
        <v>2037225</v>
      </c>
      <c r="D9" s="1816">
        <f>'Acct Summary 7-8'!F17</f>
        <v>1178695</v>
      </c>
      <c r="E9" s="1815"/>
      <c r="F9" s="1815">
        <f>SUM(B9:E9)</f>
        <v>24074623</v>
      </c>
    </row>
    <row r="10" spans="1:8" s="1079" customFormat="1" ht="14.25" thickTop="1" thickBot="1" x14ac:dyDescent="0.25">
      <c r="A10" s="1080" t="s">
        <v>1370</v>
      </c>
      <c r="B10" s="1817">
        <f>(B8-B9)</f>
        <v>-850116</v>
      </c>
      <c r="C10" s="1817">
        <f>(C8-C9)</f>
        <v>27182</v>
      </c>
      <c r="D10" s="1817">
        <f>(D8-D9)</f>
        <v>-153549</v>
      </c>
      <c r="E10" s="1816">
        <f>(E8-E9)</f>
        <v>23933</v>
      </c>
      <c r="F10" s="1818">
        <f>SUM(F8-F9)</f>
        <v>-952550</v>
      </c>
    </row>
    <row r="11" spans="1:8" s="1079" customFormat="1" ht="14.25" thickTop="1" thickBot="1" x14ac:dyDescent="0.25">
      <c r="A11" s="1081" t="s">
        <v>1985</v>
      </c>
      <c r="B11" s="1819">
        <f>'Acct Summary 7-8'!C81</f>
        <v>8726478</v>
      </c>
      <c r="C11" s="1819">
        <f>'Acct Summary 7-8'!D81</f>
        <v>2329648</v>
      </c>
      <c r="D11" s="1819">
        <f>'Acct Summary 7-8'!F81</f>
        <v>1119686</v>
      </c>
      <c r="E11" s="1819">
        <f>'Acct Summary 7-8'!I81</f>
        <v>469038</v>
      </c>
      <c r="F11" s="1820">
        <f>SUM(B11:E11)</f>
        <v>12644850</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G31" sqref="G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5016074002</v>
      </c>
    </row>
    <row r="3" spans="1:2" x14ac:dyDescent="0.2">
      <c r="A3" t="s">
        <v>956</v>
      </c>
      <c r="B3" s="138" t="str">
        <f>COVER!A15</f>
        <v>Cook</v>
      </c>
    </row>
    <row r="4" spans="1:2" x14ac:dyDescent="0.2">
      <c r="A4" t="s">
        <v>1007</v>
      </c>
      <c r="B4" s="138" t="str">
        <f>COVER!A17</f>
        <v>Lincolnwood SD 74</v>
      </c>
    </row>
    <row r="5" spans="1:2" x14ac:dyDescent="0.2">
      <c r="A5" t="s">
        <v>704</v>
      </c>
      <c r="B5" s="138" t="str">
        <f>COVER!A38</f>
        <v>Dr. Kimberly Nasshan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 xml:space="preserve">Naperville </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8500003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17920054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8500003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9193576</v>
      </c>
      <c r="C91" s="2" t="s">
        <v>573</v>
      </c>
      <c r="D91" s="2" t="str">
        <f t="shared" si="0"/>
        <v>Error?</v>
      </c>
    </row>
    <row r="92" spans="1:4" x14ac:dyDescent="0.2">
      <c r="A92" s="5">
        <v>31</v>
      </c>
      <c r="B92" s="138">
        <f>'Assets-Liab 5-6'!C39</f>
        <v>8726478</v>
      </c>
      <c r="D92" s="2" t="str">
        <f t="shared" si="0"/>
        <v>Error?</v>
      </c>
    </row>
    <row r="93" spans="1:4" x14ac:dyDescent="0.2">
      <c r="A93" s="5">
        <v>32</v>
      </c>
      <c r="B93" s="138">
        <f>'Assets-Liab 5-6'!C41</f>
        <v>17920054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978345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3456267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978345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1126619</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3456267</v>
      </c>
      <c r="C124" s="2" t="s">
        <v>573</v>
      </c>
      <c r="D124" s="2" t="str">
        <f t="shared" si="0"/>
        <v>Error?</v>
      </c>
    </row>
    <row r="125" spans="1:4" x14ac:dyDescent="0.2">
      <c r="A125" s="10">
        <v>64</v>
      </c>
      <c r="D125" s="2" t="str">
        <f t="shared" si="0"/>
        <v>OK</v>
      </c>
    </row>
    <row r="126" spans="1:4" x14ac:dyDescent="0.2">
      <c r="A126" s="5">
        <v>65</v>
      </c>
      <c r="B126" s="138">
        <f>'Assets-Liab 5-6'!E6</f>
        <v>436327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1058485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436327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436327</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1058485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199745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1452365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199745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332679</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1452365</v>
      </c>
      <c r="C171" s="2" t="s">
        <v>573</v>
      </c>
      <c r="D171" s="2" t="str">
        <f t="shared" si="1"/>
        <v>Error?</v>
      </c>
    </row>
    <row r="172" spans="1:4" x14ac:dyDescent="0.2">
      <c r="A172" s="10">
        <v>111</v>
      </c>
      <c r="D172" s="2" t="str">
        <f t="shared" si="1"/>
        <v>OK</v>
      </c>
    </row>
    <row r="173" spans="1:4" x14ac:dyDescent="0.2">
      <c r="A173" s="5">
        <v>112</v>
      </c>
      <c r="B173" s="138">
        <f>'Assets-Liab 5-6'!G6</f>
        <v>208211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471633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208211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208211</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471633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1982420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87405</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1982420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2337500</v>
      </c>
      <c r="D273" s="2" t="str">
        <f t="shared" si="3"/>
        <v>Error?</v>
      </c>
    </row>
    <row r="274" spans="1:4" x14ac:dyDescent="0.2">
      <c r="A274" s="5">
        <v>213</v>
      </c>
      <c r="B274" s="138">
        <f>'Assets-Liab 5-6'!M17</f>
        <v>29309538</v>
      </c>
      <c r="D274" s="2" t="str">
        <f t="shared" si="3"/>
        <v>Error?</v>
      </c>
    </row>
    <row r="275" spans="1:4" x14ac:dyDescent="0.2">
      <c r="A275" s="5">
        <v>214</v>
      </c>
      <c r="B275" s="138">
        <f>'Assets-Liab 5-6'!M18</f>
        <v>666027</v>
      </c>
      <c r="D275" s="2" t="str">
        <f t="shared" si="3"/>
        <v>Error?</v>
      </c>
    </row>
    <row r="276" spans="1:4" x14ac:dyDescent="0.2">
      <c r="A276" s="5">
        <v>215</v>
      </c>
      <c r="B276" s="138">
        <f>'Assets-Liab 5-6'!M19</f>
        <v>2103671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42418919</v>
      </c>
      <c r="C279" s="2" t="s">
        <v>573</v>
      </c>
      <c r="D279" s="2" t="str">
        <f t="shared" si="3"/>
        <v>Error?</v>
      </c>
    </row>
    <row r="280" spans="1:4" x14ac:dyDescent="0.2">
      <c r="A280" s="5">
        <v>219</v>
      </c>
      <c r="B280" s="138">
        <f>'Assets-Liab 5-6'!M40</f>
        <v>42418919</v>
      </c>
      <c r="D280" s="2" t="str">
        <f t="shared" si="3"/>
        <v>Error?</v>
      </c>
    </row>
    <row r="281" spans="1:4" x14ac:dyDescent="0.2">
      <c r="A281" s="5">
        <v>220</v>
      </c>
      <c r="B281" s="138">
        <f>'Assets-Liab 5-6'!M41</f>
        <v>42418919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15645000</v>
      </c>
      <c r="D283" s="2" t="str">
        <f t="shared" si="3"/>
        <v>Error?</v>
      </c>
    </row>
    <row r="284" spans="1:4" x14ac:dyDescent="0.2">
      <c r="A284" s="5">
        <v>223</v>
      </c>
      <c r="B284" s="138">
        <f>'Assets-Liab 5-6'!N23</f>
        <v>15645000</v>
      </c>
      <c r="C284" s="2" t="s">
        <v>573</v>
      </c>
      <c r="D284" s="2" t="str">
        <f t="shared" si="3"/>
        <v>Error?</v>
      </c>
    </row>
    <row r="285" spans="1:4" x14ac:dyDescent="0.2">
      <c r="A285" s="5">
        <v>224</v>
      </c>
      <c r="B285" s="138">
        <f>'Assets-Liab 5-6'!N36</f>
        <v>15645000</v>
      </c>
      <c r="D285" s="2" t="str">
        <f t="shared" si="3"/>
        <v>Error?</v>
      </c>
    </row>
    <row r="286" spans="1:4" x14ac:dyDescent="0.2">
      <c r="A286" s="10">
        <v>225</v>
      </c>
      <c r="D286" s="2" t="str">
        <f t="shared" si="3"/>
        <v>OK</v>
      </c>
    </row>
    <row r="287" spans="1:4" x14ac:dyDescent="0.2">
      <c r="A287" s="5">
        <v>226</v>
      </c>
      <c r="B287" s="138">
        <f>'Assets-Liab 5-6'!N37</f>
        <v>15645000</v>
      </c>
      <c r="C287" s="2" t="s">
        <v>573</v>
      </c>
      <c r="D287" s="2" t="str">
        <f t="shared" si="3"/>
        <v>Error?</v>
      </c>
    </row>
    <row r="288" spans="1:4" x14ac:dyDescent="0.2">
      <c r="A288" s="5">
        <v>227</v>
      </c>
      <c r="B288" s="138">
        <f>'Assets-Liab 5-6'!N41</f>
        <v>15645000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2914651</v>
      </c>
      <c r="D651" s="2" t="str">
        <f t="shared" si="9"/>
        <v>Error?</v>
      </c>
    </row>
    <row r="652" spans="1:4" x14ac:dyDescent="0.2">
      <c r="A652" s="5">
        <v>591</v>
      </c>
      <c r="B652" s="138">
        <f>'Acct Summary 7-8'!I34</f>
        <v>165313</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8267529</v>
      </c>
      <c r="D705" s="2" t="str">
        <f t="shared" si="10"/>
        <v>Error?</v>
      </c>
    </row>
    <row r="706" spans="1:4" x14ac:dyDescent="0.2">
      <c r="A706" s="5">
        <v>645</v>
      </c>
      <c r="B706" s="138">
        <f>'Expenditures 15-22'!C16</f>
        <v>435529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541596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73629</v>
      </c>
      <c r="D718" s="2" t="str">
        <f t="shared" si="10"/>
        <v>Error?</v>
      </c>
    </row>
    <row r="719" spans="1:4" x14ac:dyDescent="0.2">
      <c r="A719" s="5">
        <v>658</v>
      </c>
      <c r="B719" s="138">
        <f>'Expenditures 15-22'!C15</f>
        <v>45641</v>
      </c>
      <c r="D719" s="2" t="str">
        <f t="shared" si="10"/>
        <v>Error?</v>
      </c>
    </row>
    <row r="720" spans="1:4" x14ac:dyDescent="0.2">
      <c r="A720" s="5">
        <v>659</v>
      </c>
      <c r="B720" s="138">
        <f>'Expenditures 15-22'!C33</f>
        <v>10981250</v>
      </c>
      <c r="C720" s="2" t="s">
        <v>573</v>
      </c>
      <c r="D720" s="2" t="str">
        <f t="shared" si="10"/>
        <v>Error?</v>
      </c>
    </row>
    <row r="721" spans="1:4" x14ac:dyDescent="0.2">
      <c r="A721" s="5">
        <v>660</v>
      </c>
      <c r="B721" s="138">
        <f>'Expenditures 15-22'!C36</f>
        <v>349774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217541</v>
      </c>
      <c r="D723" s="2" t="str">
        <f t="shared" si="10"/>
        <v>Error?</v>
      </c>
    </row>
    <row r="724" spans="1:4" x14ac:dyDescent="0.2">
      <c r="A724" s="5">
        <v>663</v>
      </c>
      <c r="B724" s="138">
        <f>'Expenditures 15-22'!C39</f>
        <v>158047</v>
      </c>
      <c r="D724" s="2" t="str">
        <f t="shared" si="10"/>
        <v>Error?</v>
      </c>
    </row>
    <row r="725" spans="1:4" x14ac:dyDescent="0.2">
      <c r="A725" s="5">
        <v>664</v>
      </c>
      <c r="B725" s="138">
        <f>'Expenditures 15-22'!C40</f>
        <v>256878</v>
      </c>
      <c r="D725" s="2" t="str">
        <f t="shared" si="10"/>
        <v>Error?</v>
      </c>
    </row>
    <row r="726" spans="1:4" x14ac:dyDescent="0.2">
      <c r="A726" s="5">
        <v>665</v>
      </c>
      <c r="B726" s="138">
        <f>'Expenditures 15-22'!C41</f>
        <v>42439</v>
      </c>
      <c r="D726" s="2" t="str">
        <f t="shared" si="10"/>
        <v>Error?</v>
      </c>
    </row>
    <row r="727" spans="1:4" x14ac:dyDescent="0.2">
      <c r="A727" s="5">
        <v>666</v>
      </c>
      <c r="B727" s="138">
        <f>'Expenditures 15-22'!C42</f>
        <v>1024679</v>
      </c>
      <c r="C727" s="2" t="s">
        <v>573</v>
      </c>
      <c r="D727" s="2" t="str">
        <f t="shared" si="10"/>
        <v>Error?</v>
      </c>
    </row>
    <row r="728" spans="1:4" x14ac:dyDescent="0.2">
      <c r="A728" s="5">
        <v>667</v>
      </c>
      <c r="B728" s="138">
        <f>'Expenditures 15-22'!C44</f>
        <v>78045</v>
      </c>
      <c r="D728" s="2" t="str">
        <f t="shared" si="10"/>
        <v>Error?</v>
      </c>
    </row>
    <row r="729" spans="1:4" x14ac:dyDescent="0.2">
      <c r="A729" s="5">
        <v>668</v>
      </c>
      <c r="B729" s="138">
        <f>'Expenditures 15-22'!C45</f>
        <v>250217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328262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242308</v>
      </c>
      <c r="D733" s="2" t="str">
        <f t="shared" si="10"/>
        <v>Error?</v>
      </c>
    </row>
    <row r="734" spans="1:4" x14ac:dyDescent="0.2">
      <c r="A734" s="5">
        <v>673</v>
      </c>
      <c r="B734" s="138">
        <f>'Expenditures 15-22'!C53</f>
        <v>242308</v>
      </c>
      <c r="C734" s="2" t="s">
        <v>573</v>
      </c>
      <c r="D734" s="2" t="str">
        <f t="shared" si="10"/>
        <v>Error?</v>
      </c>
    </row>
    <row r="735" spans="1:4" x14ac:dyDescent="0.2">
      <c r="A735" s="5">
        <v>674</v>
      </c>
      <c r="B735" s="138">
        <f>'Expenditures 15-22'!C55</f>
        <v>733736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733736</v>
      </c>
      <c r="C737" s="2" t="s">
        <v>573</v>
      </c>
      <c r="D737" s="2" t="str">
        <f t="shared" si="10"/>
        <v>Error?</v>
      </c>
    </row>
    <row r="738" spans="1:4" x14ac:dyDescent="0.2">
      <c r="A738" s="5">
        <v>677</v>
      </c>
      <c r="B738" s="138">
        <f>'Expenditures 15-22'!C59</f>
        <v>44221</v>
      </c>
      <c r="D738" s="2" t="str">
        <f t="shared" si="10"/>
        <v>Error?</v>
      </c>
    </row>
    <row r="739" spans="1:4" x14ac:dyDescent="0.2">
      <c r="A739" s="5">
        <v>678</v>
      </c>
      <c r="B739" s="138">
        <f>'Expenditures 15-22'!C60</f>
        <v>245346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255338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544905</v>
      </c>
      <c r="C745" s="2" t="s">
        <v>573</v>
      </c>
      <c r="D745" s="2" t="str">
        <f t="shared" si="10"/>
        <v>Error?</v>
      </c>
    </row>
    <row r="746" spans="1:4" x14ac:dyDescent="0.2">
      <c r="A746" s="5">
        <v>685</v>
      </c>
      <c r="B746" s="138">
        <f>'Expenditures 15-22'!C67</f>
        <v>227688</v>
      </c>
      <c r="D746" s="2" t="str">
        <f t="shared" si="10"/>
        <v>Error?</v>
      </c>
    </row>
    <row r="747" spans="1:4" x14ac:dyDescent="0.2">
      <c r="A747" s="5">
        <v>686</v>
      </c>
      <c r="B747" s="138">
        <f>'Expenditures 15-22'!C68</f>
        <v>4721</v>
      </c>
      <c r="D747" s="2" t="str">
        <f t="shared" si="10"/>
        <v>Error?</v>
      </c>
    </row>
    <row r="748" spans="1:4" x14ac:dyDescent="0.2">
      <c r="A748" s="5">
        <v>687</v>
      </c>
      <c r="B748" s="138">
        <f>'Expenditures 15-22'!C69</f>
        <v>75000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307409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3181299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14162549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1245407</v>
      </c>
      <c r="D763" s="2" t="str">
        <f t="shared" si="10"/>
        <v>Error?</v>
      </c>
    </row>
    <row r="764" spans="1:4" x14ac:dyDescent="0.2">
      <c r="A764" s="5">
        <v>703</v>
      </c>
      <c r="B764" s="138">
        <f>'Expenditures 15-22'!D16</f>
        <v>101263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82972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1004</v>
      </c>
      <c r="D776" s="2" t="str">
        <f t="shared" si="11"/>
        <v>Error?</v>
      </c>
    </row>
    <row r="777" spans="1:4" x14ac:dyDescent="0.2">
      <c r="A777" s="5">
        <v>716</v>
      </c>
      <c r="B777" s="138">
        <f>'Expenditures 15-22'!D15</f>
        <v>612</v>
      </c>
      <c r="D777" s="2" t="str">
        <f t="shared" si="11"/>
        <v>Error?</v>
      </c>
    </row>
    <row r="778" spans="1:4" x14ac:dyDescent="0.2">
      <c r="A778" s="5">
        <v>717</v>
      </c>
      <c r="B778" s="138">
        <f>'Expenditures 15-22'!D33</f>
        <v>1748320</v>
      </c>
      <c r="C778" s="2" t="s">
        <v>573</v>
      </c>
      <c r="D778" s="2" t="str">
        <f t="shared" si="11"/>
        <v>Error?</v>
      </c>
    </row>
    <row r="779" spans="1:4" x14ac:dyDescent="0.2">
      <c r="A779" s="5">
        <v>718</v>
      </c>
      <c r="B779" s="138">
        <f>'Expenditures 15-22'!D36</f>
        <v>25606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54542</v>
      </c>
      <c r="D781" s="2" t="str">
        <f t="shared" si="11"/>
        <v>Error?</v>
      </c>
    </row>
    <row r="782" spans="1:4" x14ac:dyDescent="0.2">
      <c r="A782" s="5">
        <v>721</v>
      </c>
      <c r="B782" s="138">
        <f>'Expenditures 15-22'!D39</f>
        <v>8598</v>
      </c>
      <c r="D782" s="2" t="str">
        <f t="shared" si="11"/>
        <v>Error?</v>
      </c>
    </row>
    <row r="783" spans="1:4" x14ac:dyDescent="0.2">
      <c r="A783" s="5">
        <v>722</v>
      </c>
      <c r="B783" s="138">
        <f>'Expenditures 15-22'!D40</f>
        <v>27445</v>
      </c>
      <c r="D783" s="2" t="str">
        <f t="shared" si="11"/>
        <v>Error?</v>
      </c>
    </row>
    <row r="784" spans="1:4" x14ac:dyDescent="0.2">
      <c r="A784" s="5">
        <v>723</v>
      </c>
      <c r="B784" s="138">
        <f>'Expenditures 15-22'!D41</f>
        <v>161</v>
      </c>
      <c r="D784" s="2" t="str">
        <f t="shared" si="11"/>
        <v>Error?</v>
      </c>
    </row>
    <row r="785" spans="1:4" x14ac:dyDescent="0.2">
      <c r="A785" s="5">
        <v>724</v>
      </c>
      <c r="B785" s="138">
        <f>'Expenditures 15-22'!D42</f>
        <v>116352</v>
      </c>
      <c r="C785" s="2" t="s">
        <v>573</v>
      </c>
      <c r="D785" s="2" t="str">
        <f t="shared" si="11"/>
        <v>Error?</v>
      </c>
    </row>
    <row r="786" spans="1:4" x14ac:dyDescent="0.2">
      <c r="A786" s="5">
        <v>725</v>
      </c>
      <c r="B786" s="138">
        <f>'Expenditures 15-22'!D44</f>
        <v>2464</v>
      </c>
      <c r="D786" s="2" t="str">
        <f t="shared" si="11"/>
        <v>Error?</v>
      </c>
    </row>
    <row r="787" spans="1:4" x14ac:dyDescent="0.2">
      <c r="A787" s="5">
        <v>726</v>
      </c>
      <c r="B787" s="138">
        <f>'Expenditures 15-22'!D45</f>
        <v>29751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32215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36170</v>
      </c>
      <c r="D791" s="2" t="str">
        <f t="shared" si="11"/>
        <v>Error?</v>
      </c>
    </row>
    <row r="792" spans="1:4" x14ac:dyDescent="0.2">
      <c r="A792" s="5">
        <v>731</v>
      </c>
      <c r="B792" s="138">
        <f>'Expenditures 15-22'!D53</f>
        <v>36170</v>
      </c>
      <c r="C792" s="2" t="s">
        <v>573</v>
      </c>
      <c r="D792" s="2" t="str">
        <f t="shared" si="11"/>
        <v>Error?</v>
      </c>
    </row>
    <row r="793" spans="1:4" x14ac:dyDescent="0.2">
      <c r="A793" s="5">
        <v>732</v>
      </c>
      <c r="B793" s="138">
        <f>'Expenditures 15-22'!D55</f>
        <v>163266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163266</v>
      </c>
      <c r="C795" s="2" t="s">
        <v>573</v>
      </c>
      <c r="D795" s="2" t="str">
        <f t="shared" si="11"/>
        <v>Error?</v>
      </c>
    </row>
    <row r="796" spans="1:4" x14ac:dyDescent="0.2">
      <c r="A796" s="5">
        <v>735</v>
      </c>
      <c r="B796" s="138">
        <f>'Expenditures 15-22'!D59</f>
        <v>7022</v>
      </c>
      <c r="D796" s="2" t="str">
        <f t="shared" si="11"/>
        <v>Error?</v>
      </c>
    </row>
    <row r="797" spans="1:4" x14ac:dyDescent="0.2">
      <c r="A797" s="5">
        <v>736</v>
      </c>
      <c r="B797" s="138">
        <f>'Expenditures 15-22'!D60</f>
        <v>62548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51042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120612</v>
      </c>
      <c r="C803" s="2" t="s">
        <v>573</v>
      </c>
      <c r="D803" s="2" t="str">
        <f t="shared" si="11"/>
        <v>Error?</v>
      </c>
    </row>
    <row r="804" spans="1:4" x14ac:dyDescent="0.2">
      <c r="A804" s="5">
        <v>743</v>
      </c>
      <c r="B804" s="138">
        <f>'Expenditures 15-22'!D67</f>
        <v>35496</v>
      </c>
      <c r="D804" s="2" t="str">
        <f t="shared" si="11"/>
        <v>Error?</v>
      </c>
    </row>
    <row r="805" spans="1:4" x14ac:dyDescent="0.2">
      <c r="A805" s="5">
        <v>744</v>
      </c>
      <c r="B805" s="138">
        <f>'Expenditures 15-22'!D68</f>
        <v>71</v>
      </c>
      <c r="D805" s="2" t="str">
        <f t="shared" si="11"/>
        <v>Error?</v>
      </c>
    </row>
    <row r="806" spans="1:4" x14ac:dyDescent="0.2">
      <c r="A806" s="5">
        <v>745</v>
      </c>
      <c r="B806" s="138">
        <f>'Expenditures 15-22'!D69</f>
        <v>5549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41116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509731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2258051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262389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273457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3543</v>
      </c>
      <c r="D839" s="2" t="str">
        <f t="shared" si="12"/>
        <v>Error?</v>
      </c>
    </row>
    <row r="840" spans="1:4" x14ac:dyDescent="0.2">
      <c r="A840" s="5">
        <v>779</v>
      </c>
      <c r="B840" s="138">
        <f>'Expenditures 15-22'!E39</f>
        <v>1168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4711</v>
      </c>
      <c r="C843" s="2" t="s">
        <v>573</v>
      </c>
      <c r="D843" s="2" t="str">
        <f t="shared" si="12"/>
        <v>Error?</v>
      </c>
    </row>
    <row r="844" spans="1:4" x14ac:dyDescent="0.2">
      <c r="A844" s="5">
        <v>783</v>
      </c>
      <c r="B844" s="138">
        <f>'Expenditures 15-22'!E44</f>
        <v>28278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28278</v>
      </c>
      <c r="C847" s="2" t="s">
        <v>573</v>
      </c>
      <c r="D847" s="2" t="str">
        <f t="shared" si="12"/>
        <v>Error?</v>
      </c>
    </row>
    <row r="848" spans="1:4" x14ac:dyDescent="0.2">
      <c r="A848" s="5">
        <v>787</v>
      </c>
      <c r="B848" s="138">
        <f>'Expenditures 15-22'!E49</f>
        <v>332380</v>
      </c>
      <c r="D848" s="2" t="str">
        <f t="shared" si="12"/>
        <v>Error?</v>
      </c>
    </row>
    <row r="849" spans="1:4" x14ac:dyDescent="0.2">
      <c r="A849" s="5">
        <v>788</v>
      </c>
      <c r="B849" s="138">
        <f>'Expenditures 15-22'!E50</f>
        <v>1389</v>
      </c>
      <c r="D849" s="2" t="str">
        <f t="shared" si="12"/>
        <v>Error?</v>
      </c>
    </row>
    <row r="850" spans="1:4" x14ac:dyDescent="0.2">
      <c r="A850" s="5">
        <v>789</v>
      </c>
      <c r="B850" s="138">
        <f>'Expenditures 15-22'!E53</f>
        <v>333769</v>
      </c>
      <c r="C850" s="2" t="s">
        <v>573</v>
      </c>
      <c r="D850" s="2" t="str">
        <f t="shared" si="12"/>
        <v>Error?</v>
      </c>
    </row>
    <row r="851" spans="1:4" x14ac:dyDescent="0.2">
      <c r="A851" s="5">
        <v>790</v>
      </c>
      <c r="B851" s="138">
        <f>'Expenditures 15-22'!E55</f>
        <v>6191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6191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131735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30914</v>
      </c>
      <c r="D858" s="2" t="str">
        <f t="shared" si="12"/>
        <v>Error?</v>
      </c>
    </row>
    <row r="859" spans="1:4" x14ac:dyDescent="0.2">
      <c r="A859" s="5">
        <v>798</v>
      </c>
      <c r="B859" s="138">
        <f>'Expenditures 15-22'!E64</f>
        <v>4269</v>
      </c>
      <c r="D859" s="2" t="str">
        <f t="shared" si="12"/>
        <v>Error?</v>
      </c>
    </row>
    <row r="860" spans="1:4" x14ac:dyDescent="0.2">
      <c r="A860" s="10">
        <v>799</v>
      </c>
      <c r="D860" s="2" t="str">
        <f t="shared" si="12"/>
        <v>OK</v>
      </c>
    </row>
    <row r="861" spans="1:4" x14ac:dyDescent="0.2">
      <c r="A861" s="5">
        <v>800</v>
      </c>
      <c r="B861" s="138">
        <f>'Expenditures 15-22'!E65</f>
        <v>166918</v>
      </c>
      <c r="C861" s="2" t="s">
        <v>573</v>
      </c>
      <c r="D861" s="2" t="str">
        <f t="shared" si="12"/>
        <v>Error?</v>
      </c>
    </row>
    <row r="862" spans="1:4" x14ac:dyDescent="0.2">
      <c r="A862" s="5">
        <v>801</v>
      </c>
      <c r="B862" s="138">
        <f>'Expenditures 15-22'!E67</f>
        <v>1961</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54066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336</v>
      </c>
      <c r="D867" s="2" t="str">
        <f t="shared" si="12"/>
        <v>Error?</v>
      </c>
    </row>
    <row r="868" spans="1:4" x14ac:dyDescent="0.2">
      <c r="A868" s="10">
        <v>807</v>
      </c>
      <c r="D868" s="2" t="str">
        <f t="shared" si="12"/>
        <v>OK</v>
      </c>
    </row>
    <row r="869" spans="1:4" x14ac:dyDescent="0.2">
      <c r="A869" s="5">
        <v>808</v>
      </c>
      <c r="B869" s="138">
        <f>'Expenditures 15-22'!E72</f>
        <v>56363</v>
      </c>
      <c r="C869" s="2" t="s">
        <v>573</v>
      </c>
      <c r="D869" s="2" t="str">
        <f t="shared" si="12"/>
        <v>Error?</v>
      </c>
    </row>
    <row r="870" spans="1:4" x14ac:dyDescent="0.2">
      <c r="A870" s="5">
        <v>809</v>
      </c>
      <c r="B870" s="138">
        <f>'Expenditures 15-22'!E73</f>
        <v>800</v>
      </c>
      <c r="D870" s="2" t="str">
        <f t="shared" si="12"/>
        <v>Error?</v>
      </c>
    </row>
    <row r="871" spans="1:4" x14ac:dyDescent="0.2">
      <c r="A871" s="5">
        <v>810</v>
      </c>
      <c r="B871" s="138">
        <f>'Expenditures 15-22'!E74</f>
        <v>597030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904199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498646</v>
      </c>
      <c r="D879" s="2" t="str">
        <f t="shared" si="12"/>
        <v>Error?</v>
      </c>
    </row>
    <row r="880" spans="1:4" x14ac:dyDescent="0.2">
      <c r="A880" s="5">
        <v>819</v>
      </c>
      <c r="B880" s="138">
        <f>'Expenditures 15-22'!F16</f>
        <v>7743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8829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1603</v>
      </c>
      <c r="D893" s="2" t="str">
        <f t="shared" si="12"/>
        <v>Error?</v>
      </c>
    </row>
    <row r="894" spans="1:4" x14ac:dyDescent="0.2">
      <c r="A894" s="5">
        <v>833</v>
      </c>
      <c r="B894" s="138">
        <f>'Expenditures 15-22'!F33</f>
        <v>529254</v>
      </c>
      <c r="C894" s="2" t="s">
        <v>573</v>
      </c>
      <c r="D894" s="2" t="str">
        <f t="shared" si="12"/>
        <v>Error?</v>
      </c>
    </row>
    <row r="895" spans="1:4" x14ac:dyDescent="0.2">
      <c r="A895" s="5">
        <v>834</v>
      </c>
      <c r="B895" s="138">
        <f>'Expenditures 15-22'!F36</f>
        <v>1440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3485</v>
      </c>
      <c r="D897" s="2" t="str">
        <f t="shared" si="13"/>
        <v>Error?</v>
      </c>
    </row>
    <row r="898" spans="1:4" x14ac:dyDescent="0.2">
      <c r="A898" s="5">
        <v>837</v>
      </c>
      <c r="B898" s="138">
        <f>'Expenditures 15-22'!F39</f>
        <v>39</v>
      </c>
      <c r="D898" s="2" t="str">
        <f t="shared" si="13"/>
        <v>Error?</v>
      </c>
    </row>
    <row r="899" spans="1:4" x14ac:dyDescent="0.2">
      <c r="A899" s="5">
        <v>838</v>
      </c>
      <c r="B899" s="138">
        <f>'Expenditures 15-22'!F40</f>
        <v>2085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7049</v>
      </c>
      <c r="C901" s="2" t="s">
        <v>573</v>
      </c>
      <c r="D901" s="2" t="str">
        <f t="shared" si="13"/>
        <v>Error?</v>
      </c>
    </row>
    <row r="902" spans="1:4" x14ac:dyDescent="0.2">
      <c r="A902" s="5">
        <v>841</v>
      </c>
      <c r="B902" s="138">
        <f>'Expenditures 15-22'!F44</f>
        <v>980</v>
      </c>
      <c r="D902" s="2" t="str">
        <f t="shared" si="13"/>
        <v>Error?</v>
      </c>
    </row>
    <row r="903" spans="1:4" x14ac:dyDescent="0.2">
      <c r="A903" s="5">
        <v>842</v>
      </c>
      <c r="B903" s="138">
        <f>'Expenditures 15-22'!F45</f>
        <v>32148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33128</v>
      </c>
      <c r="C905" s="2" t="s">
        <v>573</v>
      </c>
      <c r="D905" s="2" t="str">
        <f t="shared" si="13"/>
        <v>Error?</v>
      </c>
    </row>
    <row r="906" spans="1:4" x14ac:dyDescent="0.2">
      <c r="A906" s="5">
        <v>845</v>
      </c>
      <c r="B906" s="138">
        <f>'Expenditures 15-22'!F49</f>
        <v>5497</v>
      </c>
      <c r="D906" s="2" t="str">
        <f t="shared" si="13"/>
        <v>Error?</v>
      </c>
    </row>
    <row r="907" spans="1:4" x14ac:dyDescent="0.2">
      <c r="A907" s="5">
        <v>846</v>
      </c>
      <c r="B907" s="138">
        <f>'Expenditures 15-22'!F50</f>
        <v>700</v>
      </c>
      <c r="D907" s="2" t="str">
        <f t="shared" si="13"/>
        <v>Error?</v>
      </c>
    </row>
    <row r="908" spans="1:4" x14ac:dyDescent="0.2">
      <c r="A908" s="5">
        <v>847</v>
      </c>
      <c r="B908" s="138">
        <f>'Expenditures 15-22'!F53</f>
        <v>6197</v>
      </c>
      <c r="C908" s="2" t="s">
        <v>573</v>
      </c>
      <c r="D908" s="2" t="str">
        <f t="shared" si="13"/>
        <v>Error?</v>
      </c>
    </row>
    <row r="909" spans="1:4" x14ac:dyDescent="0.2">
      <c r="A909" s="5">
        <v>848</v>
      </c>
      <c r="B909" s="138">
        <f>'Expenditures 15-22'!F55</f>
        <v>3995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7184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246619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253803</v>
      </c>
      <c r="C919" s="2" t="s">
        <v>573</v>
      </c>
      <c r="D919" s="2" t="str">
        <f t="shared" si="13"/>
        <v>Error?</v>
      </c>
    </row>
    <row r="920" spans="1:4" x14ac:dyDescent="0.2">
      <c r="A920" s="5">
        <v>859</v>
      </c>
      <c r="B920" s="138">
        <f>'Expenditures 15-22'!F67</f>
        <v>1449</v>
      </c>
      <c r="D920" s="2" t="str">
        <f t="shared" si="13"/>
        <v>Error?</v>
      </c>
    </row>
    <row r="921" spans="1:4" x14ac:dyDescent="0.2">
      <c r="A921" s="5">
        <v>860</v>
      </c>
      <c r="B921" s="138">
        <f>'Expenditures 15-22'!F68</f>
        <v>38</v>
      </c>
      <c r="D921" s="2" t="str">
        <f t="shared" si="13"/>
        <v>Error?</v>
      </c>
    </row>
    <row r="922" spans="1:4" x14ac:dyDescent="0.2">
      <c r="A922" s="5">
        <v>861</v>
      </c>
      <c r="B922" s="138">
        <f>'Expenditures 15-22'!F69</f>
        <v>8757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10244</v>
      </c>
      <c r="C927" s="2" t="s">
        <v>573</v>
      </c>
      <c r="D927" s="2" t="str">
        <f t="shared" si="13"/>
        <v>Error?</v>
      </c>
    </row>
    <row r="928" spans="1:4" x14ac:dyDescent="0.2">
      <c r="A928" s="5">
        <v>867</v>
      </c>
      <c r="B928" s="138">
        <f>'Expenditures 15-22'!F73</f>
        <v>800</v>
      </c>
      <c r="D928" s="2" t="str">
        <f t="shared" si="13"/>
        <v>Error?</v>
      </c>
    </row>
    <row r="929" spans="1:4" x14ac:dyDescent="0.2">
      <c r="A929" s="5">
        <v>868</v>
      </c>
      <c r="B929" s="138">
        <f>'Expenditures 15-22'!F74</f>
        <v>315216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844470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197736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201563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6302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6302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6302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207865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182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182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20532</v>
      </c>
      <c r="D1022" s="2" t="str">
        <f t="shared" si="14"/>
        <v>Error?</v>
      </c>
    </row>
    <row r="1023" spans="1:4" x14ac:dyDescent="0.2">
      <c r="A1023" s="5">
        <v>962</v>
      </c>
      <c r="B1023" s="138">
        <f>'Expenditures 15-22'!H50</f>
        <v>3906</v>
      </c>
      <c r="D1023" s="2" t="str">
        <f t="shared" ref="D1023:D1086" si="15">IF(ISBLANK(B1023),"OK",IF(A1023-B1023=0,"OK","Error?"))</f>
        <v>Error?</v>
      </c>
    </row>
    <row r="1024" spans="1:4" x14ac:dyDescent="0.2">
      <c r="A1024" s="5">
        <v>963</v>
      </c>
      <c r="B1024" s="138">
        <f>'Expenditures 15-22'!H53</f>
        <v>24438</v>
      </c>
      <c r="C1024" s="2" t="s">
        <v>573</v>
      </c>
      <c r="D1024" s="2" t="str">
        <f t="shared" si="15"/>
        <v>Error?</v>
      </c>
    </row>
    <row r="1025" spans="1:4" x14ac:dyDescent="0.2">
      <c r="A1025" s="5">
        <v>964</v>
      </c>
      <c r="B1025" s="138">
        <f>'Expenditures 15-22'!H55</f>
        <v>537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537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59734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60274</v>
      </c>
      <c r="C1035" s="2" t="s">
        <v>573</v>
      </c>
      <c r="D1035" s="2" t="str">
        <f t="shared" si="15"/>
        <v>Error?</v>
      </c>
    </row>
    <row r="1036" spans="1:4" x14ac:dyDescent="0.2">
      <c r="A1036" s="5">
        <v>975</v>
      </c>
      <c r="B1036" s="138">
        <f>'Expenditures 15-22'!H67</f>
        <v>1670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2838</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4508</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89939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1938962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2029321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10919568</v>
      </c>
      <c r="C1093" s="2" t="s">
        <v>573</v>
      </c>
      <c r="D1093" s="2" t="str">
        <f t="shared" si="16"/>
        <v>Error?</v>
      </c>
    </row>
    <row r="1094" spans="1:4" x14ac:dyDescent="0.2">
      <c r="A1094" s="5">
        <v>1033</v>
      </c>
      <c r="B1094" s="138">
        <f>'Expenditures 15-22'!K16</f>
        <v>544535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633397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74633</v>
      </c>
      <c r="C1106" s="2" t="s">
        <v>573</v>
      </c>
      <c r="D1106" s="2" t="str">
        <f t="shared" si="16"/>
        <v>Error?</v>
      </c>
    </row>
    <row r="1107" spans="1:4" x14ac:dyDescent="0.2">
      <c r="A1107" s="5">
        <v>1046</v>
      </c>
      <c r="B1107" s="138">
        <f>'Expenditures 15-22'!K15</f>
        <v>47856</v>
      </c>
      <c r="C1107" s="2" t="s">
        <v>573</v>
      </c>
      <c r="D1107" s="2" t="str">
        <f t="shared" si="16"/>
        <v>Error?</v>
      </c>
    </row>
    <row r="1108" spans="1:4" x14ac:dyDescent="0.2">
      <c r="A1108" s="5">
        <v>1047</v>
      </c>
      <c r="B1108" s="138">
        <f>'Expenditures 15-22'!K33</f>
        <v>14185324</v>
      </c>
      <c r="C1108" s="2" t="s">
        <v>573</v>
      </c>
      <c r="D1108" s="2" t="str">
        <f t="shared" si="16"/>
        <v>Error?</v>
      </c>
    </row>
    <row r="1109" spans="1:4" x14ac:dyDescent="0.2">
      <c r="A1109" s="5">
        <v>1048</v>
      </c>
      <c r="B1109" s="138">
        <f>'Expenditures 15-22'!K36</f>
        <v>376820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279293</v>
      </c>
      <c r="C1111" s="2" t="s">
        <v>573</v>
      </c>
      <c r="D1111" s="2" t="str">
        <f t="shared" si="16"/>
        <v>Error?</v>
      </c>
    </row>
    <row r="1112" spans="1:4" x14ac:dyDescent="0.2">
      <c r="A1112" s="5">
        <v>1051</v>
      </c>
      <c r="B1112" s="138">
        <f>'Expenditures 15-22'!K39</f>
        <v>167852</v>
      </c>
      <c r="C1112" s="2" t="s">
        <v>573</v>
      </c>
      <c r="D1112" s="2" t="str">
        <f t="shared" si="16"/>
        <v>Error?</v>
      </c>
    </row>
    <row r="1113" spans="1:4" x14ac:dyDescent="0.2">
      <c r="A1113" s="5">
        <v>1052</v>
      </c>
      <c r="B1113" s="138">
        <f>'Expenditures 15-22'!K40</f>
        <v>286408</v>
      </c>
      <c r="C1113" s="2" t="s">
        <v>573</v>
      </c>
      <c r="D1113" s="2" t="str">
        <f t="shared" si="16"/>
        <v>Error?</v>
      </c>
    </row>
    <row r="1114" spans="1:4" x14ac:dyDescent="0.2">
      <c r="A1114" s="5">
        <v>1053</v>
      </c>
      <c r="B1114" s="138">
        <f>'Expenditures 15-22'!K41</f>
        <v>42600</v>
      </c>
      <c r="C1114" s="2" t="s">
        <v>573</v>
      </c>
      <c r="D1114" s="2" t="str">
        <f t="shared" si="16"/>
        <v>Error?</v>
      </c>
    </row>
    <row r="1115" spans="1:4" x14ac:dyDescent="0.2">
      <c r="A1115" s="5">
        <v>1054</v>
      </c>
      <c r="B1115" s="138">
        <f>'Expenditures 15-22'!K42</f>
        <v>1152973</v>
      </c>
      <c r="C1115" s="2" t="s">
        <v>573</v>
      </c>
      <c r="D1115" s="2" t="str">
        <f t="shared" si="16"/>
        <v>Error?</v>
      </c>
    </row>
    <row r="1116" spans="1:4" x14ac:dyDescent="0.2">
      <c r="A1116" s="5">
        <v>1055</v>
      </c>
      <c r="B1116" s="138">
        <f>'Expenditures 15-22'!K44</f>
        <v>109767</v>
      </c>
      <c r="C1116" s="2" t="s">
        <v>573</v>
      </c>
      <c r="D1116" s="2" t="str">
        <f t="shared" si="16"/>
        <v>Error?</v>
      </c>
    </row>
    <row r="1117" spans="1:4" x14ac:dyDescent="0.2">
      <c r="A1117" s="5">
        <v>1056</v>
      </c>
      <c r="B1117" s="138">
        <f>'Expenditures 15-22'!K45</f>
        <v>312116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421883</v>
      </c>
      <c r="C1119" s="2" t="s">
        <v>573</v>
      </c>
      <c r="D1119" s="2" t="str">
        <f t="shared" si="16"/>
        <v>Error?</v>
      </c>
    </row>
    <row r="1120" spans="1:4" x14ac:dyDescent="0.2">
      <c r="A1120" s="5">
        <v>1059</v>
      </c>
      <c r="B1120" s="138">
        <f>'Expenditures 15-22'!K49</f>
        <v>358409</v>
      </c>
      <c r="C1120" s="2" t="s">
        <v>573</v>
      </c>
      <c r="D1120" s="2" t="str">
        <f t="shared" si="16"/>
        <v>Error?</v>
      </c>
    </row>
    <row r="1121" spans="1:4" x14ac:dyDescent="0.2">
      <c r="A1121" s="5">
        <v>1060</v>
      </c>
      <c r="B1121" s="138">
        <f>'Expenditures 15-22'!K50</f>
        <v>284473</v>
      </c>
      <c r="C1121" s="2" t="s">
        <v>573</v>
      </c>
      <c r="D1121" s="2" t="str">
        <f t="shared" si="16"/>
        <v>Error?</v>
      </c>
    </row>
    <row r="1122" spans="1:4" x14ac:dyDescent="0.2">
      <c r="A1122" s="5">
        <v>1061</v>
      </c>
      <c r="B1122" s="138">
        <f>'Expenditures 15-22'!K53</f>
        <v>642882</v>
      </c>
      <c r="C1122" s="2" t="s">
        <v>573</v>
      </c>
      <c r="D1122" s="2" t="str">
        <f t="shared" si="16"/>
        <v>Error?</v>
      </c>
    </row>
    <row r="1123" spans="1:4" x14ac:dyDescent="0.2">
      <c r="A1123" s="5">
        <v>1062</v>
      </c>
      <c r="B1123" s="138">
        <f>'Expenditures 15-22'!K55</f>
        <v>907725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907725</v>
      </c>
      <c r="C1125" s="2" t="s">
        <v>573</v>
      </c>
      <c r="D1125" s="2" t="str">
        <f t="shared" si="16"/>
        <v>Error?</v>
      </c>
    </row>
    <row r="1126" spans="1:4" x14ac:dyDescent="0.2">
      <c r="A1126" s="5">
        <v>1065</v>
      </c>
      <c r="B1126" s="138">
        <f>'Expenditures 15-22'!K59</f>
        <v>51243</v>
      </c>
      <c r="C1126" s="2" t="s">
        <v>573</v>
      </c>
      <c r="D1126" s="2" t="str">
        <f t="shared" si="16"/>
        <v>Error?</v>
      </c>
    </row>
    <row r="1127" spans="1:4" x14ac:dyDescent="0.2">
      <c r="A1127" s="5">
        <v>1066</v>
      </c>
      <c r="B1127" s="138">
        <f>'Expenditures 15-22'!K60</f>
        <v>506547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591943</v>
      </c>
      <c r="C1130" s="2" t="s">
        <v>573</v>
      </c>
      <c r="D1130" s="2" t="str">
        <f t="shared" si="16"/>
        <v>Error?</v>
      </c>
    </row>
    <row r="1131" spans="1:4" x14ac:dyDescent="0.2">
      <c r="A1131" s="5">
        <v>1070</v>
      </c>
      <c r="B1131" s="138">
        <f>'Expenditures 15-22'!K64</f>
        <v>4269</v>
      </c>
      <c r="C1131" s="2" t="s">
        <v>573</v>
      </c>
      <c r="D1131" s="2" t="str">
        <f t="shared" si="16"/>
        <v>Error?</v>
      </c>
    </row>
    <row r="1132" spans="1:4" x14ac:dyDescent="0.2">
      <c r="A1132" s="10">
        <v>1071</v>
      </c>
      <c r="D1132" s="2" t="str">
        <f t="shared" si="16"/>
        <v>OK</v>
      </c>
    </row>
    <row r="1133" spans="1:4" x14ac:dyDescent="0.2">
      <c r="A1133" s="5">
        <v>1072</v>
      </c>
      <c r="B1133" s="138">
        <f>'Expenditures 15-22'!K65</f>
        <v>1154002</v>
      </c>
      <c r="C1133" s="2" t="s">
        <v>573</v>
      </c>
      <c r="D1133" s="2" t="str">
        <f t="shared" si="16"/>
        <v>Error?</v>
      </c>
    </row>
    <row r="1134" spans="1:4" x14ac:dyDescent="0.2">
      <c r="A1134" s="5">
        <v>1073</v>
      </c>
      <c r="B1134" s="138">
        <f>'Expenditures 15-22'!K67</f>
        <v>268264</v>
      </c>
      <c r="C1134" s="2" t="s">
        <v>573</v>
      </c>
      <c r="D1134" s="2" t="str">
        <f t="shared" si="16"/>
        <v>Error?</v>
      </c>
    </row>
    <row r="1135" spans="1:4" x14ac:dyDescent="0.2">
      <c r="A1135" s="5">
        <v>1074</v>
      </c>
      <c r="B1135" s="138">
        <f>'Expenditures 15-22'!K68</f>
        <v>4830</v>
      </c>
      <c r="C1135" s="2" t="s">
        <v>573</v>
      </c>
      <c r="D1135" s="2" t="str">
        <f t="shared" si="16"/>
        <v>Error?</v>
      </c>
    </row>
    <row r="1136" spans="1:4" x14ac:dyDescent="0.2">
      <c r="A1136" s="5">
        <v>1075</v>
      </c>
      <c r="B1136" s="138">
        <f>'Expenditures 15-22'!K69</f>
        <v>146210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336</v>
      </c>
      <c r="C1139" s="2" t="s">
        <v>573</v>
      </c>
      <c r="D1139" s="2" t="str">
        <f t="shared" si="16"/>
        <v>Error?</v>
      </c>
    </row>
    <row r="1140" spans="1:4" x14ac:dyDescent="0.2">
      <c r="A1140" s="10">
        <v>1079</v>
      </c>
      <c r="D1140" s="2" t="str">
        <f t="shared" si="16"/>
        <v>OK</v>
      </c>
    </row>
    <row r="1141" spans="1:4" x14ac:dyDescent="0.2">
      <c r="A1141" s="5">
        <v>1080</v>
      </c>
      <c r="B1141" s="138">
        <f>'Expenditures 15-22'!K72</f>
        <v>419640</v>
      </c>
      <c r="C1141" s="2" t="s">
        <v>573</v>
      </c>
      <c r="D1141" s="2" t="str">
        <f t="shared" si="16"/>
        <v>Error?</v>
      </c>
    </row>
    <row r="1142" spans="1:4" x14ac:dyDescent="0.2">
      <c r="A1142" s="5">
        <v>1081</v>
      </c>
      <c r="B1142" s="138">
        <f>'Expenditures 15-22'!K73</f>
        <v>1600</v>
      </c>
      <c r="C1142" s="2" t="s">
        <v>573</v>
      </c>
      <c r="D1142" s="2" t="str">
        <f t="shared" si="16"/>
        <v>Error?</v>
      </c>
    </row>
    <row r="1143" spans="1:4" x14ac:dyDescent="0.2">
      <c r="A1143" s="5">
        <v>1082</v>
      </c>
      <c r="B1143" s="138">
        <f>'Expenditures 15-22'!K74</f>
        <v>4700705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1972674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20858703</v>
      </c>
      <c r="C1152" s="2" t="s">
        <v>573</v>
      </c>
      <c r="D1152" s="2" t="str">
        <f t="shared" si="17"/>
        <v>Error?</v>
      </c>
    </row>
    <row r="1153" spans="1:4" x14ac:dyDescent="0.2">
      <c r="A1153" s="5">
        <v>1092</v>
      </c>
      <c r="B1153" s="138">
        <f>'Expenditures 15-22'!K115</f>
        <v>-850116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469811</v>
      </c>
      <c r="D1221" s="2" t="str">
        <f t="shared" si="18"/>
        <v>Error?</v>
      </c>
    </row>
    <row r="1222" spans="1:4" x14ac:dyDescent="0.2">
      <c r="A1222" s="10">
        <v>1161</v>
      </c>
      <c r="D1222" s="2" t="str">
        <f t="shared" si="18"/>
        <v>OK</v>
      </c>
    </row>
    <row r="1223" spans="1:4" x14ac:dyDescent="0.2">
      <c r="A1223" s="5">
        <v>1162</v>
      </c>
      <c r="B1223" s="138">
        <f>'Expenditures 15-22'!C127</f>
        <v>469811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469811</v>
      </c>
      <c r="C1225" s="2" t="s">
        <v>573</v>
      </c>
      <c r="D1225" s="2" t="str">
        <f t="shared" si="18"/>
        <v>Error?</v>
      </c>
    </row>
    <row r="1226" spans="1:4" x14ac:dyDescent="0.2">
      <c r="A1226" s="5">
        <v>1165</v>
      </c>
      <c r="B1226" s="138">
        <f>'Expenditures 15-22'!C151</f>
        <v>469811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48269</v>
      </c>
      <c r="D1229" s="2" t="str">
        <f t="shared" si="18"/>
        <v>Error?</v>
      </c>
    </row>
    <row r="1230" spans="1:4" x14ac:dyDescent="0.2">
      <c r="A1230" s="10">
        <v>1169</v>
      </c>
      <c r="D1230" s="2" t="str">
        <f t="shared" si="18"/>
        <v>OK</v>
      </c>
    </row>
    <row r="1231" spans="1:4" x14ac:dyDescent="0.2">
      <c r="A1231" s="5">
        <v>1170</v>
      </c>
      <c r="B1231" s="138">
        <f>'Expenditures 15-22'!D127</f>
        <v>48269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48269</v>
      </c>
      <c r="C1233" s="2" t="s">
        <v>573</v>
      </c>
      <c r="D1233" s="2" t="str">
        <f t="shared" si="18"/>
        <v>Error?</v>
      </c>
    </row>
    <row r="1234" spans="1:4" x14ac:dyDescent="0.2">
      <c r="A1234" s="5">
        <v>1173</v>
      </c>
      <c r="B1234" s="138">
        <f>'Expenditures 15-22'!D151</f>
        <v>48269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929204</v>
      </c>
      <c r="D1237" s="2" t="str">
        <f t="shared" si="18"/>
        <v>Error?</v>
      </c>
    </row>
    <row r="1238" spans="1:4" x14ac:dyDescent="0.2">
      <c r="A1238" s="10">
        <v>1177</v>
      </c>
      <c r="D1238" s="2" t="str">
        <f t="shared" si="18"/>
        <v>OK</v>
      </c>
    </row>
    <row r="1239" spans="1:4" x14ac:dyDescent="0.2">
      <c r="A1239" s="5">
        <v>1178</v>
      </c>
      <c r="B1239" s="138">
        <f>'Expenditures 15-22'!E127</f>
        <v>929204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929204</v>
      </c>
      <c r="C1241" s="2" t="s">
        <v>573</v>
      </c>
      <c r="D1241" s="2" t="str">
        <f t="shared" si="18"/>
        <v>Error?</v>
      </c>
    </row>
    <row r="1242" spans="1:4" x14ac:dyDescent="0.2">
      <c r="A1242" s="5">
        <v>1181</v>
      </c>
      <c r="B1242" s="138">
        <f>'Expenditures 15-22'!E151</f>
        <v>929204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452222</v>
      </c>
      <c r="D1245" s="2" t="str">
        <f t="shared" si="18"/>
        <v>Error?</v>
      </c>
    </row>
    <row r="1246" spans="1:4" x14ac:dyDescent="0.2">
      <c r="A1246" s="10">
        <v>1185</v>
      </c>
      <c r="D1246" s="2" t="str">
        <f t="shared" si="18"/>
        <v>OK</v>
      </c>
    </row>
    <row r="1247" spans="1:4" x14ac:dyDescent="0.2">
      <c r="A1247" s="5">
        <v>1186</v>
      </c>
      <c r="B1247" s="138">
        <f>'Expenditures 15-22'!F127</f>
        <v>452222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452222</v>
      </c>
      <c r="C1249" s="2" t="s">
        <v>573</v>
      </c>
      <c r="D1249" s="2" t="str">
        <f t="shared" si="18"/>
        <v>Error?</v>
      </c>
    </row>
    <row r="1250" spans="1:4" x14ac:dyDescent="0.2">
      <c r="A1250" s="5">
        <v>1189</v>
      </c>
      <c r="B1250" s="138">
        <f>'Expenditures 15-22'!F151</f>
        <v>452222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131802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131802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131802</v>
      </c>
      <c r="C1258" s="2" t="s">
        <v>573</v>
      </c>
      <c r="D1258" s="2" t="str">
        <f t="shared" si="18"/>
        <v>Error?</v>
      </c>
    </row>
    <row r="1259" spans="1:4" x14ac:dyDescent="0.2">
      <c r="A1259" s="5">
        <v>1198</v>
      </c>
      <c r="B1259" s="138">
        <f>'Expenditures 15-22'!G151</f>
        <v>131802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1244</v>
      </c>
      <c r="D1262" s="2" t="str">
        <f t="shared" si="18"/>
        <v>Error?</v>
      </c>
    </row>
    <row r="1263" spans="1:4" x14ac:dyDescent="0.2">
      <c r="A1263" s="10">
        <v>1202</v>
      </c>
      <c r="D1263" s="2" t="str">
        <f t="shared" si="18"/>
        <v>OK</v>
      </c>
    </row>
    <row r="1264" spans="1:4" x14ac:dyDescent="0.2">
      <c r="A1264" s="5">
        <v>1203</v>
      </c>
      <c r="B1264" s="138">
        <f>'Expenditures 15-22'!H127</f>
        <v>1244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1244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1244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2037225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2037225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2037225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2037225</v>
      </c>
      <c r="C1288" s="2" t="s">
        <v>573</v>
      </c>
      <c r="D1288" s="2" t="str">
        <f t="shared" si="19"/>
        <v>Error?</v>
      </c>
    </row>
    <row r="1289" spans="1:4" x14ac:dyDescent="0.2">
      <c r="A1289" s="5">
        <v>1228</v>
      </c>
      <c r="B1289" s="138">
        <f>'Expenditures 15-22'!K152</f>
        <v>27182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561737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700000</v>
      </c>
      <c r="D1315" s="2" t="str">
        <f t="shared" si="19"/>
        <v>Error?</v>
      </c>
    </row>
    <row r="1316" spans="1:4" x14ac:dyDescent="0.2">
      <c r="A1316" s="5">
        <v>1255</v>
      </c>
      <c r="B1316" s="138">
        <f>'Expenditures 15-22'!H171</f>
        <v>80698</v>
      </c>
      <c r="D1316" s="2" t="str">
        <f t="shared" si="19"/>
        <v>Error?</v>
      </c>
    </row>
    <row r="1317" spans="1:4" x14ac:dyDescent="0.2">
      <c r="A1317" s="5">
        <v>1256</v>
      </c>
      <c r="B1317" s="138">
        <f>'Expenditures 15-22'!H172</f>
        <v>1342435</v>
      </c>
      <c r="C1317" s="2" t="s">
        <v>573</v>
      </c>
      <c r="D1317" s="2" t="str">
        <f t="shared" si="19"/>
        <v>Error?</v>
      </c>
    </row>
    <row r="1318" spans="1:4" x14ac:dyDescent="0.2">
      <c r="A1318" s="5">
        <v>1257</v>
      </c>
      <c r="B1318" s="138">
        <f>'Expenditures 15-22'!H174</f>
        <v>1342435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561737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700000</v>
      </c>
      <c r="C1329" s="2" t="s">
        <v>573</v>
      </c>
      <c r="D1329" s="2" t="str">
        <f t="shared" si="19"/>
        <v>Error?</v>
      </c>
    </row>
    <row r="1330" spans="1:4" x14ac:dyDescent="0.2">
      <c r="A1330" s="5">
        <v>1269</v>
      </c>
      <c r="B1330" s="138">
        <f>'Expenditures 15-22'!K171</f>
        <v>80698</v>
      </c>
      <c r="C1330" s="2" t="s">
        <v>573</v>
      </c>
      <c r="D1330" s="2" t="str">
        <f t="shared" si="19"/>
        <v>Error?</v>
      </c>
    </row>
    <row r="1331" spans="1:4" x14ac:dyDescent="0.2">
      <c r="A1331" s="5">
        <v>1270</v>
      </c>
      <c r="B1331" s="138">
        <f>'Expenditures 15-22'!K172</f>
        <v>1342435</v>
      </c>
      <c r="C1331" s="2" t="s">
        <v>573</v>
      </c>
      <c r="D1331" s="2" t="str">
        <f t="shared" si="19"/>
        <v>Error?</v>
      </c>
    </row>
    <row r="1332" spans="1:4" x14ac:dyDescent="0.2">
      <c r="A1332" s="5">
        <v>1271</v>
      </c>
      <c r="B1332" s="138">
        <f>'Expenditures 15-22'!K174</f>
        <v>1342435</v>
      </c>
      <c r="C1332" s="2" t="s">
        <v>573</v>
      </c>
      <c r="D1332" s="2" t="str">
        <f t="shared" si="19"/>
        <v>Error?</v>
      </c>
    </row>
    <row r="1333" spans="1:4" x14ac:dyDescent="0.2">
      <c r="A1333" s="5">
        <v>1272</v>
      </c>
      <c r="B1333" s="138">
        <f>'Expenditures 15-22'!K175</f>
        <v>-204058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1178695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1178695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1178695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1178695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1178695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1178695</v>
      </c>
      <c r="C1388" s="2" t="s">
        <v>573</v>
      </c>
      <c r="D1388" s="2" t="str">
        <f t="shared" si="20"/>
        <v>Error?</v>
      </c>
    </row>
    <row r="1389" spans="1:4" x14ac:dyDescent="0.2">
      <c r="A1389" s="5">
        <v>1328</v>
      </c>
      <c r="B1389" s="138">
        <f>'Expenditures 15-22'!K211</f>
        <v>-153549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5913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7752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1884</v>
      </c>
      <c r="D1408" s="2" t="str">
        <f t="shared" si="21"/>
        <v>Error?</v>
      </c>
    </row>
    <row r="1409" spans="1:4" x14ac:dyDescent="0.2">
      <c r="A1409" s="5">
        <v>1348</v>
      </c>
      <c r="B1409" s="138">
        <f>'Expenditures 15-22'!D224</f>
        <v>1722</v>
      </c>
      <c r="D1409" s="2" t="str">
        <f t="shared" si="21"/>
        <v>Error?</v>
      </c>
    </row>
    <row r="1410" spans="1:4" x14ac:dyDescent="0.2">
      <c r="A1410" s="5">
        <v>1349</v>
      </c>
      <c r="B1410" s="138">
        <f>'Expenditures 15-22'!D229</f>
        <v>266208</v>
      </c>
      <c r="C1410" s="2" t="s">
        <v>573</v>
      </c>
      <c r="D1410" s="2" t="str">
        <f t="shared" si="21"/>
        <v>Error?</v>
      </c>
    </row>
    <row r="1411" spans="1:4" x14ac:dyDescent="0.2">
      <c r="A1411" s="5">
        <v>1350</v>
      </c>
      <c r="B1411" s="138">
        <f>'Expenditures 15-22'!D232</f>
        <v>4947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39249</v>
      </c>
      <c r="D1413" s="2" t="str">
        <f t="shared" si="21"/>
        <v>Error?</v>
      </c>
    </row>
    <row r="1414" spans="1:4" x14ac:dyDescent="0.2">
      <c r="A1414" s="5">
        <v>1353</v>
      </c>
      <c r="B1414" s="138">
        <f>'Expenditures 15-22'!D235</f>
        <v>2261</v>
      </c>
      <c r="D1414" s="2" t="str">
        <f t="shared" si="21"/>
        <v>Error?</v>
      </c>
    </row>
    <row r="1415" spans="1:4" x14ac:dyDescent="0.2">
      <c r="A1415" s="5">
        <v>1354</v>
      </c>
      <c r="B1415" s="138">
        <f>'Expenditures 15-22'!D236</f>
        <v>3514</v>
      </c>
      <c r="D1415" s="2" t="str">
        <f t="shared" si="21"/>
        <v>Error?</v>
      </c>
    </row>
    <row r="1416" spans="1:4" x14ac:dyDescent="0.2">
      <c r="A1416" s="5">
        <v>1355</v>
      </c>
      <c r="B1416" s="138">
        <f>'Expenditures 15-22'!D237</f>
        <v>2568</v>
      </c>
      <c r="D1416" s="2" t="str">
        <f t="shared" si="21"/>
        <v>Error?</v>
      </c>
    </row>
    <row r="1417" spans="1:4" x14ac:dyDescent="0.2">
      <c r="A1417" s="5">
        <v>1356</v>
      </c>
      <c r="B1417" s="138">
        <f>'Expenditures 15-22'!D238</f>
        <v>52539</v>
      </c>
      <c r="C1417" s="2" t="s">
        <v>573</v>
      </c>
      <c r="D1417" s="2" t="str">
        <f t="shared" si="21"/>
        <v>Error?</v>
      </c>
    </row>
    <row r="1418" spans="1:4" x14ac:dyDescent="0.2">
      <c r="A1418" s="5">
        <v>1357</v>
      </c>
      <c r="B1418" s="138">
        <f>'Expenditures 15-22'!D240</f>
        <v>1117</v>
      </c>
      <c r="D1418" s="2" t="str">
        <f t="shared" si="21"/>
        <v>Error?</v>
      </c>
    </row>
    <row r="1419" spans="1:4" x14ac:dyDescent="0.2">
      <c r="A1419" s="5">
        <v>1358</v>
      </c>
      <c r="B1419" s="138">
        <f>'Expenditures 15-22'!D241</f>
        <v>4132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5249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3525</v>
      </c>
      <c r="D1423" s="2" t="str">
        <f t="shared" si="21"/>
        <v>Error?</v>
      </c>
    </row>
    <row r="1424" spans="1:4" x14ac:dyDescent="0.2">
      <c r="A1424" s="5">
        <v>1363</v>
      </c>
      <c r="B1424" s="138">
        <f>'Expenditures 15-22'!D257</f>
        <v>3525</v>
      </c>
      <c r="C1424" s="2" t="s">
        <v>573</v>
      </c>
      <c r="D1424" s="2" t="str">
        <f t="shared" si="21"/>
        <v>Error?</v>
      </c>
    </row>
    <row r="1425" spans="1:4" x14ac:dyDescent="0.2">
      <c r="A1425" s="5">
        <v>1364</v>
      </c>
      <c r="B1425" s="138">
        <f>'Expenditures 15-22'!D259</f>
        <v>43703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43703</v>
      </c>
      <c r="C1427" s="2" t="s">
        <v>573</v>
      </c>
      <c r="D1427" s="2" t="str">
        <f t="shared" si="21"/>
        <v>Error?</v>
      </c>
    </row>
    <row r="1428" spans="1:4" x14ac:dyDescent="0.2">
      <c r="A1428" s="5">
        <v>1367</v>
      </c>
      <c r="B1428" s="138">
        <f>'Expenditures 15-22'!D263</f>
        <v>637</v>
      </c>
      <c r="D1428" s="2" t="str">
        <f t="shared" si="21"/>
        <v>Error?</v>
      </c>
    </row>
    <row r="1429" spans="1:4" x14ac:dyDescent="0.2">
      <c r="A1429" s="5">
        <v>1368</v>
      </c>
      <c r="B1429" s="138">
        <f>'Expenditures 15-22'!D264</f>
        <v>19489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82391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46337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148854</v>
      </c>
      <c r="C1436" s="2" t="s">
        <v>573</v>
      </c>
      <c r="D1436" s="2" t="str">
        <f t="shared" si="21"/>
        <v>Error?</v>
      </c>
    </row>
    <row r="1437" spans="1:4" x14ac:dyDescent="0.2">
      <c r="A1437" s="5">
        <v>1376</v>
      </c>
      <c r="B1437" s="138">
        <f>'Expenditures 15-22'!D272</f>
        <v>12074</v>
      </c>
      <c r="D1437" s="2" t="str">
        <f t="shared" si="21"/>
        <v>Error?</v>
      </c>
    </row>
    <row r="1438" spans="1:4" x14ac:dyDescent="0.2">
      <c r="A1438" s="5">
        <v>1377</v>
      </c>
      <c r="B1438" s="138">
        <f>'Expenditures 15-22'!D273</f>
        <v>68</v>
      </c>
      <c r="D1438" s="2" t="str">
        <f t="shared" si="21"/>
        <v>Error?</v>
      </c>
    </row>
    <row r="1439" spans="1:4" x14ac:dyDescent="0.2">
      <c r="A1439" s="5">
        <v>1378</v>
      </c>
      <c r="B1439" s="138">
        <f>'Expenditures 15-22'!D274</f>
        <v>14114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26256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280126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546334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5913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7752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1884</v>
      </c>
      <c r="C1472" s="2" t="s">
        <v>573</v>
      </c>
      <c r="D1472" s="2" t="str">
        <f t="shared" si="22"/>
        <v>Error?</v>
      </c>
    </row>
    <row r="1473" spans="1:4" x14ac:dyDescent="0.2">
      <c r="A1473" s="5">
        <v>1412</v>
      </c>
      <c r="B1473" s="138">
        <f>'Expenditures 15-22'!K224</f>
        <v>1722</v>
      </c>
      <c r="C1473" s="2" t="s">
        <v>573</v>
      </c>
      <c r="D1473" s="2" t="str">
        <f t="shared" si="22"/>
        <v>Error?</v>
      </c>
    </row>
    <row r="1474" spans="1:4" x14ac:dyDescent="0.2">
      <c r="A1474" s="5">
        <v>1413</v>
      </c>
      <c r="B1474" s="138">
        <f>'Expenditures 15-22'!K229</f>
        <v>266208</v>
      </c>
      <c r="C1474" s="2" t="s">
        <v>573</v>
      </c>
      <c r="D1474" s="2" t="str">
        <f t="shared" si="22"/>
        <v>Error?</v>
      </c>
    </row>
    <row r="1475" spans="1:4" x14ac:dyDescent="0.2">
      <c r="A1475" s="5">
        <v>1414</v>
      </c>
      <c r="B1475" s="138">
        <f>'Expenditures 15-22'!K232</f>
        <v>4947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39249</v>
      </c>
      <c r="C1477" s="2" t="s">
        <v>573</v>
      </c>
      <c r="D1477" s="2" t="str">
        <f t="shared" si="22"/>
        <v>Error?</v>
      </c>
    </row>
    <row r="1478" spans="1:4" x14ac:dyDescent="0.2">
      <c r="A1478" s="5">
        <v>1417</v>
      </c>
      <c r="B1478" s="138">
        <f>'Expenditures 15-22'!K235</f>
        <v>2261</v>
      </c>
      <c r="C1478" s="2" t="s">
        <v>573</v>
      </c>
      <c r="D1478" s="2" t="str">
        <f t="shared" si="22"/>
        <v>Error?</v>
      </c>
    </row>
    <row r="1479" spans="1:4" x14ac:dyDescent="0.2">
      <c r="A1479" s="5">
        <v>1418</v>
      </c>
      <c r="B1479" s="138">
        <f>'Expenditures 15-22'!K236</f>
        <v>3514</v>
      </c>
      <c r="C1479" s="2" t="s">
        <v>573</v>
      </c>
      <c r="D1479" s="2" t="str">
        <f t="shared" si="22"/>
        <v>Error?</v>
      </c>
    </row>
    <row r="1480" spans="1:4" x14ac:dyDescent="0.2">
      <c r="A1480" s="5">
        <v>1419</v>
      </c>
      <c r="B1480" s="138">
        <f>'Expenditures 15-22'!K237</f>
        <v>2568</v>
      </c>
      <c r="C1480" s="2" t="s">
        <v>573</v>
      </c>
      <c r="D1480" s="2" t="str">
        <f t="shared" si="22"/>
        <v>Error?</v>
      </c>
    </row>
    <row r="1481" spans="1:4" x14ac:dyDescent="0.2">
      <c r="A1481" s="5">
        <v>1420</v>
      </c>
      <c r="B1481" s="138">
        <f>'Expenditures 15-22'!K238</f>
        <v>52539</v>
      </c>
      <c r="C1481" s="2" t="s">
        <v>573</v>
      </c>
      <c r="D1481" s="2" t="str">
        <f t="shared" si="22"/>
        <v>Error?</v>
      </c>
    </row>
    <row r="1482" spans="1:4" x14ac:dyDescent="0.2">
      <c r="A1482" s="5">
        <v>1421</v>
      </c>
      <c r="B1482" s="138">
        <f>'Expenditures 15-22'!K240</f>
        <v>1117</v>
      </c>
      <c r="C1482" s="2" t="s">
        <v>573</v>
      </c>
      <c r="D1482" s="2" t="str">
        <f t="shared" si="22"/>
        <v>Error?</v>
      </c>
    </row>
    <row r="1483" spans="1:4" x14ac:dyDescent="0.2">
      <c r="A1483" s="5">
        <v>1422</v>
      </c>
      <c r="B1483" s="138">
        <f>'Expenditures 15-22'!K241</f>
        <v>4132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5249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3525</v>
      </c>
      <c r="C1487" s="2" t="s">
        <v>573</v>
      </c>
      <c r="D1487" s="2" t="str">
        <f t="shared" si="22"/>
        <v>Error?</v>
      </c>
    </row>
    <row r="1488" spans="1:4" x14ac:dyDescent="0.2">
      <c r="A1488" s="5">
        <v>1427</v>
      </c>
      <c r="B1488" s="138">
        <f>'Expenditures 15-22'!K257</f>
        <v>3525</v>
      </c>
      <c r="C1488" s="2" t="s">
        <v>573</v>
      </c>
      <c r="D1488" s="2" t="str">
        <f t="shared" si="22"/>
        <v>Error?</v>
      </c>
    </row>
    <row r="1489" spans="1:4" x14ac:dyDescent="0.2">
      <c r="A1489" s="5">
        <v>1428</v>
      </c>
      <c r="B1489" s="138">
        <f>'Expenditures 15-22'!K259</f>
        <v>43703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43703</v>
      </c>
      <c r="C1491" s="2" t="s">
        <v>573</v>
      </c>
      <c r="D1491" s="2" t="str">
        <f t="shared" si="22"/>
        <v>Error?</v>
      </c>
    </row>
    <row r="1492" spans="1:4" x14ac:dyDescent="0.2">
      <c r="A1492" s="5">
        <v>1431</v>
      </c>
      <c r="B1492" s="138">
        <f>'Expenditures 15-22'!K263</f>
        <v>637</v>
      </c>
      <c r="C1492" s="2" t="s">
        <v>573</v>
      </c>
      <c r="D1492" s="2" t="str">
        <f t="shared" si="22"/>
        <v>Error?</v>
      </c>
    </row>
    <row r="1493" spans="1:4" x14ac:dyDescent="0.2">
      <c r="A1493" s="5">
        <v>1432</v>
      </c>
      <c r="B1493" s="138">
        <f>'Expenditures 15-22'!K264</f>
        <v>19489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82391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46337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148854</v>
      </c>
      <c r="C1500" s="2" t="s">
        <v>573</v>
      </c>
      <c r="D1500" s="2" t="str">
        <f t="shared" si="22"/>
        <v>Error?</v>
      </c>
    </row>
    <row r="1501" spans="1:4" x14ac:dyDescent="0.2">
      <c r="A1501" s="5">
        <v>1440</v>
      </c>
      <c r="B1501" s="138">
        <f>'Expenditures 15-22'!K272</f>
        <v>12074</v>
      </c>
      <c r="C1501" s="2" t="s">
        <v>573</v>
      </c>
      <c r="D1501" s="2" t="str">
        <f t="shared" si="22"/>
        <v>Error?</v>
      </c>
    </row>
    <row r="1502" spans="1:4" x14ac:dyDescent="0.2">
      <c r="A1502" s="5">
        <v>1441</v>
      </c>
      <c r="B1502" s="138">
        <f>'Expenditures 15-22'!K273</f>
        <v>68</v>
      </c>
      <c r="C1502" s="2" t="s">
        <v>573</v>
      </c>
      <c r="D1502" s="2" t="str">
        <f t="shared" si="22"/>
        <v>Error?</v>
      </c>
    </row>
    <row r="1503" spans="1:4" x14ac:dyDescent="0.2">
      <c r="A1503" s="5">
        <v>1442</v>
      </c>
      <c r="B1503" s="138">
        <f>'Expenditures 15-22'!K274</f>
        <v>14114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26256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280126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546334</v>
      </c>
      <c r="C1517" s="2" t="s">
        <v>573</v>
      </c>
      <c r="D1517" s="2" t="str">
        <f t="shared" si="22"/>
        <v>Error?</v>
      </c>
    </row>
    <row r="1518" spans="1:4" x14ac:dyDescent="0.2">
      <c r="A1518" s="5">
        <v>1457</v>
      </c>
      <c r="B1518" s="138">
        <f>'Expenditures 15-22'!K296</f>
        <v>-121789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707388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707388</v>
      </c>
      <c r="C1535" s="2" t="s">
        <v>573</v>
      </c>
      <c r="D1535" s="2" t="str">
        <f t="shared" ref="D1535:D1598" si="23">IF(ISBLANK(B1535),"OK",IF(A1535-B1535=0,"OK","Error?"))</f>
        <v>Error?</v>
      </c>
    </row>
    <row r="1536" spans="1:4" x14ac:dyDescent="0.2">
      <c r="A1536" s="5">
        <v>1475</v>
      </c>
      <c r="B1536" s="138">
        <f>'Expenditures 15-22'!E312</f>
        <v>707388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4929333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4929333</v>
      </c>
      <c r="C1547" s="2" t="s">
        <v>573</v>
      </c>
      <c r="D1547" s="2" t="str">
        <f t="shared" si="23"/>
        <v>Error?</v>
      </c>
    </row>
    <row r="1548" spans="1:4" x14ac:dyDescent="0.2">
      <c r="A1548" s="5">
        <v>1487</v>
      </c>
      <c r="B1548" s="138">
        <f>'Expenditures 15-22'!G312</f>
        <v>4929333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5636721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5636721</v>
      </c>
      <c r="C1559" s="2" t="s">
        <v>573</v>
      </c>
      <c r="D1559" s="2" t="str">
        <f t="shared" si="23"/>
        <v>Error?</v>
      </c>
    </row>
    <row r="1560" spans="1:4" x14ac:dyDescent="0.2">
      <c r="A1560" s="5">
        <v>1499</v>
      </c>
      <c r="B1560" s="138">
        <f>'Expenditures 15-22'!K312</f>
        <v>5636721</v>
      </c>
      <c r="C1560" s="2" t="s">
        <v>573</v>
      </c>
      <c r="D1560" s="2" t="str">
        <f t="shared" si="23"/>
        <v>Error?</v>
      </c>
    </row>
    <row r="1561" spans="1:4" x14ac:dyDescent="0.2">
      <c r="A1561" s="5">
        <v>1500</v>
      </c>
      <c r="B1561" s="138">
        <f>'Expenditures 15-22'!K313</f>
        <v>-5558471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15576594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8726478</v>
      </c>
      <c r="C1630" s="2" t="s">
        <v>573</v>
      </c>
      <c r="D1630" s="2" t="str">
        <f t="shared" si="24"/>
        <v>Error?</v>
      </c>
    </row>
    <row r="1631" spans="1:4" x14ac:dyDescent="0.2">
      <c r="A1631" s="5">
        <v>1570</v>
      </c>
      <c r="B1631" s="138">
        <f>'Acct Summary 7-8'!D79</f>
        <v>802466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2329648</v>
      </c>
      <c r="C1644" s="2" t="s">
        <v>573</v>
      </c>
      <c r="D1644" s="2" t="str">
        <f t="shared" si="24"/>
        <v>Error?</v>
      </c>
    </row>
    <row r="1645" spans="1:4" x14ac:dyDescent="0.2">
      <c r="A1645" s="5">
        <v>1584</v>
      </c>
      <c r="B1645" s="138">
        <f>'Acct Summary 7-8'!E79</f>
        <v>589232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622158</v>
      </c>
      <c r="C1658" s="2" t="s">
        <v>573</v>
      </c>
      <c r="D1658" s="2" t="str">
        <f t="shared" si="24"/>
        <v>Error?</v>
      </c>
    </row>
    <row r="1659" spans="1:4" x14ac:dyDescent="0.2">
      <c r="A1659" s="5">
        <v>1598</v>
      </c>
      <c r="B1659" s="138">
        <f>'Acct Summary 7-8'!F79</f>
        <v>1273235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1119686</v>
      </c>
      <c r="C1672" s="2" t="s">
        <v>573</v>
      </c>
      <c r="D1672" s="2" t="str">
        <f t="shared" si="25"/>
        <v>Error?</v>
      </c>
    </row>
    <row r="1673" spans="1:4" x14ac:dyDescent="0.2">
      <c r="A1673" s="5">
        <v>1612</v>
      </c>
      <c r="B1673" s="138">
        <f>'Acct Summary 7-8'!G79</f>
        <v>385211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263422</v>
      </c>
      <c r="C1686" s="2" t="s">
        <v>573</v>
      </c>
      <c r="D1686" s="2" t="str">
        <f t="shared" si="25"/>
        <v>Error?</v>
      </c>
    </row>
    <row r="1687" spans="1:4" x14ac:dyDescent="0.2">
      <c r="A1687" s="5">
        <v>1626</v>
      </c>
      <c r="B1687" s="138">
        <f>'Acct Summary 7-8'!H79</f>
        <v>-46514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1895015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15773028</v>
      </c>
      <c r="C1744" s="2" t="s">
        <v>573</v>
      </c>
      <c r="D1744" s="2" t="str">
        <f t="shared" si="26"/>
        <v>Error?</v>
      </c>
    </row>
    <row r="1745" spans="1:5" x14ac:dyDescent="0.2">
      <c r="A1745" s="5">
        <v>1684</v>
      </c>
      <c r="B1745" s="138">
        <f>'Tax Sched 23'!B5</f>
        <v>1815610</v>
      </c>
      <c r="C1745" s="2" t="s">
        <v>573</v>
      </c>
      <c r="D1745" s="2" t="str">
        <f t="shared" si="26"/>
        <v>Error?</v>
      </c>
    </row>
    <row r="1746" spans="1:5" x14ac:dyDescent="0.2">
      <c r="A1746" s="5">
        <v>1685</v>
      </c>
      <c r="B1746" s="138">
        <f>'Tax Sched 23'!B6</f>
        <v>1102558</v>
      </c>
      <c r="C1746" s="2" t="s">
        <v>573</v>
      </c>
      <c r="D1746" s="2" t="str">
        <f t="shared" si="26"/>
        <v>Error?</v>
      </c>
    </row>
    <row r="1747" spans="1:5" x14ac:dyDescent="0.2">
      <c r="A1747" s="5">
        <v>1686</v>
      </c>
      <c r="B1747" s="138">
        <f>'Tax Sched 23'!B7</f>
        <v>415866</v>
      </c>
      <c r="C1747" s="2" t="s">
        <v>573</v>
      </c>
      <c r="D1747" s="2" t="str">
        <f t="shared" si="26"/>
        <v>Error?</v>
      </c>
    </row>
    <row r="1748" spans="1:5" x14ac:dyDescent="0.2">
      <c r="A1748" s="5">
        <v>1687</v>
      </c>
      <c r="B1748" s="138">
        <f>'Tax Sched 23'!B8</f>
        <v>162934</v>
      </c>
      <c r="C1748" s="2" t="s">
        <v>573</v>
      </c>
      <c r="D1748" s="2" t="str">
        <f t="shared" si="26"/>
        <v>Error?</v>
      </c>
    </row>
    <row r="1749" spans="1:5" x14ac:dyDescent="0.2">
      <c r="A1749" s="5">
        <v>1688</v>
      </c>
      <c r="B1749" s="138">
        <f>'Tax Sched 23'!B10</f>
        <v>602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602</v>
      </c>
      <c r="C1752" s="2" t="s">
        <v>573</v>
      </c>
      <c r="D1752" s="2" t="str">
        <f t="shared" si="26"/>
        <v>Error?</v>
      </c>
    </row>
    <row r="1753" spans="1:5" x14ac:dyDescent="0.2">
      <c r="A1753" s="5">
        <v>1692</v>
      </c>
      <c r="B1753" s="138">
        <f>'Tax Sched 23'!B12</f>
        <v>428305</v>
      </c>
      <c r="C1753" s="2" t="s">
        <v>573</v>
      </c>
      <c r="D1753" s="2" t="str">
        <f t="shared" si="26"/>
        <v>Error?</v>
      </c>
    </row>
    <row r="1754" spans="1:5" x14ac:dyDescent="0.2">
      <c r="A1754" s="5">
        <v>1693</v>
      </c>
      <c r="B1754" s="138">
        <f>'Tax Sched 23'!B14</f>
        <v>471650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20171155</v>
      </c>
      <c r="C1759" s="2" t="s">
        <v>573</v>
      </c>
      <c r="D1759" s="2" t="str">
        <f t="shared" si="26"/>
        <v>Error?</v>
      </c>
    </row>
    <row r="1760" spans="1:5" x14ac:dyDescent="0.2">
      <c r="A1760" s="5">
        <v>1699</v>
      </c>
      <c r="B1760" s="138">
        <f>'Tax Sched 23'!D4</f>
        <v>6788296</v>
      </c>
      <c r="C1760" s="2" t="s">
        <v>573</v>
      </c>
      <c r="D1760" s="2" t="str">
        <f t="shared" si="26"/>
        <v>Error?</v>
      </c>
    </row>
    <row r="1761" spans="1:5" x14ac:dyDescent="0.2">
      <c r="A1761" s="5">
        <v>1700</v>
      </c>
      <c r="B1761" s="138">
        <f>'Tax Sched 23'!D5</f>
        <v>763107</v>
      </c>
      <c r="C1761" s="2" t="s">
        <v>573</v>
      </c>
      <c r="D1761" s="2" t="str">
        <f t="shared" si="26"/>
        <v>Error?</v>
      </c>
    </row>
    <row r="1762" spans="1:5" s="8" customFormat="1" x14ac:dyDescent="0.2">
      <c r="A1762" s="5">
        <v>1701</v>
      </c>
      <c r="B1762" s="138">
        <f>'Tax Sched 23'!D6</f>
        <v>437310</v>
      </c>
      <c r="C1762" s="2" t="s">
        <v>573</v>
      </c>
      <c r="D1762" s="2" t="str">
        <f t="shared" si="26"/>
        <v>Error?</v>
      </c>
      <c r="E1762" s="9"/>
    </row>
    <row r="1763" spans="1:5" x14ac:dyDescent="0.2">
      <c r="A1763" s="5">
        <v>1702</v>
      </c>
      <c r="B1763" s="138">
        <f>'Tax Sched 23'!D7</f>
        <v>200980</v>
      </c>
      <c r="C1763" s="2" t="s">
        <v>573</v>
      </c>
      <c r="D1763" s="2" t="str">
        <f t="shared" si="26"/>
        <v>Error?</v>
      </c>
    </row>
    <row r="1764" spans="1:5" x14ac:dyDescent="0.2">
      <c r="A1764" s="5">
        <v>1703</v>
      </c>
      <c r="B1764" s="138">
        <f>'Tax Sched 23'!D8</f>
        <v>70166</v>
      </c>
      <c r="C1764" s="2" t="s">
        <v>573</v>
      </c>
      <c r="D1764" s="2" t="str">
        <f t="shared" si="26"/>
        <v>Error?</v>
      </c>
    </row>
    <row r="1765" spans="1:5" x14ac:dyDescent="0.2">
      <c r="A1765" s="5">
        <v>1704</v>
      </c>
      <c r="B1765" s="138">
        <f>'Tax Sched 23'!D10</f>
        <v>265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265</v>
      </c>
      <c r="C1768" s="2" t="s">
        <v>573</v>
      </c>
      <c r="D1768" s="2" t="str">
        <f t="shared" si="26"/>
        <v>Error?</v>
      </c>
    </row>
    <row r="1769" spans="1:5" x14ac:dyDescent="0.2">
      <c r="A1769" s="5">
        <v>1708</v>
      </c>
      <c r="B1769" s="138">
        <f>'Tax Sched 23'!D12</f>
        <v>190817</v>
      </c>
      <c r="C1769" s="2" t="s">
        <v>573</v>
      </c>
      <c r="D1769" s="2" t="str">
        <f t="shared" si="26"/>
        <v>Error?</v>
      </c>
    </row>
    <row r="1770" spans="1:5" x14ac:dyDescent="0.2">
      <c r="A1770" s="5">
        <v>1709</v>
      </c>
      <c r="B1770" s="138">
        <f>'Tax Sched 23'!D14</f>
        <v>312088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8763294</v>
      </c>
      <c r="C1775" s="2" t="s">
        <v>573</v>
      </c>
      <c r="D1775" s="2" t="str">
        <f t="shared" si="26"/>
        <v>Error?</v>
      </c>
    </row>
    <row r="1776" spans="1:5" x14ac:dyDescent="0.2">
      <c r="A1776" s="5">
        <v>1715</v>
      </c>
      <c r="B1776" s="138">
        <f>'Tax Sched 23'!C4</f>
        <v>8984732</v>
      </c>
      <c r="D1776" s="2" t="str">
        <f t="shared" si="26"/>
        <v>Error?</v>
      </c>
    </row>
    <row r="1777" spans="1:4" x14ac:dyDescent="0.2">
      <c r="A1777" s="5">
        <v>1716</v>
      </c>
      <c r="B1777" s="138">
        <f>'Tax Sched 23'!C5</f>
        <v>1052503</v>
      </c>
      <c r="D1777" s="2" t="str">
        <f t="shared" si="26"/>
        <v>Error?</v>
      </c>
    </row>
    <row r="1778" spans="1:4" x14ac:dyDescent="0.2">
      <c r="A1778" s="5">
        <v>1717</v>
      </c>
      <c r="B1778" s="138">
        <f>'Tax Sched 23'!C6</f>
        <v>665248</v>
      </c>
      <c r="D1778" s="2" t="str">
        <f t="shared" si="26"/>
        <v>Error?</v>
      </c>
    </row>
    <row r="1779" spans="1:4" x14ac:dyDescent="0.2">
      <c r="A1779" s="5">
        <v>1718</v>
      </c>
      <c r="B1779" s="138">
        <f>'Tax Sched 23'!C7</f>
        <v>214886</v>
      </c>
      <c r="D1779" s="2" t="str">
        <f t="shared" si="26"/>
        <v>Error?</v>
      </c>
    </row>
    <row r="1780" spans="1:4" x14ac:dyDescent="0.2">
      <c r="A1780" s="5">
        <v>1719</v>
      </c>
      <c r="B1780" s="138">
        <f>'Tax Sched 23'!C8</f>
        <v>92768</v>
      </c>
      <c r="D1780" s="2" t="str">
        <f t="shared" si="26"/>
        <v>Error?</v>
      </c>
    </row>
    <row r="1781" spans="1:4" x14ac:dyDescent="0.2">
      <c r="A1781" s="5">
        <v>1720</v>
      </c>
      <c r="B1781" s="138">
        <f>'Tax Sched 23'!C10</f>
        <v>337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337</v>
      </c>
      <c r="D1784" s="2" t="str">
        <f t="shared" si="26"/>
        <v>Error?</v>
      </c>
    </row>
    <row r="1785" spans="1:4" x14ac:dyDescent="0.2">
      <c r="A1785" s="5">
        <v>1724</v>
      </c>
      <c r="B1785" s="138">
        <f>'Tax Sched 23'!C12</f>
        <v>237488</v>
      </c>
      <c r="D1785" s="2" t="str">
        <f t="shared" si="26"/>
        <v>Error?</v>
      </c>
    </row>
    <row r="1786" spans="1:4" x14ac:dyDescent="0.2">
      <c r="A1786" s="5">
        <v>1725</v>
      </c>
      <c r="B1786" s="138">
        <f>'Tax Sched 23'!C14</f>
        <v>159562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11407861</v>
      </c>
      <c r="C1791" s="2" t="s">
        <v>573</v>
      </c>
      <c r="D1791" s="2" t="str">
        <f t="shared" ref="D1791:D1854" si="27">IF(ISBLANK(B1791),"OK",IF(A1791-B1791=0,"OK","Error?"))</f>
        <v>Error?</v>
      </c>
    </row>
    <row r="1792" spans="1:4" x14ac:dyDescent="0.2">
      <c r="A1792" s="5">
        <v>1731</v>
      </c>
      <c r="B1792" s="138">
        <f>'Tax Sched 23'!F4</f>
        <v>8522289</v>
      </c>
      <c r="C1792" s="2" t="s">
        <v>573</v>
      </c>
      <c r="D1792" s="2" t="str">
        <f t="shared" si="27"/>
        <v>Error?</v>
      </c>
    </row>
    <row r="1793" spans="1:4" x14ac:dyDescent="0.2">
      <c r="A1793" s="5">
        <v>1732</v>
      </c>
      <c r="B1793" s="138">
        <f>'Tax Sched 23'!F5</f>
        <v>998330</v>
      </c>
      <c r="C1793" s="2" t="s">
        <v>573</v>
      </c>
      <c r="D1793" s="2" t="str">
        <f t="shared" si="27"/>
        <v>Error?</v>
      </c>
    </row>
    <row r="1794" spans="1:4" x14ac:dyDescent="0.2">
      <c r="A1794" s="5">
        <v>1733</v>
      </c>
      <c r="B1794" s="138">
        <f>'Tax Sched 23'!F6</f>
        <v>631397</v>
      </c>
      <c r="C1794" s="2" t="s">
        <v>573</v>
      </c>
      <c r="D1794" s="2" t="str">
        <f t="shared" si="27"/>
        <v>Error?</v>
      </c>
    </row>
    <row r="1795" spans="1:4" x14ac:dyDescent="0.2">
      <c r="A1795" s="5">
        <v>1734</v>
      </c>
      <c r="B1795" s="138">
        <f>'Tax Sched 23'!F7</f>
        <v>203825</v>
      </c>
      <c r="C1795" s="2" t="s">
        <v>573</v>
      </c>
      <c r="D1795" s="2" t="str">
        <f t="shared" si="27"/>
        <v>Error?</v>
      </c>
    </row>
    <row r="1796" spans="1:4" x14ac:dyDescent="0.2">
      <c r="A1796" s="5">
        <v>1735</v>
      </c>
      <c r="B1796" s="138">
        <f>'Tax Sched 23'!F8</f>
        <v>87994</v>
      </c>
      <c r="C1796" s="2" t="s">
        <v>573</v>
      </c>
      <c r="D1796" s="2" t="str">
        <f t="shared" si="27"/>
        <v>Error?</v>
      </c>
    </row>
    <row r="1797" spans="1:4" x14ac:dyDescent="0.2">
      <c r="A1797" s="5">
        <v>1736</v>
      </c>
      <c r="B1797" s="138">
        <f>'Tax Sched 23'!F10</f>
        <v>320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320</v>
      </c>
      <c r="C1800" s="2" t="s">
        <v>573</v>
      </c>
      <c r="D1800" s="2" t="str">
        <f t="shared" si="27"/>
        <v>Error?</v>
      </c>
    </row>
    <row r="1801" spans="1:4" x14ac:dyDescent="0.2">
      <c r="A1801" s="5">
        <v>1740</v>
      </c>
      <c r="B1801" s="138">
        <f>'Tax Sched 23'!F12</f>
        <v>225264</v>
      </c>
      <c r="C1801" s="2" t="s">
        <v>573</v>
      </c>
      <c r="D1801" s="2" t="str">
        <f t="shared" si="27"/>
        <v>Error?</v>
      </c>
    </row>
    <row r="1802" spans="1:4" x14ac:dyDescent="0.2">
      <c r="A1802" s="5">
        <v>1741</v>
      </c>
      <c r="B1802" s="138">
        <f>'Tax Sched 23'!F14</f>
        <v>151349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10821088</v>
      </c>
      <c r="C1807" s="2" t="s">
        <v>573</v>
      </c>
      <c r="D1807" s="2" t="str">
        <f t="shared" si="27"/>
        <v>Error?</v>
      </c>
    </row>
    <row r="1808" spans="1:4" x14ac:dyDescent="0.2">
      <c r="A1808" s="5">
        <v>1747</v>
      </c>
      <c r="B1808" s="138">
        <f>'Tax Sched 23'!E4</f>
        <v>17507021</v>
      </c>
      <c r="D1808" s="2" t="str">
        <f t="shared" si="27"/>
        <v>Error?</v>
      </c>
    </row>
    <row r="1809" spans="1:4" x14ac:dyDescent="0.2">
      <c r="A1809" s="5">
        <v>1748</v>
      </c>
      <c r="B1809" s="138">
        <f>'Tax Sched 23'!E5</f>
        <v>2050833</v>
      </c>
      <c r="D1809" s="2" t="str">
        <f t="shared" si="27"/>
        <v>Error?</v>
      </c>
    </row>
    <row r="1810" spans="1:4" x14ac:dyDescent="0.2">
      <c r="A1810" s="5">
        <v>1749</v>
      </c>
      <c r="B1810" s="138">
        <f>'Tax Sched 23'!E6</f>
        <v>1296645</v>
      </c>
      <c r="D1810" s="2" t="str">
        <f t="shared" si="27"/>
        <v>Error?</v>
      </c>
    </row>
    <row r="1811" spans="1:4" x14ac:dyDescent="0.2">
      <c r="A1811" s="5">
        <v>1750</v>
      </c>
      <c r="B1811" s="138">
        <f>'Tax Sched 23'!E7</f>
        <v>418711</v>
      </c>
      <c r="D1811" s="2" t="str">
        <f t="shared" si="27"/>
        <v>Error?</v>
      </c>
    </row>
    <row r="1812" spans="1:4" x14ac:dyDescent="0.2">
      <c r="A1812" s="5">
        <v>1751</v>
      </c>
      <c r="B1812" s="138">
        <f>'Tax Sched 23'!E8</f>
        <v>180762</v>
      </c>
      <c r="D1812" s="2" t="str">
        <f t="shared" si="27"/>
        <v>Error?</v>
      </c>
    </row>
    <row r="1813" spans="1:4" x14ac:dyDescent="0.2">
      <c r="A1813" s="5">
        <v>1752</v>
      </c>
      <c r="B1813" s="138">
        <f>'Tax Sched 23'!E10</f>
        <v>657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657</v>
      </c>
      <c r="D1816" s="2" t="str">
        <f t="shared" si="27"/>
        <v>Error?</v>
      </c>
    </row>
    <row r="1817" spans="1:4" x14ac:dyDescent="0.2">
      <c r="A1817" s="5">
        <v>1756</v>
      </c>
      <c r="B1817" s="138">
        <f>'Tax Sched 23'!E12</f>
        <v>462752</v>
      </c>
      <c r="D1817" s="2" t="str">
        <f t="shared" si="27"/>
        <v>Error?</v>
      </c>
    </row>
    <row r="1818" spans="1:4" x14ac:dyDescent="0.2">
      <c r="A1818" s="5">
        <v>1757</v>
      </c>
      <c r="B1818" s="138">
        <f>'Tax Sched 23'!E14</f>
        <v>310911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22228949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10435000</v>
      </c>
      <c r="C1939" s="2" t="s">
        <v>573</v>
      </c>
      <c r="D1939" s="2" t="str">
        <f t="shared" si="29"/>
        <v>Error?</v>
      </c>
    </row>
    <row r="1940" spans="1:5" x14ac:dyDescent="0.2">
      <c r="A1940" s="5">
        <v>1879</v>
      </c>
      <c r="B1940" s="138">
        <f>'Short-Term Long-Term Debt 24'!F49</f>
        <v>5910000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280040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280040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280040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2337500</v>
      </c>
      <c r="D2008" s="2" t="str">
        <f t="shared" si="30"/>
        <v>Error?</v>
      </c>
    </row>
    <row r="2009" spans="1:4" x14ac:dyDescent="0.2">
      <c r="A2009" s="5">
        <v>1948</v>
      </c>
      <c r="B2009" s="138">
        <f>'Cap Outlay Deprec 26'!C8</f>
        <v>49158024</v>
      </c>
      <c r="D2009" s="2" t="str">
        <f t="shared" si="30"/>
        <v>Error?</v>
      </c>
    </row>
    <row r="2010" spans="1:4" x14ac:dyDescent="0.2">
      <c r="A2010" s="5">
        <v>1949</v>
      </c>
      <c r="B2010" s="138">
        <f>'Cap Outlay Deprec 26'!C10</f>
        <v>2060107</v>
      </c>
      <c r="D2010" s="2" t="str">
        <f t="shared" si="30"/>
        <v>Error?</v>
      </c>
    </row>
    <row r="2011" spans="1:4" x14ac:dyDescent="0.2">
      <c r="A2011" s="5">
        <v>1950</v>
      </c>
      <c r="B2011" s="138">
        <f>'Cap Outlay Deprec 26'!C12</f>
        <v>6980895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62452031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353450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6440128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2337500</v>
      </c>
      <c r="C2026" s="2" t="s">
        <v>573</v>
      </c>
      <c r="D2026" s="2" t="str">
        <f t="shared" si="30"/>
        <v>Error?</v>
      </c>
    </row>
    <row r="2027" spans="1:4" x14ac:dyDescent="0.2">
      <c r="A2027" s="5">
        <v>1966</v>
      </c>
      <c r="B2027" s="138">
        <f>'Cap Outlay Deprec 26'!F8</f>
        <v>49158024</v>
      </c>
      <c r="C2027" s="2" t="s">
        <v>573</v>
      </c>
      <c r="D2027" s="2" t="str">
        <f t="shared" si="30"/>
        <v>Error?</v>
      </c>
    </row>
    <row r="2028" spans="1:4" x14ac:dyDescent="0.2">
      <c r="A2028" s="5">
        <v>1967</v>
      </c>
      <c r="B2028" s="138">
        <f>'Cap Outlay Deprec 26'!F10</f>
        <v>2060107</v>
      </c>
      <c r="C2028" s="2" t="s">
        <v>573</v>
      </c>
      <c r="D2028" s="2" t="str">
        <f t="shared" si="30"/>
        <v>Error?</v>
      </c>
    </row>
    <row r="2029" spans="1:4" x14ac:dyDescent="0.2">
      <c r="A2029" s="5">
        <v>1968</v>
      </c>
      <c r="B2029" s="138">
        <f>'Cap Outlay Deprec 26'!F12</f>
        <v>7334345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68892159</v>
      </c>
      <c r="C2031" s="2" t="s">
        <v>573</v>
      </c>
      <c r="D2031" s="2" t="str">
        <f t="shared" si="30"/>
        <v>Error?</v>
      </c>
    </row>
    <row r="2032" spans="1:4" x14ac:dyDescent="0.2">
      <c r="A2032" s="10">
        <v>1971</v>
      </c>
      <c r="D2032" s="2" t="str">
        <f t="shared" si="30"/>
        <v>OK</v>
      </c>
    </row>
    <row r="2033" spans="1:4" x14ac:dyDescent="0.2">
      <c r="A2033" s="5">
        <v>1972</v>
      </c>
      <c r="B2033" s="138">
        <f>'Cap Outlay Deprec 26'!H8</f>
        <v>18081560</v>
      </c>
      <c r="D2033" s="2" t="str">
        <f t="shared" si="30"/>
        <v>Error?</v>
      </c>
    </row>
    <row r="2034" spans="1:4" x14ac:dyDescent="0.2">
      <c r="A2034" s="5">
        <v>1973</v>
      </c>
      <c r="B2034" s="138">
        <f>'Cap Outlay Deprec 26'!H10</f>
        <v>1294315</v>
      </c>
      <c r="D2034" s="2" t="str">
        <f t="shared" si="30"/>
        <v>Error?</v>
      </c>
    </row>
    <row r="2035" spans="1:4" x14ac:dyDescent="0.2">
      <c r="A2035" s="5">
        <v>1974</v>
      </c>
      <c r="B2035" s="138">
        <f>'Cap Outlay Deprec 26'!H12</f>
        <v>4515151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23891026</v>
      </c>
      <c r="C2037" s="2" t="s">
        <v>573</v>
      </c>
      <c r="D2037" s="2" t="str">
        <f t="shared" si="30"/>
        <v>Error?</v>
      </c>
    </row>
    <row r="2038" spans="1:4" x14ac:dyDescent="0.2">
      <c r="A2038" s="10">
        <v>1977</v>
      </c>
      <c r="D2038" s="2" t="str">
        <f t="shared" si="30"/>
        <v>OK</v>
      </c>
    </row>
    <row r="2039" spans="1:4" x14ac:dyDescent="0.2">
      <c r="A2039" s="5">
        <v>1978</v>
      </c>
      <c r="B2039" s="138">
        <f>'Cap Outlay Deprec 26'!I8</f>
        <v>1766926</v>
      </c>
      <c r="D2039" s="2" t="str">
        <f t="shared" si="30"/>
        <v>Error?</v>
      </c>
    </row>
    <row r="2040" spans="1:4" x14ac:dyDescent="0.2">
      <c r="A2040" s="5">
        <v>1979</v>
      </c>
      <c r="B2040" s="138">
        <f>'Cap Outlay Deprec 26'!I10</f>
        <v>99765</v>
      </c>
      <c r="D2040" s="2" t="str">
        <f t="shared" si="30"/>
        <v>Error?</v>
      </c>
    </row>
    <row r="2041" spans="1:4" x14ac:dyDescent="0.2">
      <c r="A2041" s="5">
        <v>1980</v>
      </c>
      <c r="B2041" s="138">
        <f>'Cap Outlay Deprec 26'!I12</f>
        <v>715523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2582214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19848486</v>
      </c>
      <c r="C2051" s="2" t="s">
        <v>573</v>
      </c>
      <c r="D2051" s="2" t="str">
        <f t="shared" si="31"/>
        <v>Error?</v>
      </c>
    </row>
    <row r="2052" spans="1:4" x14ac:dyDescent="0.2">
      <c r="A2052" s="5">
        <v>1991</v>
      </c>
      <c r="B2052" s="138">
        <f>'Cap Outlay Deprec 26'!K10</f>
        <v>1394080</v>
      </c>
      <c r="C2052" s="2" t="s">
        <v>573</v>
      </c>
      <c r="D2052" s="2" t="str">
        <f t="shared" si="31"/>
        <v>Error?</v>
      </c>
    </row>
    <row r="2053" spans="1:4" x14ac:dyDescent="0.2">
      <c r="A2053" s="5">
        <v>1992</v>
      </c>
      <c r="B2053" s="138">
        <f>'Cap Outlay Deprec 26'!K12</f>
        <v>5230674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26473240</v>
      </c>
      <c r="C2055" s="2" t="s">
        <v>573</v>
      </c>
      <c r="D2055" s="2" t="str">
        <f t="shared" si="31"/>
        <v>Error?</v>
      </c>
    </row>
    <row r="2056" spans="1:4" x14ac:dyDescent="0.2">
      <c r="A2056" s="5">
        <v>1995</v>
      </c>
      <c r="B2056" s="138">
        <f>'Cap Outlay Deprec 26'!L5</f>
        <v>2337500</v>
      </c>
      <c r="C2056" s="2" t="s">
        <v>573</v>
      </c>
      <c r="D2056" s="2" t="str">
        <f t="shared" si="31"/>
        <v>Error?</v>
      </c>
    </row>
    <row r="2057" spans="1:4" x14ac:dyDescent="0.2">
      <c r="A2057" s="5">
        <v>1996</v>
      </c>
      <c r="B2057" s="138">
        <f>'Cap Outlay Deprec 26'!L8</f>
        <v>29309538</v>
      </c>
      <c r="C2057" s="2" t="s">
        <v>573</v>
      </c>
      <c r="D2057" s="2" t="str">
        <f t="shared" si="31"/>
        <v>Error?</v>
      </c>
    </row>
    <row r="2058" spans="1:4" x14ac:dyDescent="0.2">
      <c r="A2058" s="5">
        <v>1997</v>
      </c>
      <c r="B2058" s="138">
        <f>'Cap Outlay Deprec 26'!L10</f>
        <v>666027</v>
      </c>
      <c r="C2058" s="2" t="s">
        <v>573</v>
      </c>
      <c r="D2058" s="2" t="str">
        <f t="shared" si="31"/>
        <v>Error?</v>
      </c>
    </row>
    <row r="2059" spans="1:4" x14ac:dyDescent="0.2">
      <c r="A2059" s="5">
        <v>1998</v>
      </c>
      <c r="B2059" s="138">
        <f>'Cap Outlay Deprec 26'!L12</f>
        <v>2103671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42418919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1938962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1972674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2329648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1119686</v>
      </c>
      <c r="D2475" s="2" t="str">
        <f t="shared" si="37"/>
        <v>Error?</v>
      </c>
    </row>
    <row r="2476" spans="1:4" x14ac:dyDescent="0.2">
      <c r="A2476" s="10">
        <v>2415</v>
      </c>
      <c r="D2476" s="2" t="str">
        <f t="shared" si="37"/>
        <v>OK</v>
      </c>
    </row>
    <row r="2477" spans="1:4" x14ac:dyDescent="0.2">
      <c r="A2477" s="5">
        <v>2416</v>
      </c>
      <c r="B2477" s="138">
        <f>'Assets-Liab 5-6'!G38</f>
        <v>263422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622158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1895015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18313095</v>
      </c>
      <c r="C2551" s="2" t="s">
        <v>573</v>
      </c>
      <c r="D2551" s="2" t="str">
        <f t="shared" si="38"/>
        <v>Error?</v>
      </c>
    </row>
    <row r="2552" spans="1:4" x14ac:dyDescent="0.2">
      <c r="A2552" s="10">
        <v>2491</v>
      </c>
      <c r="D2552" s="2" t="str">
        <f t="shared" si="38"/>
        <v>OK</v>
      </c>
    </row>
    <row r="2553" spans="1:4" x14ac:dyDescent="0.2">
      <c r="A2553" s="5">
        <v>2492</v>
      </c>
      <c r="B2553" s="138">
        <f>'Acct Summary 7-8'!C6</f>
        <v>1163140</v>
      </c>
      <c r="C2553" s="2" t="s">
        <v>573</v>
      </c>
      <c r="D2553" s="2" t="str">
        <f t="shared" si="38"/>
        <v>Error?</v>
      </c>
    </row>
    <row r="2554" spans="1:4" x14ac:dyDescent="0.2">
      <c r="A2554" s="5">
        <v>2493</v>
      </c>
      <c r="B2554" s="138">
        <f>'Acct Summary 7-8'!C7</f>
        <v>532352</v>
      </c>
      <c r="C2554" s="2" t="s">
        <v>573</v>
      </c>
      <c r="D2554" s="2" t="str">
        <f t="shared" si="38"/>
        <v>Error?</v>
      </c>
    </row>
    <row r="2555" spans="1:4" x14ac:dyDescent="0.2">
      <c r="A2555" s="5">
        <v>2494</v>
      </c>
      <c r="B2555" s="138">
        <f>'Acct Summary 7-8'!C8</f>
        <v>20008587</v>
      </c>
      <c r="C2555" s="2" t="s">
        <v>573</v>
      </c>
      <c r="D2555" s="2" t="str">
        <f t="shared" si="38"/>
        <v>Error?</v>
      </c>
    </row>
    <row r="2556" spans="1:4" x14ac:dyDescent="0.2">
      <c r="A2556" s="5">
        <v>2495</v>
      </c>
      <c r="B2556" s="138">
        <f>'Acct Summary 7-8'!C12</f>
        <v>14185324</v>
      </c>
      <c r="C2556" s="2" t="s">
        <v>573</v>
      </c>
      <c r="D2556" s="2" t="str">
        <f t="shared" si="38"/>
        <v>Error?</v>
      </c>
    </row>
    <row r="2557" spans="1:4" x14ac:dyDescent="0.2">
      <c r="A2557" s="5">
        <v>2496</v>
      </c>
      <c r="B2557" s="138">
        <f>'Acct Summary 7-8'!C13</f>
        <v>4700705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1972674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20858703</v>
      </c>
      <c r="C2561" s="2" t="s">
        <v>573</v>
      </c>
      <c r="D2561" s="2" t="str">
        <f t="shared" si="39"/>
        <v>Error?</v>
      </c>
    </row>
    <row r="2562" spans="1:4" x14ac:dyDescent="0.2">
      <c r="A2562" s="5">
        <v>2501</v>
      </c>
      <c r="B2562" s="138">
        <f>'Acct Summary 7-8'!C20</f>
        <v>-850116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2064407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2064407</v>
      </c>
      <c r="C2568" s="2" t="s">
        <v>573</v>
      </c>
      <c r="D2568" s="2" t="str">
        <f t="shared" si="39"/>
        <v>Error?</v>
      </c>
    </row>
    <row r="2569" spans="1:4" x14ac:dyDescent="0.2">
      <c r="A2569" s="5">
        <v>2508</v>
      </c>
      <c r="B2569" s="138">
        <f>'Acct Summary 7-8'!D13</f>
        <v>2037225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2037225</v>
      </c>
      <c r="C2573" s="2" t="s">
        <v>573</v>
      </c>
      <c r="D2573" s="2" t="str">
        <f t="shared" si="39"/>
        <v>Error?</v>
      </c>
    </row>
    <row r="2574" spans="1:4" x14ac:dyDescent="0.2">
      <c r="A2574" s="5">
        <v>2513</v>
      </c>
      <c r="B2574" s="138">
        <f>'Acct Summary 7-8'!D20</f>
        <v>27182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612391</v>
      </c>
      <c r="C2591" s="2" t="s">
        <v>573</v>
      </c>
      <c r="D2591" s="2" t="str">
        <f t="shared" si="39"/>
        <v>Error?</v>
      </c>
    </row>
    <row r="2592" spans="1:4" x14ac:dyDescent="0.2">
      <c r="A2592" s="10">
        <v>2531</v>
      </c>
      <c r="D2592" s="2" t="str">
        <f t="shared" si="39"/>
        <v>OK</v>
      </c>
    </row>
    <row r="2593" spans="1:4" x14ac:dyDescent="0.2">
      <c r="A2593" s="5">
        <v>2532</v>
      </c>
      <c r="B2593" s="138">
        <f>'Acct Summary 7-8'!F6</f>
        <v>412755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1025146</v>
      </c>
      <c r="C2595" s="2" t="s">
        <v>573</v>
      </c>
      <c r="D2595" s="2" t="str">
        <f t="shared" si="39"/>
        <v>Error?</v>
      </c>
    </row>
    <row r="2596" spans="1:4" x14ac:dyDescent="0.2">
      <c r="A2596" s="5">
        <v>2535</v>
      </c>
      <c r="B2596" s="138">
        <f>'Acct Summary 7-8'!F13</f>
        <v>1178695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1178695</v>
      </c>
      <c r="C2600" s="2" t="s">
        <v>573</v>
      </c>
      <c r="D2600" s="2" t="str">
        <f t="shared" si="39"/>
        <v>Error?</v>
      </c>
    </row>
    <row r="2601" spans="1:4" x14ac:dyDescent="0.2">
      <c r="A2601" s="5">
        <v>2540</v>
      </c>
      <c r="B2601" s="138">
        <f>'Acct Summary 7-8'!F20</f>
        <v>-153549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424545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424545</v>
      </c>
      <c r="C2606" s="2" t="s">
        <v>573</v>
      </c>
      <c r="D2606" s="2" t="str">
        <f t="shared" si="39"/>
        <v>Error?</v>
      </c>
    </row>
    <row r="2607" spans="1:4" x14ac:dyDescent="0.2">
      <c r="A2607" s="5">
        <v>2546</v>
      </c>
      <c r="B2607" s="138">
        <f>'Acct Summary 7-8'!G12</f>
        <v>266208</v>
      </c>
      <c r="C2607" s="2" t="s">
        <v>573</v>
      </c>
      <c r="D2607" s="2" t="str">
        <f t="shared" si="39"/>
        <v>Error?</v>
      </c>
    </row>
    <row r="2608" spans="1:4" x14ac:dyDescent="0.2">
      <c r="A2608" s="5">
        <v>2547</v>
      </c>
      <c r="B2608" s="138">
        <f>'Acct Summary 7-8'!G13</f>
        <v>280126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546334</v>
      </c>
      <c r="C2612" s="2" t="s">
        <v>573</v>
      </c>
      <c r="D2612" s="2" t="str">
        <f t="shared" si="39"/>
        <v>Error?</v>
      </c>
    </row>
    <row r="2613" spans="1:4" x14ac:dyDescent="0.2">
      <c r="A2613" s="5">
        <v>2552</v>
      </c>
      <c r="B2613" s="138">
        <f>'Acct Summary 7-8'!G20</f>
        <v>-121789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1138377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1138377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1342435</v>
      </c>
      <c r="C2634" s="2" t="s">
        <v>573</v>
      </c>
      <c r="D2634" s="2" t="str">
        <f t="shared" si="40"/>
        <v>Error?</v>
      </c>
    </row>
    <row r="2635" spans="1:4" x14ac:dyDescent="0.2">
      <c r="A2635" s="5">
        <v>2574</v>
      </c>
      <c r="B2635" s="138">
        <f>'Acct Summary 7-8'!E17</f>
        <v>1342435</v>
      </c>
      <c r="C2635" s="2" t="s">
        <v>573</v>
      </c>
      <c r="D2635" s="2" t="str">
        <f t="shared" si="40"/>
        <v>Error?</v>
      </c>
    </row>
    <row r="2636" spans="1:4" x14ac:dyDescent="0.2">
      <c r="A2636" s="5">
        <v>2575</v>
      </c>
      <c r="B2636" s="138">
        <f>'Acct Summary 7-8'!E20</f>
        <v>-204058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78250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78250</v>
      </c>
      <c r="C2658" s="2" t="s">
        <v>573</v>
      </c>
      <c r="D2658" s="2" t="str">
        <f t="shared" si="40"/>
        <v>Error?</v>
      </c>
    </row>
    <row r="2659" spans="1:4" x14ac:dyDescent="0.2">
      <c r="A2659" s="5">
        <v>2598</v>
      </c>
      <c r="B2659" s="138">
        <f>'Acct Summary 7-8'!H13</f>
        <v>5636721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5636721</v>
      </c>
      <c r="C2661" s="2" t="s">
        <v>573</v>
      </c>
      <c r="D2661" s="2" t="str">
        <f t="shared" si="40"/>
        <v>Error?</v>
      </c>
    </row>
    <row r="2662" spans="1:4" x14ac:dyDescent="0.2">
      <c r="A2662" s="5">
        <v>2601</v>
      </c>
      <c r="B2662" s="138">
        <f>'Acct Summary 7-8'!H20</f>
        <v>-5558471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33712</v>
      </c>
      <c r="C2789" s="2" t="s">
        <v>573</v>
      </c>
      <c r="D2789" s="2" t="str">
        <f t="shared" si="42"/>
        <v>Error?</v>
      </c>
    </row>
    <row r="2790" spans="1:4" x14ac:dyDescent="0.2">
      <c r="A2790" s="5">
        <v>2729</v>
      </c>
      <c r="B2790" s="138">
        <f>'Expenditures 15-22'!E102</f>
        <v>33712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8002183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314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469352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17214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314</v>
      </c>
      <c r="D2908" s="2" t="str">
        <f t="shared" si="44"/>
        <v>Error?</v>
      </c>
    </row>
    <row r="2909" spans="1:4" x14ac:dyDescent="0.2">
      <c r="A2909" s="10">
        <v>2848</v>
      </c>
      <c r="D2909" s="2" t="str">
        <f t="shared" si="44"/>
        <v>OK</v>
      </c>
    </row>
    <row r="2910" spans="1:4" x14ac:dyDescent="0.2">
      <c r="A2910" s="5">
        <v>2849</v>
      </c>
      <c r="B2910" s="138">
        <f>'Assets-Liab 5-6'!I34</f>
        <v>314</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469038</v>
      </c>
      <c r="D2912" s="2" t="str">
        <f t="shared" si="44"/>
        <v>Error?</v>
      </c>
    </row>
    <row r="2913" spans="1:4" x14ac:dyDescent="0.2">
      <c r="A2913" s="5">
        <v>2852</v>
      </c>
      <c r="B2913" s="138">
        <f>'Assets-Liab 5-6'!I41</f>
        <v>469352</v>
      </c>
      <c r="C2913" s="2" t="s">
        <v>573</v>
      </c>
      <c r="D2913" s="2" t="str">
        <f t="shared" si="44"/>
        <v>Error?</v>
      </c>
    </row>
    <row r="2914" spans="1:4" x14ac:dyDescent="0.2">
      <c r="A2914" s="5">
        <v>2853</v>
      </c>
      <c r="B2914" s="138">
        <f>'Assets-Liab 5-6'!L33</f>
        <v>17214</v>
      </c>
      <c r="D2914" s="2" t="str">
        <f t="shared" si="44"/>
        <v>Error?</v>
      </c>
    </row>
    <row r="2915" spans="1:4" x14ac:dyDescent="0.2">
      <c r="A2915" s="10">
        <v>2854</v>
      </c>
      <c r="D2915" s="2" t="str">
        <f t="shared" si="44"/>
        <v>OK</v>
      </c>
    </row>
    <row r="2916" spans="1:4" x14ac:dyDescent="0.2">
      <c r="A2916" s="5">
        <v>2855</v>
      </c>
      <c r="B2916" s="138">
        <f>'Assets-Liab 5-6'!L34</f>
        <v>17214</v>
      </c>
      <c r="C2916" s="2" t="s">
        <v>573</v>
      </c>
      <c r="D2916" s="2" t="str">
        <f t="shared" si="44"/>
        <v>Error?</v>
      </c>
    </row>
    <row r="2917" spans="1:4" x14ac:dyDescent="0.2">
      <c r="A2917" s="5">
        <v>2856</v>
      </c>
      <c r="B2917" s="138">
        <f>'Assets-Liab 5-6'!L41</f>
        <v>17214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33712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1938962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1972674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547687</v>
      </c>
      <c r="D3055" s="2" t="str">
        <f t="shared" si="46"/>
        <v>Error?</v>
      </c>
    </row>
    <row r="3056" spans="1:4" x14ac:dyDescent="0.2">
      <c r="A3056" s="5">
        <v>2995</v>
      </c>
      <c r="B3056" s="138">
        <f>'Expenditures 15-22'!D10</f>
        <v>105893</v>
      </c>
      <c r="D3056" s="2" t="str">
        <f t="shared" si="46"/>
        <v>Error?</v>
      </c>
    </row>
    <row r="3057" spans="1:4" x14ac:dyDescent="0.2">
      <c r="A3057" s="5">
        <v>2996</v>
      </c>
      <c r="B3057" s="138">
        <f>'Expenditures 15-22'!E10</f>
        <v>8631</v>
      </c>
      <c r="D3057" s="2" t="str">
        <f t="shared" si="46"/>
        <v>Error?</v>
      </c>
    </row>
    <row r="3058" spans="1:4" x14ac:dyDescent="0.2">
      <c r="A3058" s="5">
        <v>2997</v>
      </c>
      <c r="B3058" s="138">
        <f>'Expenditures 15-22'!F10</f>
        <v>6937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669148</v>
      </c>
      <c r="C3062" s="2" t="s">
        <v>573</v>
      </c>
      <c r="D3062" s="2" t="str">
        <f t="shared" si="46"/>
        <v>Error?</v>
      </c>
    </row>
    <row r="3063" spans="1:4" x14ac:dyDescent="0.2">
      <c r="A3063" s="10">
        <v>3002</v>
      </c>
      <c r="D3063" s="2" t="str">
        <f t="shared" si="46"/>
        <v>OK</v>
      </c>
    </row>
    <row r="3064" spans="1:4" x14ac:dyDescent="0.2">
      <c r="A3064" s="5">
        <v>3003</v>
      </c>
      <c r="B3064" s="138">
        <f>'Expenditures 15-22'!D219</f>
        <v>18262</v>
      </c>
      <c r="D3064" s="2" t="str">
        <f t="shared" si="46"/>
        <v>Error?</v>
      </c>
    </row>
    <row r="3065" spans="1:4" x14ac:dyDescent="0.2">
      <c r="A3065" s="5">
        <v>3004</v>
      </c>
      <c r="B3065" s="138">
        <f>'Expenditures 15-22'!K219</f>
        <v>18262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236984</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23933</v>
      </c>
      <c r="C3225" s="2" t="s">
        <v>573</v>
      </c>
      <c r="D3225" s="2" t="str">
        <f t="shared" si="49"/>
        <v>Error?</v>
      </c>
    </row>
    <row r="3226" spans="1:4" x14ac:dyDescent="0.2">
      <c r="A3226" s="5">
        <v>3165</v>
      </c>
      <c r="B3226" s="138">
        <f>'Acct Summary 7-8'!I8</f>
        <v>23933</v>
      </c>
      <c r="C3226" s="2" t="s">
        <v>573</v>
      </c>
      <c r="D3226" s="2" t="str">
        <f t="shared" si="49"/>
        <v>Error?</v>
      </c>
    </row>
    <row r="3227" spans="1:4" x14ac:dyDescent="0.2">
      <c r="A3227" s="5">
        <v>3166</v>
      </c>
      <c r="B3227" s="138">
        <f>'Acct Summary 7-8'!I20</f>
        <v>23933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7500000</v>
      </c>
      <c r="C3231" s="2" t="s">
        <v>573</v>
      </c>
      <c r="D3231" s="2" t="str">
        <f t="shared" si="49"/>
        <v>Error?</v>
      </c>
    </row>
    <row r="3232" spans="1:4" x14ac:dyDescent="0.2">
      <c r="A3232" s="5">
        <v>3171</v>
      </c>
      <c r="B3232" s="138">
        <f>'Acct Summary 7-8'!C77</f>
        <v>-6000000</v>
      </c>
      <c r="C3232" s="2" t="s">
        <v>573</v>
      </c>
      <c r="D3232" s="2" t="str">
        <f t="shared" si="49"/>
        <v>Error?</v>
      </c>
    </row>
    <row r="3233" spans="1:4" x14ac:dyDescent="0.2">
      <c r="A3233" s="5">
        <v>3172</v>
      </c>
      <c r="B3233" s="138">
        <f>'Acct Summary 7-8'!C78</f>
        <v>-6850116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7500000</v>
      </c>
      <c r="C3237" s="2" t="s">
        <v>573</v>
      </c>
      <c r="D3237" s="2" t="str">
        <f t="shared" si="49"/>
        <v>Error?</v>
      </c>
    </row>
    <row r="3238" spans="1:4" x14ac:dyDescent="0.2">
      <c r="A3238" s="5">
        <v>3177</v>
      </c>
      <c r="B3238" s="138">
        <f>'Acct Summary 7-8'!D77</f>
        <v>1500000</v>
      </c>
      <c r="C3238" s="2" t="s">
        <v>573</v>
      </c>
      <c r="D3238" s="2" t="str">
        <f t="shared" si="49"/>
        <v>Error?</v>
      </c>
    </row>
    <row r="3239" spans="1:4" x14ac:dyDescent="0.2">
      <c r="A3239" s="5">
        <v>3178</v>
      </c>
      <c r="B3239" s="138">
        <f>'Acct Summary 7-8'!D78</f>
        <v>1527182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-153549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-121789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236984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236984</v>
      </c>
      <c r="C3277" s="2" t="s">
        <v>573</v>
      </c>
      <c r="D3277" s="2" t="str">
        <f t="shared" si="50"/>
        <v>Error?</v>
      </c>
    </row>
    <row r="3278" spans="1:4" x14ac:dyDescent="0.2">
      <c r="A3278" s="5">
        <v>3217</v>
      </c>
      <c r="B3278" s="138">
        <f>'Acct Summary 7-8'!E78</f>
        <v>32926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7500000</v>
      </c>
      <c r="C3299" s="2" t="s">
        <v>573</v>
      </c>
      <c r="D3299" s="2" t="str">
        <f t="shared" si="50"/>
        <v>Error?</v>
      </c>
    </row>
    <row r="3300" spans="1:4" x14ac:dyDescent="0.2">
      <c r="A3300" s="5">
        <v>3239</v>
      </c>
      <c r="B3300" s="138">
        <f>'Acct Summary 7-8'!H78</f>
        <v>1941529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3079964</v>
      </c>
      <c r="C3317" s="2" t="s">
        <v>573</v>
      </c>
      <c r="D3317" s="2" t="str">
        <f t="shared" si="50"/>
        <v>Error?</v>
      </c>
    </row>
    <row r="3318" spans="1:4" x14ac:dyDescent="0.2">
      <c r="A3318" s="5">
        <v>3257</v>
      </c>
      <c r="B3318" s="138">
        <f>'Acct Summary 7-8'!I76</f>
        <v>3000000</v>
      </c>
      <c r="C3318" s="2" t="s">
        <v>573</v>
      </c>
      <c r="D3318" s="2" t="str">
        <f t="shared" si="50"/>
        <v>Error?</v>
      </c>
    </row>
    <row r="3319" spans="1:4" x14ac:dyDescent="0.2">
      <c r="A3319" s="5">
        <v>3258</v>
      </c>
      <c r="B3319" s="138">
        <f>'Acct Summary 7-8'!I77</f>
        <v>79964</v>
      </c>
      <c r="C3319" s="2" t="s">
        <v>573</v>
      </c>
      <c r="D3319" s="2" t="str">
        <f t="shared" si="50"/>
        <v>Error?</v>
      </c>
    </row>
    <row r="3320" spans="1:4" x14ac:dyDescent="0.2">
      <c r="A3320" s="5">
        <v>3259</v>
      </c>
      <c r="B3320" s="138">
        <f>'Acct Summary 7-8'!I78</f>
        <v>103897</v>
      </c>
      <c r="C3320" s="2" t="s">
        <v>573</v>
      </c>
      <c r="D3320" s="2" t="str">
        <f t="shared" si="50"/>
        <v>Error?</v>
      </c>
    </row>
    <row r="3321" spans="1:4" x14ac:dyDescent="0.2">
      <c r="A3321" s="5">
        <v>3260</v>
      </c>
      <c r="B3321" s="138">
        <f>'Acct Summary 7-8'!I79</f>
        <v>365141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469038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1005433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185367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3827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1203924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183418</v>
      </c>
      <c r="D3387" s="2" t="str">
        <f t="shared" si="51"/>
        <v>Error?</v>
      </c>
    </row>
    <row r="3388" spans="1:4" x14ac:dyDescent="0.2">
      <c r="A3388" s="5">
        <v>3327</v>
      </c>
      <c r="B3388" s="138">
        <f>'Expenditures 15-22'!D217</f>
        <v>46452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183418</v>
      </c>
      <c r="C3390" s="2" t="s">
        <v>573</v>
      </c>
      <c r="D3390" s="2" t="str">
        <f t="shared" si="51"/>
        <v>Error?</v>
      </c>
    </row>
    <row r="3391" spans="1:4" x14ac:dyDescent="0.2">
      <c r="A3391" s="5">
        <v>3330</v>
      </c>
      <c r="B3391" s="138">
        <f>'Expenditures 15-22'!K217</f>
        <v>46452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4404104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2477922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622158</v>
      </c>
      <c r="D3417" s="2" t="str">
        <f t="shared" si="52"/>
        <v>Error?</v>
      </c>
    </row>
    <row r="3418" spans="1:4" x14ac:dyDescent="0.2">
      <c r="A3418" s="10">
        <v>3357</v>
      </c>
      <c r="D3418" s="2" t="str">
        <f t="shared" si="52"/>
        <v>OK</v>
      </c>
    </row>
    <row r="3419" spans="1:4" x14ac:dyDescent="0.2">
      <c r="A3419" s="5">
        <v>3358</v>
      </c>
      <c r="B3419" s="138">
        <f>'Assets-Liab 5-6'!F4</f>
        <v>1150506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263422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1982420</v>
      </c>
      <c r="D3425" s="2" t="str">
        <f t="shared" si="52"/>
        <v>Error?</v>
      </c>
    </row>
    <row r="3426" spans="1:4" x14ac:dyDescent="0.2">
      <c r="A3426" s="10">
        <v>3365</v>
      </c>
      <c r="D3426" s="2" t="str">
        <f t="shared" si="52"/>
        <v>OK</v>
      </c>
    </row>
    <row r="3427" spans="1:4" x14ac:dyDescent="0.2">
      <c r="A3427" s="5">
        <v>3366</v>
      </c>
      <c r="B3427" s="138">
        <f>'Assets-Liab 5-6'!I4</f>
        <v>469038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17214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1915505</v>
      </c>
      <c r="D3451" s="2" t="str">
        <f t="shared" si="52"/>
        <v>Error?</v>
      </c>
    </row>
    <row r="3452" spans="1:4" x14ac:dyDescent="0.2">
      <c r="A3452" s="5">
        <v>3391</v>
      </c>
      <c r="B3452" s="138">
        <f>'Cap Outlay Deprec 26'!D15</f>
        <v>6086678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8002183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8002183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3769373</v>
      </c>
      <c r="D3546" s="2" t="str">
        <f t="shared" si="54"/>
        <v>Error?</v>
      </c>
    </row>
    <row r="3547" spans="1:4" x14ac:dyDescent="0.2">
      <c r="A3547" s="10">
        <v>3486</v>
      </c>
      <c r="D3547" s="2" t="str">
        <f t="shared" si="54"/>
        <v>OK</v>
      </c>
    </row>
    <row r="3548" spans="1:4" x14ac:dyDescent="0.2">
      <c r="A3548" s="5">
        <v>3487</v>
      </c>
      <c r="B3548" s="138">
        <f>'Assets-Liab 5-6'!K6</f>
        <v>220755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3990128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220755</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220755</v>
      </c>
      <c r="C3565" s="2" t="s">
        <v>573</v>
      </c>
      <c r="D3565" s="2" t="str">
        <f t="shared" si="54"/>
        <v>Error?</v>
      </c>
    </row>
    <row r="3566" spans="1:4" x14ac:dyDescent="0.2">
      <c r="A3566" s="5">
        <v>3505</v>
      </c>
      <c r="B3566" s="138">
        <f>'Assets-Liab 5-6'!K38</f>
        <v>3769373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3990128</v>
      </c>
      <c r="C3568" s="2" t="s">
        <v>573</v>
      </c>
      <c r="D3568" s="2" t="str">
        <f t="shared" si="54"/>
        <v>Error?</v>
      </c>
    </row>
    <row r="3569" spans="1:4" x14ac:dyDescent="0.2">
      <c r="A3569" s="5">
        <v>3508</v>
      </c>
      <c r="B3569" s="138">
        <f>'Acct Summary 7-8'!K4</f>
        <v>541676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541676</v>
      </c>
      <c r="C3571" s="2" t="s">
        <v>573</v>
      </c>
      <c r="D3571" s="2" t="str">
        <f t="shared" si="54"/>
        <v>Error?</v>
      </c>
    </row>
    <row r="3572" spans="1:4" x14ac:dyDescent="0.2">
      <c r="A3572" s="5">
        <v>3511</v>
      </c>
      <c r="B3572" s="138">
        <f>'Acct Summary 7-8'!K13</f>
        <v>747272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747272</v>
      </c>
      <c r="C3575" s="2" t="s">
        <v>573</v>
      </c>
      <c r="D3575" s="2" t="str">
        <f t="shared" si="54"/>
        <v>Error?</v>
      </c>
    </row>
    <row r="3576" spans="1:4" x14ac:dyDescent="0.2">
      <c r="A3576" s="5">
        <v>3515</v>
      </c>
      <c r="B3576" s="138">
        <f>'Acct Summary 7-8'!K20</f>
        <v>-205596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2758365</v>
      </c>
      <c r="D3579" s="2" t="str">
        <f t="shared" si="54"/>
        <v>Error?</v>
      </c>
    </row>
    <row r="3580" spans="1:4" x14ac:dyDescent="0.2">
      <c r="A3580" s="5">
        <v>3519</v>
      </c>
      <c r="B3580" s="138">
        <f>'Acct Summary 7-8'!K34</f>
        <v>165313</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2923678</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2923678</v>
      </c>
      <c r="C3587" s="2" t="s">
        <v>573</v>
      </c>
      <c r="D3587" s="2" t="str">
        <f t="shared" si="55"/>
        <v>Error?</v>
      </c>
    </row>
    <row r="3588" spans="1:4" x14ac:dyDescent="0.2">
      <c r="A3588" s="5">
        <v>3527</v>
      </c>
      <c r="B3588" s="138">
        <f>'Acct Summary 7-8'!K78</f>
        <v>2718082</v>
      </c>
      <c r="C3588" s="2" t="s">
        <v>573</v>
      </c>
      <c r="D3588" s="2" t="str">
        <f t="shared" si="55"/>
        <v>Error?</v>
      </c>
    </row>
    <row r="3589" spans="1:4" x14ac:dyDescent="0.2">
      <c r="A3589" s="5">
        <v>3528</v>
      </c>
      <c r="B3589" s="138">
        <f>'Acct Summary 7-8'!K79</f>
        <v>1051291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3769373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747272</v>
      </c>
      <c r="D3646" s="2" t="str">
        <f t="shared" si="55"/>
        <v>Error?</v>
      </c>
    </row>
    <row r="3647" spans="1:4" x14ac:dyDescent="0.2">
      <c r="A3647" s="5">
        <v>3586</v>
      </c>
      <c r="B3647" s="138">
        <f>'Expenditures 15-22'!G350</f>
        <v>747272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747272</v>
      </c>
      <c r="C3649" s="2" t="s">
        <v>573</v>
      </c>
      <c r="D3649" s="2" t="str">
        <f t="shared" si="56"/>
        <v>Error?</v>
      </c>
    </row>
    <row r="3650" spans="1:4" x14ac:dyDescent="0.2">
      <c r="A3650" s="5">
        <v>3589</v>
      </c>
      <c r="B3650" s="138">
        <f>'Expenditures 15-22'!G367</f>
        <v>747272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747272</v>
      </c>
      <c r="C3669" s="2" t="s">
        <v>573</v>
      </c>
      <c r="D3669" s="2" t="str">
        <f t="shared" si="56"/>
        <v>Error?</v>
      </c>
    </row>
    <row r="3670" spans="1:4" x14ac:dyDescent="0.2">
      <c r="A3670" s="5">
        <v>3609</v>
      </c>
      <c r="B3670" s="138">
        <f>'Expenditures 15-22'!K350</f>
        <v>747272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747272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747272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-205596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591943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8069354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28077941</v>
      </c>
      <c r="C4122" s="2" t="s">
        <v>573</v>
      </c>
      <c r="D4122" s="2" t="str">
        <f t="shared" si="63"/>
        <v>Error?</v>
      </c>
    </row>
    <row r="4123" spans="1:4" x14ac:dyDescent="0.2">
      <c r="A4123" s="5">
        <v>4062</v>
      </c>
      <c r="B4123" s="138">
        <f>'Acct Summary 7-8'!D10</f>
        <v>2064407</v>
      </c>
      <c r="C4123" s="2" t="s">
        <v>573</v>
      </c>
      <c r="D4123" s="2" t="str">
        <f t="shared" si="63"/>
        <v>Error?</v>
      </c>
    </row>
    <row r="4124" spans="1:4" x14ac:dyDescent="0.2">
      <c r="A4124" s="5">
        <v>4063</v>
      </c>
      <c r="B4124" s="138">
        <f>'Acct Summary 7-8'!E10</f>
        <v>1138377</v>
      </c>
      <c r="C4124" s="2" t="s">
        <v>573</v>
      </c>
      <c r="D4124" s="2" t="str">
        <f t="shared" si="63"/>
        <v>Error?</v>
      </c>
    </row>
    <row r="4125" spans="1:4" x14ac:dyDescent="0.2">
      <c r="A4125" s="5">
        <v>4064</v>
      </c>
      <c r="B4125" s="138">
        <f>'Acct Summary 7-8'!F10</f>
        <v>1025146</v>
      </c>
      <c r="C4125" s="2" t="s">
        <v>573</v>
      </c>
      <c r="D4125" s="2" t="str">
        <f t="shared" si="63"/>
        <v>Error?</v>
      </c>
    </row>
    <row r="4126" spans="1:4" x14ac:dyDescent="0.2">
      <c r="A4126" s="5">
        <v>4065</v>
      </c>
      <c r="B4126" s="138">
        <f>'Acct Summary 7-8'!G10</f>
        <v>424545</v>
      </c>
      <c r="C4126" s="2" t="s">
        <v>573</v>
      </c>
      <c r="D4126" s="2" t="str">
        <f t="shared" si="63"/>
        <v>Error?</v>
      </c>
    </row>
    <row r="4127" spans="1:4" x14ac:dyDescent="0.2">
      <c r="A4127" s="5">
        <v>4066</v>
      </c>
      <c r="B4127" s="138">
        <f>'Acct Summary 7-8'!H10</f>
        <v>78250</v>
      </c>
      <c r="C4127" s="2" t="s">
        <v>573</v>
      </c>
      <c r="D4127" s="2" t="str">
        <f t="shared" si="63"/>
        <v>Error?</v>
      </c>
    </row>
    <row r="4128" spans="1:4" x14ac:dyDescent="0.2">
      <c r="A4128" s="5">
        <v>4067</v>
      </c>
      <c r="B4128" s="138">
        <f>'Acct Summary 7-8'!I10</f>
        <v>23933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541676</v>
      </c>
      <c r="C4130" s="2" t="s">
        <v>573</v>
      </c>
      <c r="D4130" s="2" t="str">
        <f t="shared" si="63"/>
        <v>Error?</v>
      </c>
    </row>
    <row r="4131" spans="1:4" x14ac:dyDescent="0.2">
      <c r="A4131" s="5">
        <v>4070</v>
      </c>
      <c r="B4131" s="138">
        <f>'Acct Summary 7-8'!C18</f>
        <v>8069354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28928057</v>
      </c>
      <c r="C4136" s="2" t="s">
        <v>573</v>
      </c>
      <c r="D4136" s="2" t="str">
        <f t="shared" si="63"/>
        <v>Error?</v>
      </c>
    </row>
    <row r="4137" spans="1:4" x14ac:dyDescent="0.2">
      <c r="A4137" s="5">
        <v>4076</v>
      </c>
      <c r="B4137" s="138">
        <f>'Acct Summary 7-8'!D19</f>
        <v>2037225</v>
      </c>
      <c r="C4137" s="2" t="s">
        <v>573</v>
      </c>
      <c r="D4137" s="2" t="str">
        <f t="shared" si="63"/>
        <v>Error?</v>
      </c>
    </row>
    <row r="4138" spans="1:4" x14ac:dyDescent="0.2">
      <c r="A4138" s="5">
        <v>4077</v>
      </c>
      <c r="B4138" s="138">
        <f>'Acct Summary 7-8'!E19</f>
        <v>1342435</v>
      </c>
      <c r="C4138" s="2" t="s">
        <v>573</v>
      </c>
      <c r="D4138" s="2" t="str">
        <f t="shared" si="63"/>
        <v>Error?</v>
      </c>
    </row>
    <row r="4139" spans="1:4" x14ac:dyDescent="0.2">
      <c r="A4139" s="5">
        <v>4078</v>
      </c>
      <c r="B4139" s="138">
        <f>'Acct Summary 7-8'!F19</f>
        <v>1178695</v>
      </c>
      <c r="C4139" s="2" t="s">
        <v>573</v>
      </c>
      <c r="D4139" s="2" t="str">
        <f t="shared" si="63"/>
        <v>Error?</v>
      </c>
    </row>
    <row r="4140" spans="1:4" x14ac:dyDescent="0.2">
      <c r="A4140" s="5">
        <v>4079</v>
      </c>
      <c r="B4140" s="138">
        <f>'Acct Summary 7-8'!G19</f>
        <v>546334</v>
      </c>
      <c r="C4140" s="2" t="s">
        <v>573</v>
      </c>
      <c r="D4140" s="2" t="str">
        <f t="shared" si="63"/>
        <v>Error?</v>
      </c>
    </row>
    <row r="4141" spans="1:4" x14ac:dyDescent="0.2">
      <c r="A4141" s="5">
        <v>4080</v>
      </c>
      <c r="B4141" s="138">
        <f>'Acct Summary 7-8'!H19</f>
        <v>5636721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747272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15645000</v>
      </c>
      <c r="C4171" s="2" t="s">
        <v>573</v>
      </c>
      <c r="D4171" s="2" t="str">
        <f t="shared" si="64"/>
        <v>Error?</v>
      </c>
    </row>
    <row r="4172" spans="1:4" x14ac:dyDescent="0.2">
      <c r="A4172" s="5">
        <v>4111</v>
      </c>
      <c r="B4172" s="138">
        <f>'Short-Term Long-Term Debt 24'!J49</f>
        <v>15645000</v>
      </c>
      <c r="C4172" s="2" t="s">
        <v>573</v>
      </c>
      <c r="D4172" s="2" t="str">
        <f t="shared" si="64"/>
        <v>Error?</v>
      </c>
    </row>
    <row r="4173" spans="1:4" x14ac:dyDescent="0.2">
      <c r="A4173" s="5">
        <v>4112</v>
      </c>
      <c r="B4173" s="138">
        <f>'Short-Term Long-Term Debt 24'!H49</f>
        <v>700000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2663.4</v>
      </c>
      <c r="C4265" s="2" t="s">
        <v>573</v>
      </c>
      <c r="D4265" s="2" t="str">
        <f t="shared" si="65"/>
        <v>Error?</v>
      </c>
      <c r="E4265" s="128"/>
    </row>
    <row r="4266" spans="1:5" x14ac:dyDescent="0.2">
      <c r="A4266" s="12">
        <v>4205</v>
      </c>
      <c r="B4266" s="138">
        <f>('FP Info 3'!F10)*100000</f>
        <v>312</v>
      </c>
      <c r="C4266" s="2" t="s">
        <v>573</v>
      </c>
      <c r="D4266" s="2" t="str">
        <f t="shared" si="65"/>
        <v>Error?</v>
      </c>
      <c r="E4266" s="128"/>
    </row>
    <row r="4267" spans="1:5" x14ac:dyDescent="0.2">
      <c r="A4267" s="12">
        <v>4206</v>
      </c>
      <c r="B4267" s="138">
        <f>('FP Info 3'!H10)*100000</f>
        <v>63.699999999999996</v>
      </c>
      <c r="C4267" s="2" t="s">
        <v>573</v>
      </c>
      <c r="D4267" s="2" t="str">
        <f t="shared" si="65"/>
        <v>Error?</v>
      </c>
      <c r="E4267" s="128"/>
    </row>
    <row r="4268" spans="1:5" x14ac:dyDescent="0.2">
      <c r="A4268" s="12">
        <v>4207</v>
      </c>
      <c r="B4268" s="138">
        <f>('FP Info 3'!J10)*100000</f>
        <v>3039</v>
      </c>
      <c r="C4268" s="2" t="s">
        <v>573</v>
      </c>
      <c r="D4268" s="2" t="str">
        <f t="shared" si="65"/>
        <v>Error?</v>
      </c>
    </row>
    <row r="4269" spans="1:5" x14ac:dyDescent="0.2">
      <c r="A4269" s="12">
        <v>4208</v>
      </c>
      <c r="B4269" s="138">
        <f>'FP Info 3'!J16</f>
        <v>12644850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36715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14135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27205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657318534</v>
      </c>
      <c r="D4995" s="2" t="str">
        <f t="shared" si="77"/>
        <v>Error?</v>
      </c>
    </row>
    <row r="4996" spans="1:4" x14ac:dyDescent="0.2">
      <c r="A4996" s="12">
        <v>4935</v>
      </c>
      <c r="B4996" s="138">
        <f>'FP Info 3'!H31</f>
        <v>45354978.846000001</v>
      </c>
      <c r="D4996" s="2" t="str">
        <f t="shared" si="77"/>
        <v>Error?</v>
      </c>
    </row>
    <row r="4997" spans="1:4" x14ac:dyDescent="0.2">
      <c r="A4997" s="12">
        <v>4936</v>
      </c>
      <c r="B4997" s="138">
        <f>'FP Info 3'!H37</f>
        <v>15645000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7500000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15773028</v>
      </c>
      <c r="D5061" s="2" t="str">
        <f t="shared" si="78"/>
        <v>Error?</v>
      </c>
    </row>
    <row r="5062" spans="1:4" x14ac:dyDescent="0.2">
      <c r="A5062" s="10">
        <v>5001</v>
      </c>
      <c r="D5062" s="2" t="str">
        <f t="shared" si="78"/>
        <v>OK</v>
      </c>
    </row>
    <row r="5063" spans="1:4" x14ac:dyDescent="0.2">
      <c r="A5063" s="5">
        <v>5002</v>
      </c>
      <c r="B5063" s="138">
        <f>'Revenues 9-14'!C7</f>
        <v>280040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16053068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297228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297228</v>
      </c>
      <c r="C5071" s="2" t="s">
        <v>573</v>
      </c>
      <c r="D5071" s="2" t="str">
        <f t="shared" si="78"/>
        <v>Error?</v>
      </c>
    </row>
    <row r="5072" spans="1:4" x14ac:dyDescent="0.2">
      <c r="A5072" s="5">
        <v>5011</v>
      </c>
      <c r="B5072" s="138">
        <f>'Revenues 9-14'!C20</f>
        <v>198925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40748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239673</v>
      </c>
      <c r="C5087" s="2" t="s">
        <v>573</v>
      </c>
      <c r="D5087" s="2" t="str">
        <f t="shared" si="78"/>
        <v>Error?</v>
      </c>
    </row>
    <row r="5088" spans="1:4" x14ac:dyDescent="0.2">
      <c r="A5088" s="5">
        <v>5027</v>
      </c>
      <c r="B5088" s="138">
        <f>'Revenues 9-14'!C65</f>
        <v>775356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775356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294396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85573</v>
      </c>
      <c r="D5099" s="2" t="str">
        <f t="shared" si="78"/>
        <v>Error?</v>
      </c>
    </row>
    <row r="5100" spans="1:4" x14ac:dyDescent="0.2">
      <c r="A5100" s="5">
        <v>5039</v>
      </c>
      <c r="B5100" s="138">
        <f>'Revenues 9-14'!C80</f>
        <v>3927</v>
      </c>
      <c r="D5100" s="2" t="str">
        <f t="shared" si="78"/>
        <v>Error?</v>
      </c>
    </row>
    <row r="5101" spans="1:4" x14ac:dyDescent="0.2">
      <c r="A5101" s="5">
        <v>5040</v>
      </c>
      <c r="B5101" s="138">
        <f>'Revenues 9-14'!C81</f>
        <v>27783</v>
      </c>
      <c r="D5101" s="2" t="str">
        <f t="shared" si="78"/>
        <v>Error?</v>
      </c>
    </row>
    <row r="5102" spans="1:4" x14ac:dyDescent="0.2">
      <c r="A5102" s="5">
        <v>5041</v>
      </c>
      <c r="B5102" s="138">
        <f>'Revenues 9-14'!C82</f>
        <v>117283</v>
      </c>
      <c r="C5102" s="2" t="s">
        <v>573</v>
      </c>
      <c r="D5102" s="2" t="str">
        <f t="shared" si="78"/>
        <v>Error?</v>
      </c>
    </row>
    <row r="5103" spans="1:4" x14ac:dyDescent="0.2">
      <c r="A5103" s="5">
        <v>5042</v>
      </c>
      <c r="B5103" s="138">
        <f>'Revenues 9-14'!C84</f>
        <v>44594</v>
      </c>
      <c r="D5103" s="2" t="str">
        <f t="shared" si="78"/>
        <v>Error?</v>
      </c>
    </row>
    <row r="5104" spans="1:4" x14ac:dyDescent="0.2">
      <c r="A5104" s="5">
        <v>5043</v>
      </c>
      <c r="B5104" s="138">
        <f>'Revenues 9-14'!C85</f>
        <v>37648</v>
      </c>
      <c r="D5104" s="2" t="str">
        <f t="shared" si="78"/>
        <v>Error?</v>
      </c>
    </row>
    <row r="5105" spans="1:4" x14ac:dyDescent="0.2">
      <c r="A5105" s="5">
        <v>5044</v>
      </c>
      <c r="B5105" s="138">
        <f>'Revenues 9-14'!C86</f>
        <v>10450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1722</v>
      </c>
      <c r="D5107" s="2" t="str">
        <f t="shared" si="78"/>
        <v>Error?</v>
      </c>
    </row>
    <row r="5108" spans="1:4" x14ac:dyDescent="0.2">
      <c r="A5108" s="5">
        <v>5047</v>
      </c>
      <c r="B5108" s="138">
        <f>'Revenues 9-14'!C89</f>
        <v>2377</v>
      </c>
      <c r="D5108" s="2" t="str">
        <f t="shared" si="78"/>
        <v>Error?</v>
      </c>
    </row>
    <row r="5109" spans="1:4" x14ac:dyDescent="0.2">
      <c r="A5109" s="5">
        <v>5048</v>
      </c>
      <c r="B5109" s="138">
        <f>'Revenues 9-14'!C90</f>
        <v>5552</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v>
      </c>
      <c r="D5111" s="2" t="str">
        <f t="shared" si="78"/>
        <v>Error?</v>
      </c>
    </row>
    <row r="5112" spans="1:4" x14ac:dyDescent="0.2">
      <c r="A5112" s="5">
        <v>5051</v>
      </c>
      <c r="B5112" s="138">
        <f>'Revenues 9-14'!C93</f>
        <v>102348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410587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23156</v>
      </c>
      <c r="D5119" s="2" t="str">
        <f t="shared" ref="D5119:D5182" si="79">IF(ISBLANK(B5119),"OK",IF(A5119-B5119=0,"OK","Error?"))</f>
        <v>Error?</v>
      </c>
    </row>
    <row r="5120" spans="1:4" x14ac:dyDescent="0.2">
      <c r="A5120" s="5">
        <v>5059</v>
      </c>
      <c r="B5120" s="138">
        <f>'Revenues 9-14'!C108</f>
        <v>433743</v>
      </c>
      <c r="C5120" s="2" t="s">
        <v>573</v>
      </c>
      <c r="D5120" s="2" t="str">
        <f t="shared" si="79"/>
        <v>Error?</v>
      </c>
    </row>
    <row r="5121" spans="1:4" x14ac:dyDescent="0.2">
      <c r="A5121" s="5">
        <v>5060</v>
      </c>
      <c r="B5121" s="138">
        <f>'Revenues 9-14'!C109</f>
        <v>18313095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1161405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1161405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1163140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18264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18264</v>
      </c>
      <c r="C5246" s="2" t="s">
        <v>573</v>
      </c>
      <c r="D5246" s="2" t="str">
        <f t="shared" si="80"/>
        <v>Error?</v>
      </c>
    </row>
    <row r="5247" spans="1:4" x14ac:dyDescent="0.2">
      <c r="A5247" s="5">
        <v>5186</v>
      </c>
      <c r="B5247" s="138">
        <f>'Revenues 9-14'!C200</f>
        <v>422613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422613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5000</v>
      </c>
      <c r="D5278" s="2" t="str">
        <f t="shared" si="81"/>
        <v>Error?</v>
      </c>
    </row>
    <row r="5279" spans="1:4" x14ac:dyDescent="0.2">
      <c r="A5279" s="5">
        <v>5218</v>
      </c>
      <c r="B5279" s="138">
        <f>'Revenues 9-14'!C214</f>
        <v>3420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8420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532352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532352</v>
      </c>
      <c r="C5326" s="2" t="s">
        <v>573</v>
      </c>
      <c r="D5326" s="2" t="str">
        <f t="shared" si="82"/>
        <v>Error?</v>
      </c>
    </row>
    <row r="5327" spans="1:5" x14ac:dyDescent="0.2">
      <c r="A5327" s="5">
        <v>5266</v>
      </c>
      <c r="B5327" s="138">
        <f>'Revenues 9-14'!C268</f>
        <v>20008587</v>
      </c>
      <c r="C5327" s="2" t="s">
        <v>573</v>
      </c>
      <c r="D5327" s="2" t="str">
        <f t="shared" si="82"/>
        <v>Error?</v>
      </c>
    </row>
    <row r="5328" spans="1:5" x14ac:dyDescent="0.2">
      <c r="A5328" s="5">
        <v>5267</v>
      </c>
      <c r="B5328" s="138">
        <f>'Revenues 9-14'!D5</f>
        <v>1815610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1815610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124333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124333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123964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500</v>
      </c>
      <c r="D5354" s="2" t="str">
        <f t="shared" si="82"/>
        <v>Error?</v>
      </c>
    </row>
    <row r="5355" spans="1:4" x14ac:dyDescent="0.2">
      <c r="A5355" s="5">
        <v>5294</v>
      </c>
      <c r="B5355" s="138">
        <f>'Revenues 9-14'!D108</f>
        <v>124464</v>
      </c>
      <c r="C5355" s="2" t="s">
        <v>573</v>
      </c>
      <c r="D5355" s="2" t="str">
        <f t="shared" si="82"/>
        <v>Error?</v>
      </c>
    </row>
    <row r="5356" spans="1:4" x14ac:dyDescent="0.2">
      <c r="A5356" s="5">
        <v>5295</v>
      </c>
      <c r="B5356" s="138">
        <f>'Revenues 9-14'!D109</f>
        <v>2064407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2064407</v>
      </c>
      <c r="C5508" s="2" t="s">
        <v>573</v>
      </c>
      <c r="D5508" s="2" t="str">
        <f t="shared" si="85"/>
        <v>Error?</v>
      </c>
    </row>
    <row r="5509" spans="1:4" x14ac:dyDescent="0.2">
      <c r="A5509" s="5">
        <v>5448</v>
      </c>
      <c r="B5509" s="138">
        <f>'Revenues 9-14'!E5</f>
        <v>1102558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1102558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35819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35819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1138377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1138377</v>
      </c>
      <c r="C5552" s="2" t="s">
        <v>573</v>
      </c>
      <c r="D5552" s="2" t="str">
        <f t="shared" si="85"/>
        <v>Error?</v>
      </c>
    </row>
    <row r="5553" spans="1:4" x14ac:dyDescent="0.2">
      <c r="A5553" s="5">
        <v>5492</v>
      </c>
      <c r="B5553" s="138">
        <f>'Revenues 9-14'!F5</f>
        <v>415866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415866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130922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130922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65603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65603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612391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132235</v>
      </c>
      <c r="D5615" s="2" t="str">
        <f t="shared" si="86"/>
        <v>Error?</v>
      </c>
    </row>
    <row r="5616" spans="1:4" x14ac:dyDescent="0.2">
      <c r="A5616" s="10">
        <v>5555</v>
      </c>
      <c r="D5616" s="2" t="str">
        <f t="shared" si="86"/>
        <v>OK</v>
      </c>
    </row>
    <row r="5617" spans="1:5" x14ac:dyDescent="0.2">
      <c r="A5617" s="5">
        <v>5556</v>
      </c>
      <c r="B5617" s="138">
        <f>'Revenues 9-14'!F153</f>
        <v>280520</v>
      </c>
      <c r="D5617" s="2" t="str">
        <f t="shared" si="86"/>
        <v>Error?</v>
      </c>
    </row>
    <row r="5618" spans="1:5" x14ac:dyDescent="0.2">
      <c r="A5618" s="5">
        <v>5557</v>
      </c>
      <c r="B5618" s="138">
        <f>'Revenues 9-14'!F155</f>
        <v>412755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412755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412755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1025146</v>
      </c>
      <c r="C5720" s="2" t="s">
        <v>573</v>
      </c>
      <c r="D5720" s="2" t="str">
        <f t="shared" si="88"/>
        <v>Error?</v>
      </c>
    </row>
    <row r="5721" spans="1:4" x14ac:dyDescent="0.2">
      <c r="A5721" s="5">
        <v>5660</v>
      </c>
      <c r="B5721" s="138">
        <f>'Revenues 9-14'!G5</f>
        <v>162934</v>
      </c>
      <c r="D5721" s="2" t="str">
        <f t="shared" si="88"/>
        <v>Error?</v>
      </c>
    </row>
    <row r="5722" spans="1:4" x14ac:dyDescent="0.2">
      <c r="A5722" s="5">
        <v>5661</v>
      </c>
      <c r="B5722" s="138">
        <f>'Revenues 9-14'!G7</f>
        <v>191610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354544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48490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48490</v>
      </c>
      <c r="C5730" s="2" t="s">
        <v>573</v>
      </c>
      <c r="D5730" s="2" t="str">
        <f t="shared" si="88"/>
        <v>Error?</v>
      </c>
    </row>
    <row r="5731" spans="1:4" x14ac:dyDescent="0.2">
      <c r="A5731" s="5">
        <v>5670</v>
      </c>
      <c r="B5731" s="138">
        <f>'Revenues 9-14'!G65</f>
        <v>21511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21511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424545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78250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78250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78250</v>
      </c>
      <c r="C5915" s="2" t="s">
        <v>573</v>
      </c>
      <c r="D5915" s="2" t="str">
        <f t="shared" si="91"/>
        <v>Error?</v>
      </c>
    </row>
    <row r="5916" spans="1:4" x14ac:dyDescent="0.2">
      <c r="A5916" s="5">
        <v>5855</v>
      </c>
      <c r="B5916" s="138">
        <f>'Revenues 9-14'!I5</f>
        <v>602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23331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23331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23933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428305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428305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113371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113371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541676</v>
      </c>
      <c r="C6023" s="2" t="s">
        <v>573</v>
      </c>
      <c r="D6023" s="2" t="str">
        <f t="shared" si="93"/>
        <v>Error?</v>
      </c>
    </row>
    <row r="6024" spans="1:5" x14ac:dyDescent="0.2">
      <c r="A6024" s="5">
        <v>5963</v>
      </c>
      <c r="B6024" s="138">
        <f>'Revenues 9-14'!G109</f>
        <v>424545</v>
      </c>
      <c r="C6024" s="2" t="s">
        <v>573</v>
      </c>
      <c r="D6024" s="2" t="str">
        <f t="shared" si="93"/>
        <v>Error?</v>
      </c>
    </row>
    <row r="6025" spans="1:5" x14ac:dyDescent="0.2">
      <c r="A6025" s="5">
        <v>5964</v>
      </c>
      <c r="B6025" s="138">
        <f>'Revenues 9-14'!H109</f>
        <v>78250</v>
      </c>
      <c r="C6025" s="2" t="s">
        <v>573</v>
      </c>
      <c r="D6025" s="2" t="str">
        <f t="shared" si="93"/>
        <v>Error?</v>
      </c>
    </row>
    <row r="6026" spans="1:5" x14ac:dyDescent="0.2">
      <c r="A6026" s="5">
        <v>5965</v>
      </c>
      <c r="B6026" s="138">
        <f>'Revenues 9-14'!I109</f>
        <v>23933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541676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294396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1123.8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5015947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102114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141393</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254286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341540</v>
      </c>
      <c r="D6142" s="2" t="str">
        <f t="shared" si="94"/>
        <v>Error?</v>
      </c>
      <c r="E6142" s="2" t="s">
        <v>190</v>
      </c>
    </row>
    <row r="6143" spans="1:5" x14ac:dyDescent="0.2">
      <c r="A6143">
        <v>6082</v>
      </c>
      <c r="B6143" s="138">
        <f>'Assets-Liab 5-6'!D27</f>
        <v>137134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132934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87405</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352033</v>
      </c>
      <c r="D6169" s="2" t="str">
        <f t="shared" si="95"/>
        <v>Error?</v>
      </c>
      <c r="E6169" s="2" t="s">
        <v>190</v>
      </c>
    </row>
    <row r="6170" spans="1:5" x14ac:dyDescent="0.2">
      <c r="A6170">
        <v>6109</v>
      </c>
      <c r="B6170" s="138">
        <f>'Assets-Liab 5-6'!D30</f>
        <v>11140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313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313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253973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254286</v>
      </c>
      <c r="D6216" s="2" t="str">
        <f t="shared" si="96"/>
        <v>Error?</v>
      </c>
      <c r="E6216" s="2" t="s">
        <v>190</v>
      </c>
    </row>
    <row r="6217" spans="1:5" x14ac:dyDescent="0.2">
      <c r="A6217">
        <v>6156</v>
      </c>
      <c r="B6217" s="138">
        <f>'Assets-Liab 5-6'!J4</f>
        <v>112580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313</v>
      </c>
      <c r="D6219" s="2" t="str">
        <f t="shared" si="96"/>
        <v>Error?</v>
      </c>
      <c r="E6219" s="2" t="s">
        <v>190</v>
      </c>
    </row>
    <row r="6220" spans="1:5" x14ac:dyDescent="0.2">
      <c r="A6220">
        <v>6159</v>
      </c>
      <c r="B6220" s="138">
        <f>'Acct Summary 7-8'!J4</f>
        <v>13841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13841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13841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134680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134680</v>
      </c>
      <c r="D6229" s="2" t="str">
        <f t="shared" si="96"/>
        <v>Error?</v>
      </c>
      <c r="E6229" s="2" t="s">
        <v>190</v>
      </c>
    </row>
    <row r="6230" spans="1:5" x14ac:dyDescent="0.2">
      <c r="A6230">
        <v>6169</v>
      </c>
      <c r="B6230" s="138">
        <f>'Acct Summary 7-8'!J20</f>
        <v>-120839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7500000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-120839</v>
      </c>
      <c r="D6263" s="2" t="str">
        <f t="shared" si="96"/>
        <v>Error?</v>
      </c>
      <c r="E6263" s="2" t="s">
        <v>190</v>
      </c>
    </row>
    <row r="6264" spans="1:5" x14ac:dyDescent="0.2">
      <c r="A6264">
        <v>6203</v>
      </c>
      <c r="B6264" s="138">
        <f>'Acct Summary 7-8'!J79</f>
        <v>374812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253973</v>
      </c>
      <c r="D6266" s="2" t="str">
        <f t="shared" si="96"/>
        <v>Error?</v>
      </c>
      <c r="E6266" s="2" t="s">
        <v>190</v>
      </c>
    </row>
    <row r="6267" spans="1:5" x14ac:dyDescent="0.2">
      <c r="A6267">
        <v>6206</v>
      </c>
      <c r="B6267" s="138">
        <f>'Acct Summary 7-8'!C82</f>
        <v>-6850116</v>
      </c>
      <c r="D6267" s="2" t="str">
        <f t="shared" si="96"/>
        <v>Error?</v>
      </c>
      <c r="E6267" s="2" t="s">
        <v>190</v>
      </c>
    </row>
    <row r="6268" spans="1:5" x14ac:dyDescent="0.2">
      <c r="A6268">
        <v>6207</v>
      </c>
      <c r="B6268" s="138">
        <f>'Acct Summary 7-8'!D82</f>
        <v>1527182</v>
      </c>
      <c r="D6268" s="2" t="str">
        <f t="shared" si="96"/>
        <v>Error?</v>
      </c>
      <c r="E6268" s="2" t="s">
        <v>190</v>
      </c>
    </row>
    <row r="6269" spans="1:5" x14ac:dyDescent="0.2">
      <c r="A6269">
        <v>6208</v>
      </c>
      <c r="B6269" s="138">
        <f>'Acct Summary 7-8'!E82</f>
        <v>32926</v>
      </c>
      <c r="D6269" s="2" t="str">
        <f t="shared" si="96"/>
        <v>Error?</v>
      </c>
      <c r="E6269" s="2" t="s">
        <v>190</v>
      </c>
    </row>
    <row r="6270" spans="1:5" x14ac:dyDescent="0.2">
      <c r="A6270">
        <v>6209</v>
      </c>
      <c r="B6270" s="138">
        <f>'Acct Summary 7-8'!F82</f>
        <v>-153549</v>
      </c>
      <c r="D6270" s="2" t="str">
        <f t="shared" si="96"/>
        <v>Error?</v>
      </c>
      <c r="E6270" s="2" t="s">
        <v>190</v>
      </c>
    </row>
    <row r="6271" spans="1:5" x14ac:dyDescent="0.2">
      <c r="A6271">
        <v>6210</v>
      </c>
      <c r="B6271" s="138">
        <f>'Acct Summary 7-8'!G82</f>
        <v>-121789</v>
      </c>
      <c r="D6271" s="2" t="str">
        <f t="shared" ref="D6271:D6334" si="97">IF(ISBLANK(B6271),"OK",IF(A6271-B6271=0,"OK","Error?"))</f>
        <v>Error?</v>
      </c>
      <c r="E6271" s="2" t="s">
        <v>190</v>
      </c>
    </row>
    <row r="6272" spans="1:5" x14ac:dyDescent="0.2">
      <c r="A6272">
        <v>6211</v>
      </c>
      <c r="B6272" s="138">
        <f>'Acct Summary 7-8'!H82</f>
        <v>1941529</v>
      </c>
      <c r="D6272" s="2" t="str">
        <f t="shared" si="97"/>
        <v>Error?</v>
      </c>
      <c r="E6272" s="2" t="s">
        <v>190</v>
      </c>
    </row>
    <row r="6273" spans="1:5" x14ac:dyDescent="0.2">
      <c r="A6273">
        <v>6212</v>
      </c>
      <c r="B6273" s="138">
        <f>'Acct Summary 7-8'!I82</f>
        <v>103897</v>
      </c>
      <c r="D6273" s="2" t="str">
        <f t="shared" si="97"/>
        <v>Error?</v>
      </c>
      <c r="E6273" s="2" t="s">
        <v>190</v>
      </c>
    </row>
    <row r="6274" spans="1:5" x14ac:dyDescent="0.2">
      <c r="A6274">
        <v>6213</v>
      </c>
      <c r="B6274" s="138">
        <f>'Acct Summary 7-8'!J82</f>
        <v>-120839</v>
      </c>
      <c r="D6274" s="2" t="str">
        <f t="shared" si="97"/>
        <v>Error?</v>
      </c>
      <c r="E6274" s="2" t="s">
        <v>190</v>
      </c>
    </row>
    <row r="6275" spans="1:5" x14ac:dyDescent="0.2">
      <c r="A6275">
        <v>6214</v>
      </c>
      <c r="B6275" s="138">
        <f>'Acct Summary 7-8'!K82</f>
        <v>2718082</v>
      </c>
      <c r="D6275" s="2" t="str">
        <f t="shared" si="97"/>
        <v>Error?</v>
      </c>
      <c r="E6275" s="2" t="s">
        <v>190</v>
      </c>
    </row>
    <row r="6276" spans="1:5" x14ac:dyDescent="0.2">
      <c r="A6276">
        <v>6215</v>
      </c>
      <c r="B6276" s="138">
        <f>'Acct Summary 7-8'!C83</f>
        <v>-0.78498060729655195</v>
      </c>
      <c r="D6276" s="2" t="str">
        <f t="shared" si="97"/>
        <v>Error?</v>
      </c>
      <c r="E6276" s="2" t="s">
        <v>190</v>
      </c>
    </row>
    <row r="6277" spans="1:5" x14ac:dyDescent="0.2">
      <c r="A6277">
        <v>6216</v>
      </c>
      <c r="B6277" s="138">
        <f>'Acct Summary 7-8'!D83</f>
        <v>0.6555419531190978</v>
      </c>
      <c r="D6277" s="2" t="str">
        <f t="shared" si="97"/>
        <v>Error?</v>
      </c>
      <c r="E6277" s="2" t="s">
        <v>190</v>
      </c>
    </row>
    <row r="6278" spans="1:5" x14ac:dyDescent="0.2">
      <c r="A6278">
        <v>6217</v>
      </c>
      <c r="B6278" s="138">
        <f>'Acct Summary 7-8'!E83</f>
        <v>5.2922248046316206E-2</v>
      </c>
      <c r="D6278" s="2" t="str">
        <f t="shared" si="97"/>
        <v>Error?</v>
      </c>
      <c r="E6278" s="2" t="s">
        <v>190</v>
      </c>
    </row>
    <row r="6279" spans="1:5" x14ac:dyDescent="0.2">
      <c r="A6279">
        <v>6218</v>
      </c>
      <c r="B6279" s="138">
        <f>'Acct Summary 7-8'!F83</f>
        <v>-0.13713576842078939</v>
      </c>
      <c r="D6279" s="2" t="str">
        <f t="shared" si="97"/>
        <v>Error?</v>
      </c>
      <c r="E6279" s="2" t="s">
        <v>190</v>
      </c>
    </row>
    <row r="6280" spans="1:5" x14ac:dyDescent="0.2">
      <c r="A6280">
        <v>6219</v>
      </c>
      <c r="B6280" s="138">
        <f>'Acct Summary 7-8'!G83</f>
        <v>-0.46233420139547948</v>
      </c>
      <c r="D6280" s="2" t="str">
        <f t="shared" si="97"/>
        <v>Error?</v>
      </c>
      <c r="E6280" s="2" t="s">
        <v>190</v>
      </c>
    </row>
    <row r="6281" spans="1:5" x14ac:dyDescent="0.2">
      <c r="A6281">
        <v>6220</v>
      </c>
      <c r="B6281" s="138">
        <f>'Acct Summary 7-8'!H83</f>
        <v>1.0245454521468167</v>
      </c>
      <c r="D6281" s="2" t="str">
        <f t="shared" si="97"/>
        <v>Error?</v>
      </c>
      <c r="E6281" s="2" t="s">
        <v>190</v>
      </c>
    </row>
    <row r="6282" spans="1:5" x14ac:dyDescent="0.2">
      <c r="A6282">
        <v>6221</v>
      </c>
      <c r="B6282" s="138">
        <f>'Acct Summary 7-8'!I83</f>
        <v>0.22151083707503444</v>
      </c>
      <c r="D6282" s="2" t="str">
        <f t="shared" si="97"/>
        <v>Error?</v>
      </c>
      <c r="E6282" s="2" t="s">
        <v>190</v>
      </c>
    </row>
    <row r="6283" spans="1:5" x14ac:dyDescent="0.2">
      <c r="A6283">
        <v>6222</v>
      </c>
      <c r="B6283" s="138">
        <f>'Acct Summary 7-8'!J83</f>
        <v>-0.47579467108708406</v>
      </c>
      <c r="D6283" s="2" t="str">
        <f t="shared" si="97"/>
        <v>Error?</v>
      </c>
      <c r="E6283" s="2" t="s">
        <v>190</v>
      </c>
    </row>
    <row r="6284" spans="1:5" x14ac:dyDescent="0.2">
      <c r="A6284">
        <v>6223</v>
      </c>
      <c r="B6284" s="138">
        <f>'Acct Summary 7-8'!K83</f>
        <v>0.72109658555945511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7500000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602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602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13239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13239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13841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64206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71908</v>
      </c>
      <c r="D6844" s="2" t="str">
        <f t="shared" si="105"/>
        <v>Error?</v>
      </c>
    </row>
    <row r="6845" spans="1:5" x14ac:dyDescent="0.2">
      <c r="A6845">
        <v>6784</v>
      </c>
      <c r="B6845" s="138">
        <f>'Expenditures 15-22'!J5</f>
        <v>375928</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91302</v>
      </c>
      <c r="D6848" s="2" t="str">
        <f t="shared" si="106"/>
        <v>Error?</v>
      </c>
    </row>
    <row r="6849" spans="1:4" x14ac:dyDescent="0.2">
      <c r="A6849">
        <v>6788</v>
      </c>
      <c r="B6849" s="138">
        <f>'Expenditures 15-22'!I8</f>
        <v>3224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961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75132</v>
      </c>
      <c r="D6902" s="2" t="str">
        <f t="shared" si="106"/>
        <v>Error?</v>
      </c>
    </row>
    <row r="6903" spans="1:4" x14ac:dyDescent="0.2">
      <c r="A6903">
        <v>6842</v>
      </c>
      <c r="B6903" s="138">
        <f>'Expenditures 15-22'!J33</f>
        <v>375928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1188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1188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1188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76320</v>
      </c>
      <c r="D7020" s="2" t="str">
        <f t="shared" si="108"/>
        <v>Error?</v>
      </c>
    </row>
    <row r="7021" spans="1:4" x14ac:dyDescent="0.2">
      <c r="A7021">
        <v>6960</v>
      </c>
      <c r="B7021" s="138">
        <f>'Expenditures 15-22'!J114</f>
        <v>375928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4673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4673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4673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134680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4673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13841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805</v>
      </c>
      <c r="D7073" s="2" t="str">
        <f t="shared" si="109"/>
        <v>Error?</v>
      </c>
    </row>
    <row r="7074" spans="1:4" x14ac:dyDescent="0.2">
      <c r="A7074">
        <v>7013</v>
      </c>
      <c r="B7074" s="138">
        <f>'Expenditures 15-22'!K216</f>
        <v>805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72539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72539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134680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134680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134680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134680</v>
      </c>
      <c r="D7224" s="2" t="str">
        <f t="shared" si="111"/>
        <v>Error?</v>
      </c>
    </row>
    <row r="7225" spans="1:4" x14ac:dyDescent="0.2">
      <c r="A7225">
        <v>7164</v>
      </c>
      <c r="B7225" s="138">
        <f>'Expenditures 15-22'!K343</f>
        <v>-120839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25802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1294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961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80993</v>
      </c>
      <c r="D7624" s="2" t="str">
        <f t="shared" si="124"/>
        <v>Error?</v>
      </c>
      <c r="E7624" s="2" t="s">
        <v>19</v>
      </c>
    </row>
    <row r="7625" spans="1:5" x14ac:dyDescent="0.2">
      <c r="A7625">
        <f t="shared" si="123"/>
        <v>7564</v>
      </c>
      <c r="B7625" s="138">
        <f>'Cap Outlay Deprec 26'!I17</f>
        <v>8099.3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2590313.2999999998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62141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62141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280040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1500000</v>
      </c>
      <c r="D7748" s="2" t="str">
        <f t="shared" si="127"/>
        <v>Error?</v>
      </c>
      <c r="E7748" s="4" t="s">
        <v>1333</v>
      </c>
    </row>
    <row r="7749" spans="1:6" x14ac:dyDescent="0.2">
      <c r="A7749">
        <v>7688</v>
      </c>
      <c r="B7749" s="138">
        <f>'Acct Summary 7-8'!D25</f>
        <v>1500000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412756</v>
      </c>
      <c r="D7759" s="2" t="str">
        <f t="shared" si="127"/>
        <v>Error?</v>
      </c>
      <c r="E7759" s="4" t="s">
        <v>1333</v>
      </c>
    </row>
    <row r="7760" spans="1:6" x14ac:dyDescent="0.2">
      <c r="A7760">
        <v>7699</v>
      </c>
      <c r="B7760" s="138">
        <f>'Aud Quest 2'!J90</f>
        <v>412756</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2365510.5</v>
      </c>
      <c r="D7797" s="2" t="str">
        <f t="shared" si="127"/>
        <v>Error?</v>
      </c>
      <c r="E7797" s="4" t="s">
        <v>1904</v>
      </c>
    </row>
    <row r="7798" spans="1:5" x14ac:dyDescent="0.2">
      <c r="A7798">
        <v>7737</v>
      </c>
      <c r="B7798" s="138">
        <f>'Contracts Paid in CY 29'!F141</f>
        <v>338944.5</v>
      </c>
      <c r="D7798" s="2" t="str">
        <f t="shared" si="127"/>
        <v>Error?</v>
      </c>
      <c r="E7798" s="4" t="s">
        <v>1904</v>
      </c>
    </row>
    <row r="7799" spans="1:5" x14ac:dyDescent="0.2">
      <c r="A7799">
        <v>7738</v>
      </c>
      <c r="B7799" s="138">
        <f>'Contracts Paid in CY 29'!G141</f>
        <v>2026566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Lincolnwood SD 74</v>
      </c>
      <c r="B7" s="2382"/>
      <c r="C7" s="2382"/>
      <c r="D7" s="2419"/>
      <c r="E7" s="2420">
        <f>COVER!A13</f>
        <v>5016074002</v>
      </c>
      <c r="F7" s="2421"/>
      <c r="G7" s="2388" t="str">
        <f>COVER!T23</f>
        <v>065-033233</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Lauterbach &amp; Amen, LLP</v>
      </c>
      <c r="H9" s="2395"/>
      <c r="I9" s="2395"/>
      <c r="J9" s="2395"/>
      <c r="K9" s="2395"/>
      <c r="L9" s="2396"/>
    </row>
    <row r="10" spans="1:29" ht="13.5" customHeight="1" x14ac:dyDescent="0.2">
      <c r="A10" s="2378" t="str">
        <f>COVER!A38</f>
        <v>Dr. Kimberly Nasshan</v>
      </c>
      <c r="B10" s="2379"/>
      <c r="C10" s="2379"/>
      <c r="D10" s="2379"/>
      <c r="E10" s="2379"/>
      <c r="F10" s="2380"/>
      <c r="G10" s="2394" t="str">
        <f>COVER!T17</f>
        <v>668 N. River Road</v>
      </c>
      <c r="H10" s="2407"/>
      <c r="I10" s="2407"/>
      <c r="J10" s="2407"/>
      <c r="K10" s="2407"/>
      <c r="L10" s="2408"/>
    </row>
    <row r="11" spans="1:29" ht="13.5" customHeight="1" x14ac:dyDescent="0.2">
      <c r="A11" s="1184" t="s">
        <v>1519</v>
      </c>
      <c r="B11" s="1185"/>
      <c r="C11" s="1186"/>
      <c r="D11" s="1191"/>
      <c r="E11" s="1186"/>
      <c r="F11" s="1190"/>
      <c r="G11" s="2394" t="str">
        <f>COVER!T19</f>
        <v xml:space="preserve">Naperville </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mberan@lauterbachamen.com</v>
      </c>
      <c r="J13" s="2416"/>
      <c r="K13" s="2416"/>
      <c r="L13" s="2417"/>
    </row>
    <row r="14" spans="1:29" ht="13.5" customHeight="1" x14ac:dyDescent="0.2">
      <c r="A14" s="2394" t="str">
        <f>COVER!A19</f>
        <v>6950 East Prairie Road</v>
      </c>
      <c r="B14" s="2407"/>
      <c r="C14" s="2407"/>
      <c r="D14" s="2407"/>
      <c r="E14" s="2407"/>
      <c r="F14" s="2408"/>
      <c r="G14" s="1195" t="s">
        <v>1185</v>
      </c>
      <c r="H14" s="1193"/>
      <c r="I14" s="1193"/>
      <c r="J14" s="1193"/>
      <c r="K14" s="1193"/>
      <c r="L14" s="1194"/>
    </row>
    <row r="15" spans="1:29" ht="13.5" customHeight="1" x14ac:dyDescent="0.2">
      <c r="A15" s="2394" t="str">
        <f>COVER!A21</f>
        <v>Lincolnwood</v>
      </c>
      <c r="B15" s="2407"/>
      <c r="C15" s="2407"/>
      <c r="D15" s="2407"/>
      <c r="E15" s="2407"/>
      <c r="F15" s="2408"/>
      <c r="G15" s="2404" t="str">
        <f>COVER!T15</f>
        <v>Matt Beran</v>
      </c>
      <c r="H15" s="2405"/>
      <c r="I15" s="2405"/>
      <c r="J15" s="2405"/>
      <c r="K15" s="2405"/>
      <c r="L15" s="2406"/>
    </row>
    <row r="16" spans="1:29" ht="12.2" customHeight="1" x14ac:dyDescent="0.2">
      <c r="A16" s="2384">
        <f>COVER!A25</f>
        <v>60712</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630-393-1483</v>
      </c>
      <c r="H18" s="2382"/>
      <c r="I18" s="2382"/>
      <c r="J18" s="2382"/>
      <c r="K18" s="2381" t="str">
        <f>COVER!X21</f>
        <v>630-393-2516</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Lincolnwood SD 74</v>
      </c>
      <c r="B1" s="2418"/>
      <c r="C1" s="2418"/>
      <c r="D1" s="2418"/>
    </row>
    <row r="2" spans="1:11" s="1212" customFormat="1" ht="12.75" x14ac:dyDescent="0.2">
      <c r="A2" s="2423">
        <f>'Single Audit Cover'!E7</f>
        <v>5016074002</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Lincolnwood SD 74</v>
      </c>
      <c r="B1" s="2426"/>
      <c r="C1" s="2426"/>
      <c r="D1" s="2426"/>
      <c r="E1" s="2426"/>
    </row>
    <row r="2" spans="1:5" x14ac:dyDescent="0.2">
      <c r="A2" s="2427">
        <f>'Single Audit Cover'!E7</f>
        <v>5016074002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532352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-14135</v>
      </c>
    </row>
    <row r="19" spans="1:4" ht="13.5" thickBot="1" x14ac:dyDescent="0.25">
      <c r="A19" s="1262" t="s">
        <v>1235</v>
      </c>
      <c r="D19" s="1263">
        <f>SUM(D10:D17)</f>
        <v>518217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518217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518217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Lincolnwood SD 74</v>
      </c>
      <c r="C1" s="2430"/>
      <c r="D1" s="2430"/>
      <c r="E1" s="2430"/>
      <c r="F1" s="2430"/>
      <c r="G1" s="2430"/>
      <c r="H1" s="2430"/>
      <c r="I1" s="2430"/>
      <c r="J1" s="2430"/>
      <c r="K1" s="2430"/>
      <c r="L1" s="2430"/>
      <c r="M1" s="2430"/>
    </row>
    <row r="2" spans="2:14" ht="15" x14ac:dyDescent="0.2">
      <c r="B2" s="2431">
        <f>'Single Audit Cover'!E7</f>
        <v>5016074002</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Lincolnwood SD 74</v>
      </c>
      <c r="B1" s="2435"/>
      <c r="C1" s="2435"/>
      <c r="D1" s="2435"/>
      <c r="E1" s="2435"/>
      <c r="F1" s="2435"/>
    </row>
    <row r="2" spans="1:7" ht="13.5" customHeight="1" x14ac:dyDescent="0.2">
      <c r="A2" s="2431">
        <f>'Single Audit Cover'!E7</f>
        <v>5016074002</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77" colorId="8" zoomScale="110" zoomScaleNormal="110" workbookViewId="0">
      <selection activeCell="J96" sqref="J9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132236</v>
      </c>
      <c r="G88" s="276">
        <v>280520</v>
      </c>
      <c r="H88" s="276"/>
      <c r="I88" s="276"/>
      <c r="J88" s="277">
        <f>SUM(E88:I88)</f>
        <v>412756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412756</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2065</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Lincolnwood SD 74</v>
      </c>
      <c r="C1" s="2451"/>
      <c r="D1" s="2451"/>
      <c r="E1" s="2451"/>
      <c r="F1" s="2451"/>
      <c r="G1" s="2451"/>
      <c r="H1" s="2451"/>
      <c r="I1" s="2451"/>
      <c r="J1" s="1406"/>
    </row>
    <row r="2" spans="2:10" s="317" customFormat="1" ht="12.75" customHeight="1" x14ac:dyDescent="0.2">
      <c r="B2" s="2452">
        <f>'Single Audit Cover'!E7</f>
        <v>5016074002</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Lincolnwood SD 74</v>
      </c>
      <c r="C1" s="2450"/>
      <c r="D1" s="2450"/>
      <c r="E1" s="2450"/>
      <c r="F1" s="2450"/>
      <c r="G1" s="2450"/>
      <c r="H1" s="2450"/>
      <c r="I1" s="2450"/>
      <c r="J1" s="2450"/>
      <c r="K1" s="2450"/>
      <c r="L1" s="1371"/>
      <c r="M1" s="1371"/>
    </row>
    <row r="2" spans="1:13" ht="12" customHeight="1" x14ac:dyDescent="0.2">
      <c r="B2" s="2452">
        <f>'Single Audit Cover'!E7</f>
        <v>5016074002</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Lincolnwood SD 74</v>
      </c>
      <c r="C1" s="2477"/>
      <c r="D1" s="2477"/>
      <c r="E1" s="2477"/>
      <c r="F1" s="2477"/>
      <c r="G1" s="2477"/>
      <c r="H1" s="2477"/>
      <c r="I1" s="2477"/>
      <c r="J1" s="2477"/>
      <c r="K1" s="2477"/>
      <c r="L1" s="1449"/>
    </row>
    <row r="2" spans="1:12" ht="12.75" customHeight="1" x14ac:dyDescent="0.2">
      <c r="B2" s="2478">
        <f>'Single Audit Cover'!E7</f>
        <v>5016074002</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Lincolnwood SD 74</v>
      </c>
      <c r="C1" s="2450"/>
      <c r="D1" s="2450"/>
      <c r="E1" s="1469"/>
    </row>
    <row r="2" spans="2:5" s="1279" customFormat="1" ht="12.75" customHeight="1" x14ac:dyDescent="0.2">
      <c r="B2" s="2452">
        <f>'Single Audit Cover'!E7</f>
        <v>5016074002</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657318534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2.6634000000000001E-2</v>
      </c>
      <c r="E10" s="356" t="s">
        <v>1005</v>
      </c>
      <c r="F10" s="355">
        <v>3.1199999999999999E-3</v>
      </c>
      <c r="G10" s="356" t="s">
        <v>1005</v>
      </c>
      <c r="H10" s="355">
        <v>6.3699999999999998E-4</v>
      </c>
      <c r="I10" s="356" t="s">
        <v>1006</v>
      </c>
      <c r="J10" s="1732">
        <f>ROUND(D10+F10+H10,5)</f>
        <v>3.039E-2</v>
      </c>
      <c r="K10" s="222"/>
      <c r="L10" s="355">
        <v>9.9999999999999995E-7</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23122073</v>
      </c>
      <c r="E16" s="356"/>
      <c r="F16" s="1733">
        <f>SUM('Acct Summary 7-8'!C17,'Acct Summary 7-8'!D17,'Acct Summary 7-8'!F17)</f>
        <v>24074623</v>
      </c>
      <c r="G16" s="356"/>
      <c r="H16" s="1733">
        <f>SUM(D16-F16)</f>
        <v>-952550</v>
      </c>
      <c r="I16" s="222"/>
      <c r="J16" s="1733">
        <f>SUM('Acct Summary 7-8'!C81,'Acct Summary 7-8'!D81,'Acct Summary 7-8'!F81,'Acct Summary 7-8'!I81)</f>
        <v>12644850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45354978.846000001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15645000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7"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Lincolnwood SD 74</v>
      </c>
      <c r="E7" s="391"/>
      <c r="G7" s="252"/>
      <c r="H7" s="387"/>
      <c r="I7" s="387"/>
      <c r="J7" s="387"/>
      <c r="K7" s="387"/>
      <c r="L7" s="329"/>
      <c r="M7" s="329"/>
      <c r="N7" s="329"/>
      <c r="O7" s="329"/>
      <c r="P7" s="329"/>
    </row>
    <row r="8" spans="1:18" ht="12.75" x14ac:dyDescent="0.2">
      <c r="A8" s="329"/>
      <c r="B8" s="329"/>
      <c r="C8" s="389" t="s">
        <v>1125</v>
      </c>
      <c r="D8" s="392">
        <f>COVER!A13</f>
        <v>5016074002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12644850</v>
      </c>
      <c r="I12" s="404"/>
      <c r="J12" s="404"/>
      <c r="K12" s="405">
        <f>TRUNC((H12/H13*100000),5)/100000</f>
        <v>0.80942202739999991</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15622073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-7500000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24074623</v>
      </c>
      <c r="I17" s="404"/>
      <c r="J17" s="416"/>
      <c r="K17" s="405">
        <f>TRUNC((H17/H18*100000),5)/100000</f>
        <v>1.5410645564999998</v>
      </c>
      <c r="L17" s="406"/>
      <c r="M17" s="417" t="s">
        <v>1171</v>
      </c>
      <c r="O17" s="418" t="str">
        <f>IF(AND(O16="2", J20 &gt; 2),"1",IF(AND(O16 = "1", J20 &gt; 2),"2",IF(AND(O16="1", J20 &gt;1),"1","0")))</f>
        <v>1</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15622073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-7500000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1.3111596000000001</v>
      </c>
      <c r="K20" s="405">
        <f>IF(K17&lt;=1,"0",IF(AND(O16="2", J20 &gt; 2),TRUNC(((K12-0.1)/(K17-1)*100),5)/100,IF(AND(O16 = "1", J20 &gt; 2),TRUNC(((K12-0.1)/(K17-1)*100),5)/100,IF(AND(O16="1", J20 &gt;1),TRUNC(((K12-0.1)/(K17-1)*100),5)/100,""))))</f>
        <v>1.3111596000000001</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8501570</v>
      </c>
      <c r="I24" s="422"/>
      <c r="J24" s="422"/>
      <c r="K24" s="423">
        <f>TRUNC(((H24/H25*100000)/100000),2)</f>
        <v>127.12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66873.952780000007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16979523.71102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15645000</v>
      </c>
      <c r="I32" s="420"/>
      <c r="J32" s="420"/>
      <c r="K32" s="423">
        <f>TRUNC(100-((((H32/H33*100))*100)/100),2)</f>
        <v>65.5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45354978.846000001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activeCell="C40" sqref="C40"/>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4404104</v>
      </c>
      <c r="D4" s="466">
        <v>2477922</v>
      </c>
      <c r="E4" s="466">
        <v>622158</v>
      </c>
      <c r="F4" s="466">
        <v>1150506</v>
      </c>
      <c r="G4" s="466">
        <v>263422</v>
      </c>
      <c r="H4" s="466">
        <v>1982420</v>
      </c>
      <c r="I4" s="466">
        <v>469038</v>
      </c>
      <c r="J4" s="467">
        <v>112580</v>
      </c>
      <c r="K4" s="466">
        <v>3769373</v>
      </c>
      <c r="L4" s="466">
        <v>17214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8500003</v>
      </c>
      <c r="D6" s="466">
        <v>978345</v>
      </c>
      <c r="E6" s="466">
        <v>436327</v>
      </c>
      <c r="F6" s="466">
        <v>199745</v>
      </c>
      <c r="G6" s="471">
        <v>208211</v>
      </c>
      <c r="H6" s="471"/>
      <c r="I6" s="466">
        <v>314</v>
      </c>
      <c r="J6" s="474">
        <v>313</v>
      </c>
      <c r="K6" s="471">
        <v>220755</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5015947</v>
      </c>
      <c r="D8" s="467"/>
      <c r="E8" s="467"/>
      <c r="F8" s="467">
        <v>102114</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v>141393</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17920054</v>
      </c>
      <c r="D13" s="1737">
        <f t="shared" ref="D13:L13" si="0">SUM(D4:D12)</f>
        <v>3456267</v>
      </c>
      <c r="E13" s="1737">
        <f t="shared" si="0"/>
        <v>1058485</v>
      </c>
      <c r="F13" s="1737">
        <f t="shared" si="0"/>
        <v>1452365</v>
      </c>
      <c r="G13" s="1737">
        <f t="shared" si="0"/>
        <v>471633</v>
      </c>
      <c r="H13" s="1737">
        <f t="shared" si="0"/>
        <v>1982420</v>
      </c>
      <c r="I13" s="1737">
        <f t="shared" si="0"/>
        <v>469352</v>
      </c>
      <c r="J13" s="1737">
        <f t="shared" si="0"/>
        <v>254286</v>
      </c>
      <c r="K13" s="1737">
        <f t="shared" si="0"/>
        <v>3990128</v>
      </c>
      <c r="L13" s="1737">
        <f t="shared" si="0"/>
        <v>17214</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2337500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29309538</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666027</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2103671</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8002183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15645000</v>
      </c>
    </row>
    <row r="23" spans="1:14" ht="13.5" customHeight="1" thickBot="1" x14ac:dyDescent="0.25">
      <c r="A23" s="1736" t="s">
        <v>643</v>
      </c>
      <c r="B23" s="1741"/>
      <c r="C23" s="468"/>
      <c r="D23" s="468"/>
      <c r="E23" s="468"/>
      <c r="F23" s="468"/>
      <c r="G23" s="468"/>
      <c r="H23" s="468"/>
      <c r="I23" s="468"/>
      <c r="J23" s="468"/>
      <c r="K23" s="468"/>
      <c r="L23" s="468"/>
      <c r="M23" s="1688">
        <f>SUM(M15:M22)</f>
        <v>42418919</v>
      </c>
      <c r="N23" s="1688">
        <f>SUM(N21:N22)</f>
        <v>15645000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341540</v>
      </c>
      <c r="D27" s="467">
        <v>137134</v>
      </c>
      <c r="E27" s="467"/>
      <c r="F27" s="467">
        <v>132934</v>
      </c>
      <c r="G27" s="467"/>
      <c r="H27" s="467">
        <v>87405</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352033</v>
      </c>
      <c r="D30" s="474">
        <v>11140</v>
      </c>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8500003</v>
      </c>
      <c r="D32" s="492">
        <v>978345</v>
      </c>
      <c r="E32" s="474">
        <v>436327</v>
      </c>
      <c r="F32" s="474">
        <v>199745</v>
      </c>
      <c r="G32" s="474">
        <v>208211</v>
      </c>
      <c r="H32" s="474"/>
      <c r="I32" s="474">
        <v>314</v>
      </c>
      <c r="J32" s="474">
        <v>313</v>
      </c>
      <c r="K32" s="479">
        <v>220755</v>
      </c>
      <c r="L32" s="468"/>
      <c r="M32" s="468"/>
      <c r="N32" s="468"/>
    </row>
    <row r="33" spans="1:14" ht="13.5" customHeight="1" x14ac:dyDescent="0.2">
      <c r="A33" s="493" t="s">
        <v>303</v>
      </c>
      <c r="B33" s="491">
        <v>493</v>
      </c>
      <c r="C33" s="467"/>
      <c r="D33" s="467"/>
      <c r="E33" s="467"/>
      <c r="F33" s="467"/>
      <c r="G33" s="467"/>
      <c r="H33" s="467"/>
      <c r="I33" s="467"/>
      <c r="J33" s="467"/>
      <c r="K33" s="467"/>
      <c r="L33" s="467">
        <v>17214</v>
      </c>
      <c r="M33" s="468"/>
      <c r="N33" s="469"/>
    </row>
    <row r="34" spans="1:14" ht="13.5" customHeight="1" thickBot="1" x14ac:dyDescent="0.25">
      <c r="A34" s="1738" t="s">
        <v>654</v>
      </c>
      <c r="B34" s="1739"/>
      <c r="C34" s="1740">
        <f>SUM(C25:C33)</f>
        <v>9193576</v>
      </c>
      <c r="D34" s="1740">
        <f t="shared" ref="D34:K34" si="1">SUM(D25:D33)</f>
        <v>1126619</v>
      </c>
      <c r="E34" s="1740">
        <f t="shared" si="1"/>
        <v>436327</v>
      </c>
      <c r="F34" s="1740">
        <f t="shared" si="1"/>
        <v>332679</v>
      </c>
      <c r="G34" s="1740">
        <f t="shared" si="1"/>
        <v>208211</v>
      </c>
      <c r="H34" s="1740">
        <f t="shared" si="1"/>
        <v>87405</v>
      </c>
      <c r="I34" s="1740">
        <f t="shared" si="1"/>
        <v>314</v>
      </c>
      <c r="J34" s="1740">
        <f t="shared" si="1"/>
        <v>313</v>
      </c>
      <c r="K34" s="1740">
        <f t="shared" si="1"/>
        <v>220755</v>
      </c>
      <c r="L34" s="1721">
        <f>SUM(L33)</f>
        <v>17214</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15645000</v>
      </c>
    </row>
    <row r="37" spans="1:14" ht="13.5" thickBot="1" x14ac:dyDescent="0.25">
      <c r="A37" s="1736" t="s">
        <v>653</v>
      </c>
      <c r="B37" s="1741"/>
      <c r="C37" s="477"/>
      <c r="D37" s="477"/>
      <c r="E37" s="477"/>
      <c r="F37" s="477"/>
      <c r="G37" s="477"/>
      <c r="H37" s="477"/>
      <c r="I37" s="477"/>
      <c r="J37" s="477"/>
      <c r="K37" s="477"/>
      <c r="L37" s="480"/>
      <c r="M37" s="468"/>
      <c r="N37" s="1688">
        <f>SUM(N36:N36)</f>
        <v>15645000</v>
      </c>
    </row>
    <row r="38" spans="1:14" s="329" customFormat="1" ht="13.5" customHeight="1" thickTop="1" x14ac:dyDescent="0.2">
      <c r="A38" s="496" t="s">
        <v>420</v>
      </c>
      <c r="B38" s="483">
        <v>714</v>
      </c>
      <c r="C38" s="466"/>
      <c r="D38" s="466">
        <v>2329648</v>
      </c>
      <c r="E38" s="466">
        <v>622158</v>
      </c>
      <c r="F38" s="466">
        <v>1119686</v>
      </c>
      <c r="G38" s="466">
        <v>263422</v>
      </c>
      <c r="H38" s="466">
        <v>1895015</v>
      </c>
      <c r="I38" s="466"/>
      <c r="J38" s="467">
        <v>253973</v>
      </c>
      <c r="K38" s="466">
        <v>3769373</v>
      </c>
      <c r="L38" s="481"/>
      <c r="M38" s="497"/>
      <c r="N38" s="497"/>
    </row>
    <row r="39" spans="1:14" s="329" customFormat="1" ht="13.5" customHeight="1" x14ac:dyDescent="0.2">
      <c r="A39" s="496" t="s">
        <v>342</v>
      </c>
      <c r="B39" s="483">
        <v>730</v>
      </c>
      <c r="C39" s="466">
        <v>8726478</v>
      </c>
      <c r="D39" s="466"/>
      <c r="E39" s="466"/>
      <c r="F39" s="466"/>
      <c r="G39" s="466"/>
      <c r="H39" s="466"/>
      <c r="I39" s="466">
        <v>469038</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42418919</v>
      </c>
      <c r="N40" s="497"/>
    </row>
    <row r="41" spans="1:14" ht="13.5" customHeight="1" thickBot="1" x14ac:dyDescent="0.25">
      <c r="A41" s="1736" t="s">
        <v>655</v>
      </c>
      <c r="B41" s="1706"/>
      <c r="C41" s="1688">
        <f>(SUM(C34,C37,C38,C39))</f>
        <v>17920054</v>
      </c>
      <c r="D41" s="1688">
        <f t="shared" ref="D41:L41" si="2">SUM(D34,D37,D38:D39)</f>
        <v>3456267</v>
      </c>
      <c r="E41" s="1688">
        <f t="shared" si="2"/>
        <v>1058485</v>
      </c>
      <c r="F41" s="1688">
        <f t="shared" si="2"/>
        <v>1452365</v>
      </c>
      <c r="G41" s="1688">
        <f t="shared" si="2"/>
        <v>471633</v>
      </c>
      <c r="H41" s="1688">
        <f t="shared" si="2"/>
        <v>1982420</v>
      </c>
      <c r="I41" s="1688">
        <f t="shared" si="2"/>
        <v>469352</v>
      </c>
      <c r="J41" s="1688">
        <f t="shared" si="2"/>
        <v>254286</v>
      </c>
      <c r="K41" s="1688">
        <f t="shared" si="2"/>
        <v>3990128</v>
      </c>
      <c r="L41" s="1688">
        <f t="shared" si="2"/>
        <v>17214</v>
      </c>
      <c r="M41" s="1688">
        <f>SUM(M40)</f>
        <v>42418919</v>
      </c>
      <c r="N41" s="1688">
        <f>SUM(N37)</f>
        <v>15645000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52" activePane="bottomLeft" state="frozen"/>
      <selection activeCell="C40" sqref="C40"/>
      <selection pane="bottomLeft" activeCell="K80" sqref="K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18313095</v>
      </c>
      <c r="D4" s="1742">
        <f>'Revenues 9-14'!D109</f>
        <v>2064407</v>
      </c>
      <c r="E4" s="1742">
        <f>'Revenues 9-14'!E109</f>
        <v>1138377</v>
      </c>
      <c r="F4" s="1742">
        <f>'Revenues 9-14'!F109</f>
        <v>612391</v>
      </c>
      <c r="G4" s="1742">
        <f>'Revenues 9-14'!G109</f>
        <v>424545</v>
      </c>
      <c r="H4" s="1742">
        <f>'Revenues 9-14'!H109</f>
        <v>78250</v>
      </c>
      <c r="I4" s="1742">
        <f>'Revenues 9-14'!I109</f>
        <v>23933</v>
      </c>
      <c r="J4" s="1742">
        <f>'Revenues 9-14'!J109</f>
        <v>13841</v>
      </c>
      <c r="K4" s="1742">
        <f>'Revenues 9-14'!K109</f>
        <v>541676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1163140</v>
      </c>
      <c r="D6" s="1743">
        <f>'Revenues 9-14'!D170</f>
        <v>0</v>
      </c>
      <c r="E6" s="1743">
        <f>'Revenues 9-14'!E170</f>
        <v>0</v>
      </c>
      <c r="F6" s="1743">
        <f>'Revenues 9-14'!F170</f>
        <v>412755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532352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20008587</v>
      </c>
      <c r="D8" s="1688">
        <f t="shared" ref="D8:K8" si="0">SUM(D4:D7)</f>
        <v>2064407</v>
      </c>
      <c r="E8" s="1688">
        <f t="shared" si="0"/>
        <v>1138377</v>
      </c>
      <c r="F8" s="1688">
        <f t="shared" si="0"/>
        <v>1025146</v>
      </c>
      <c r="G8" s="1688">
        <f t="shared" si="0"/>
        <v>424545</v>
      </c>
      <c r="H8" s="1688">
        <f t="shared" si="0"/>
        <v>78250</v>
      </c>
      <c r="I8" s="1688">
        <f t="shared" si="0"/>
        <v>23933</v>
      </c>
      <c r="J8" s="1688">
        <f t="shared" si="0"/>
        <v>13841</v>
      </c>
      <c r="K8" s="1688">
        <f t="shared" si="0"/>
        <v>541676</v>
      </c>
      <c r="L8" s="347"/>
    </row>
    <row r="9" spans="1:13" ht="15.75" thickTop="1" x14ac:dyDescent="0.2">
      <c r="A9" s="514" t="s">
        <v>1653</v>
      </c>
      <c r="B9" s="515">
        <v>3998</v>
      </c>
      <c r="C9" s="481">
        <v>8069354</v>
      </c>
      <c r="D9" s="516"/>
      <c r="E9" s="481"/>
      <c r="F9" s="481"/>
      <c r="G9" s="517"/>
      <c r="H9" s="481"/>
      <c r="I9" s="509" t="s">
        <v>1169</v>
      </c>
      <c r="J9" s="478"/>
      <c r="K9" s="481"/>
      <c r="L9" s="347"/>
    </row>
    <row r="10" spans="1:13" s="519" customFormat="1" ht="13.5" thickBot="1" x14ac:dyDescent="0.25">
      <c r="A10" s="1736" t="s">
        <v>1173</v>
      </c>
      <c r="B10" s="1709"/>
      <c r="C10" s="1688">
        <f>SUM(C8:C9)</f>
        <v>28077941</v>
      </c>
      <c r="D10" s="1688">
        <f t="shared" ref="D10:K10" si="1">SUM(D8:D9)</f>
        <v>2064407</v>
      </c>
      <c r="E10" s="1688">
        <f t="shared" si="1"/>
        <v>1138377</v>
      </c>
      <c r="F10" s="1688">
        <f t="shared" si="1"/>
        <v>1025146</v>
      </c>
      <c r="G10" s="1688">
        <f t="shared" si="1"/>
        <v>424545</v>
      </c>
      <c r="H10" s="1688">
        <f t="shared" si="1"/>
        <v>78250</v>
      </c>
      <c r="I10" s="1688">
        <f t="shared" si="1"/>
        <v>23933</v>
      </c>
      <c r="J10" s="1688">
        <f t="shared" si="1"/>
        <v>13841</v>
      </c>
      <c r="K10" s="1688">
        <f t="shared" si="1"/>
        <v>541676</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14185324</v>
      </c>
      <c r="D12" s="520" t="s">
        <v>1169</v>
      </c>
      <c r="E12" s="468" t="s">
        <v>1169</v>
      </c>
      <c r="F12" s="468" t="s">
        <v>1169</v>
      </c>
      <c r="G12" s="1742">
        <f>'Expenditures 15-22'!K229</f>
        <v>266208</v>
      </c>
      <c r="H12" s="521"/>
      <c r="I12" s="468" t="s">
        <v>1169</v>
      </c>
      <c r="J12" s="468" t="s">
        <v>1169</v>
      </c>
      <c r="K12" s="521" t="s">
        <v>1169</v>
      </c>
      <c r="L12" s="347"/>
    </row>
    <row r="13" spans="1:13" ht="15.75" customHeight="1" x14ac:dyDescent="0.2">
      <c r="A13" s="1576" t="s">
        <v>457</v>
      </c>
      <c r="B13" s="1578">
        <v>2000</v>
      </c>
      <c r="C13" s="1743">
        <f>'Expenditures 15-22'!K74</f>
        <v>4700705</v>
      </c>
      <c r="D13" s="1743">
        <f>'Expenditures 15-22'!K129</f>
        <v>2037225</v>
      </c>
      <c r="E13" s="469" t="s">
        <v>1169</v>
      </c>
      <c r="F13" s="1743">
        <f>'Expenditures 15-22'!K184</f>
        <v>1178695</v>
      </c>
      <c r="G13" s="1743">
        <f>'Expenditures 15-22'!K279</f>
        <v>280126</v>
      </c>
      <c r="H13" s="1743">
        <f>'Expenditures 15-22'!K303</f>
        <v>5636721</v>
      </c>
      <c r="I13" s="468" t="s">
        <v>1169</v>
      </c>
      <c r="J13" s="1743">
        <f>'Expenditures 15-22'!K330</f>
        <v>134680</v>
      </c>
      <c r="K13" s="1747">
        <f>'Expenditures 15-22'!K352</f>
        <v>747272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1972674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1342435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20858703</v>
      </c>
      <c r="D17" s="1688">
        <f t="shared" si="2"/>
        <v>2037225</v>
      </c>
      <c r="E17" s="1688">
        <f t="shared" si="2"/>
        <v>1342435</v>
      </c>
      <c r="F17" s="1688">
        <f t="shared" si="2"/>
        <v>1178695</v>
      </c>
      <c r="G17" s="1688">
        <f t="shared" si="2"/>
        <v>546334</v>
      </c>
      <c r="H17" s="1688">
        <f t="shared" si="2"/>
        <v>5636721</v>
      </c>
      <c r="I17" s="468"/>
      <c r="J17" s="1688">
        <f>SUM(J12:J16)</f>
        <v>134680</v>
      </c>
      <c r="K17" s="1688">
        <f>SUM(K12:K16)</f>
        <v>747272</v>
      </c>
      <c r="L17" s="347"/>
    </row>
    <row r="18" spans="1:12" ht="15" customHeight="1" thickTop="1" x14ac:dyDescent="0.2">
      <c r="A18" s="1744" t="s">
        <v>1654</v>
      </c>
      <c r="B18" s="1745">
        <v>4180</v>
      </c>
      <c r="C18" s="1742">
        <f t="shared" ref="C18:H18" si="3">C9</f>
        <v>8069354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28928057</v>
      </c>
      <c r="D19" s="1688">
        <f t="shared" si="4"/>
        <v>2037225</v>
      </c>
      <c r="E19" s="1688">
        <f t="shared" si="4"/>
        <v>1342435</v>
      </c>
      <c r="F19" s="1688">
        <f t="shared" si="4"/>
        <v>1178695</v>
      </c>
      <c r="G19" s="1688">
        <f t="shared" si="4"/>
        <v>546334</v>
      </c>
      <c r="H19" s="1688">
        <f t="shared" si="4"/>
        <v>5636721</v>
      </c>
      <c r="I19" s="468"/>
      <c r="J19" s="1688">
        <f>SUM(J17:J18)</f>
        <v>134680</v>
      </c>
      <c r="K19" s="1688">
        <f>SUM(K17:K18)</f>
        <v>747272</v>
      </c>
      <c r="L19" s="347"/>
    </row>
    <row r="20" spans="1:12" ht="16.5" thickTop="1" thickBot="1" x14ac:dyDescent="0.25">
      <c r="A20" s="2123" t="s">
        <v>1655</v>
      </c>
      <c r="B20" s="2124"/>
      <c r="C20" s="1746">
        <f>C8-C17</f>
        <v>-850116</v>
      </c>
      <c r="D20" s="1746">
        <f t="shared" ref="D20:K20" si="5">D8-D17</f>
        <v>27182</v>
      </c>
      <c r="E20" s="1746">
        <f t="shared" si="5"/>
        <v>-204058</v>
      </c>
      <c r="F20" s="1746">
        <f t="shared" si="5"/>
        <v>-153549</v>
      </c>
      <c r="G20" s="1746">
        <f t="shared" si="5"/>
        <v>-121789</v>
      </c>
      <c r="H20" s="1746">
        <f t="shared" si="5"/>
        <v>-5558471</v>
      </c>
      <c r="I20" s="1746">
        <f t="shared" si="5"/>
        <v>23933</v>
      </c>
      <c r="J20" s="1746">
        <f t="shared" si="5"/>
        <v>-120839</v>
      </c>
      <c r="K20" s="1746">
        <f t="shared" si="5"/>
        <v>-205596</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1500000</v>
      </c>
      <c r="D25" s="467">
        <v>1500000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7500000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v>236984</v>
      </c>
      <c r="F33" s="467"/>
      <c r="G33" s="477"/>
      <c r="H33" s="467"/>
      <c r="I33" s="467">
        <v>2914651</v>
      </c>
      <c r="J33" s="467"/>
      <c r="K33" s="467">
        <v>2758365</v>
      </c>
      <c r="L33" s="524"/>
    </row>
    <row r="34" spans="1:12" s="485" customFormat="1" x14ac:dyDescent="0.2">
      <c r="A34" s="1489" t="s">
        <v>1001</v>
      </c>
      <c r="B34" s="525">
        <v>7220</v>
      </c>
      <c r="C34" s="467"/>
      <c r="D34" s="467"/>
      <c r="E34" s="467"/>
      <c r="F34" s="467"/>
      <c r="G34" s="477"/>
      <c r="H34" s="478"/>
      <c r="I34" s="478">
        <v>165313</v>
      </c>
      <c r="J34" s="478"/>
      <c r="K34" s="478">
        <v>165313</v>
      </c>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7500000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1500000</v>
      </c>
      <c r="D44" s="1703">
        <f t="shared" ref="D44:K44" si="6">SUM(D24:D43)</f>
        <v>9000000</v>
      </c>
      <c r="E44" s="1703">
        <f t="shared" si="6"/>
        <v>236984</v>
      </c>
      <c r="F44" s="1703">
        <f t="shared" si="6"/>
        <v>0</v>
      </c>
      <c r="G44" s="1703">
        <f t="shared" si="6"/>
        <v>0</v>
      </c>
      <c r="H44" s="1703">
        <f t="shared" si="6"/>
        <v>7500000</v>
      </c>
      <c r="I44" s="1703">
        <f t="shared" si="6"/>
        <v>3079964</v>
      </c>
      <c r="J44" s="1703">
        <f t="shared" si="6"/>
        <v>0</v>
      </c>
      <c r="K44" s="1703">
        <f t="shared" si="6"/>
        <v>2923678</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7500000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v>7500000</v>
      </c>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7500000</v>
      </c>
      <c r="D76" s="1703">
        <f t="shared" si="7"/>
        <v>7500000</v>
      </c>
      <c r="E76" s="1703">
        <f t="shared" si="7"/>
        <v>0</v>
      </c>
      <c r="F76" s="1703">
        <f t="shared" si="7"/>
        <v>0</v>
      </c>
      <c r="G76" s="1703">
        <f t="shared" si="7"/>
        <v>0</v>
      </c>
      <c r="H76" s="1703">
        <f t="shared" si="7"/>
        <v>0</v>
      </c>
      <c r="I76" s="1703">
        <f t="shared" si="7"/>
        <v>3000000</v>
      </c>
      <c r="J76" s="1703">
        <f t="shared" si="7"/>
        <v>0</v>
      </c>
      <c r="K76" s="1703">
        <f t="shared" si="7"/>
        <v>0</v>
      </c>
      <c r="L76" s="524"/>
    </row>
    <row r="77" spans="1:12" ht="14.25" thickTop="1" thickBot="1" x14ac:dyDescent="0.25">
      <c r="A77" s="2115" t="s">
        <v>1177</v>
      </c>
      <c r="B77" s="2116"/>
      <c r="C77" s="1703">
        <f t="shared" ref="C77:K77" si="8">C44-C76</f>
        <v>-6000000</v>
      </c>
      <c r="D77" s="1703">
        <f t="shared" si="8"/>
        <v>1500000</v>
      </c>
      <c r="E77" s="1703">
        <f t="shared" si="8"/>
        <v>236984</v>
      </c>
      <c r="F77" s="1703">
        <f t="shared" si="8"/>
        <v>0</v>
      </c>
      <c r="G77" s="1703">
        <f t="shared" si="8"/>
        <v>0</v>
      </c>
      <c r="H77" s="1703">
        <f t="shared" si="8"/>
        <v>7500000</v>
      </c>
      <c r="I77" s="1703">
        <f t="shared" si="8"/>
        <v>79964</v>
      </c>
      <c r="J77" s="1703">
        <f t="shared" si="8"/>
        <v>0</v>
      </c>
      <c r="K77" s="1703">
        <f t="shared" si="8"/>
        <v>2923678</v>
      </c>
      <c r="L77" s="347"/>
    </row>
    <row r="78" spans="1:12" ht="21.75" customHeight="1" thickTop="1" thickBot="1" x14ac:dyDescent="0.25">
      <c r="A78" s="2119" t="s">
        <v>597</v>
      </c>
      <c r="B78" s="2120"/>
      <c r="C78" s="1702">
        <f t="shared" ref="C78:K78" si="9">C20+C77</f>
        <v>-6850116</v>
      </c>
      <c r="D78" s="1702">
        <f t="shared" si="9"/>
        <v>1527182</v>
      </c>
      <c r="E78" s="1702">
        <f t="shared" si="9"/>
        <v>32926</v>
      </c>
      <c r="F78" s="1702">
        <f t="shared" si="9"/>
        <v>-153549</v>
      </c>
      <c r="G78" s="1702">
        <f t="shared" si="9"/>
        <v>-121789</v>
      </c>
      <c r="H78" s="1702">
        <f t="shared" si="9"/>
        <v>1941529</v>
      </c>
      <c r="I78" s="1702">
        <f t="shared" si="9"/>
        <v>103897</v>
      </c>
      <c r="J78" s="1702">
        <f t="shared" si="9"/>
        <v>-120839</v>
      </c>
      <c r="K78" s="1702">
        <f t="shared" si="9"/>
        <v>2718082</v>
      </c>
      <c r="L78" s="533"/>
    </row>
    <row r="79" spans="1:12" ht="13.5" thickTop="1" x14ac:dyDescent="0.2">
      <c r="A79" s="1494" t="s">
        <v>1949</v>
      </c>
      <c r="B79" s="534"/>
      <c r="C79" s="478">
        <v>15576594</v>
      </c>
      <c r="D79" s="535">
        <v>802466</v>
      </c>
      <c r="E79" s="535">
        <v>589232</v>
      </c>
      <c r="F79" s="535">
        <v>1273235</v>
      </c>
      <c r="G79" s="535">
        <v>385211</v>
      </c>
      <c r="H79" s="535">
        <v>-46514</v>
      </c>
      <c r="I79" s="535">
        <v>365141</v>
      </c>
      <c r="J79" s="535">
        <v>374812</v>
      </c>
      <c r="K79" s="535">
        <v>1051291</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8726478</v>
      </c>
      <c r="D81" s="1688">
        <f>SUM(D78:D80)</f>
        <v>2329648</v>
      </c>
      <c r="E81" s="1688">
        <f t="shared" ref="E81:K81" si="10">SUM(E78:E80)</f>
        <v>622158</v>
      </c>
      <c r="F81" s="1688">
        <f t="shared" si="10"/>
        <v>1119686</v>
      </c>
      <c r="G81" s="1688">
        <f t="shared" si="10"/>
        <v>263422</v>
      </c>
      <c r="H81" s="1688">
        <f t="shared" si="10"/>
        <v>1895015</v>
      </c>
      <c r="I81" s="1688">
        <f t="shared" si="10"/>
        <v>469038</v>
      </c>
      <c r="J81" s="1688">
        <f t="shared" si="10"/>
        <v>253973</v>
      </c>
      <c r="K81" s="1688">
        <f t="shared" si="10"/>
        <v>3769373</v>
      </c>
      <c r="L81" s="347"/>
    </row>
    <row r="82" spans="1:12" ht="0.75" customHeight="1" thickTop="1" thickBot="1" x14ac:dyDescent="0.25">
      <c r="A82" s="536" t="s">
        <v>343</v>
      </c>
      <c r="B82" s="537"/>
      <c r="C82" s="538">
        <f>(C81-C79)</f>
        <v>-6850116</v>
      </c>
      <c r="D82" s="538">
        <f t="shared" ref="D82:K82" si="11">(D81-D79)</f>
        <v>1527182</v>
      </c>
      <c r="E82" s="538">
        <f t="shared" si="11"/>
        <v>32926</v>
      </c>
      <c r="F82" s="538">
        <f t="shared" si="11"/>
        <v>-153549</v>
      </c>
      <c r="G82" s="538">
        <f t="shared" si="11"/>
        <v>-121789</v>
      </c>
      <c r="H82" s="538">
        <f t="shared" si="11"/>
        <v>1941529</v>
      </c>
      <c r="I82" s="538">
        <f t="shared" si="11"/>
        <v>103897</v>
      </c>
      <c r="J82" s="538">
        <f t="shared" si="11"/>
        <v>-120839</v>
      </c>
      <c r="K82" s="538">
        <f t="shared" si="11"/>
        <v>2718082</v>
      </c>
    </row>
    <row r="83" spans="1:12" ht="14.25" hidden="1" thickTop="1" thickBot="1" x14ac:dyDescent="0.25">
      <c r="A83" s="539" t="s">
        <v>344</v>
      </c>
      <c r="B83" s="464"/>
      <c r="C83" s="540">
        <f>C82/C81</f>
        <v>-0.78498060729655195</v>
      </c>
      <c r="D83" s="540">
        <f t="shared" ref="D83:K83" si="12">D82/D81</f>
        <v>0.6555419531190978</v>
      </c>
      <c r="E83" s="540">
        <f t="shared" si="12"/>
        <v>5.2922248046316206E-2</v>
      </c>
      <c r="F83" s="540">
        <f t="shared" si="12"/>
        <v>-0.13713576842078939</v>
      </c>
      <c r="G83" s="540">
        <f t="shared" si="12"/>
        <v>-0.46233420139547948</v>
      </c>
      <c r="H83" s="540">
        <f t="shared" si="12"/>
        <v>1.0245454521468167</v>
      </c>
      <c r="I83" s="540">
        <f t="shared" si="12"/>
        <v>0.22151083707503444</v>
      </c>
      <c r="J83" s="540">
        <f t="shared" si="12"/>
        <v>-0.47579467108708406</v>
      </c>
      <c r="K83" s="540">
        <f t="shared" si="12"/>
        <v>0.72109658555945511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43" activePane="bottomLeft" state="frozen"/>
      <selection activeCell="C40" sqref="C40"/>
      <selection pane="bottomLeft" activeCell="C80" sqref="C8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15773028</v>
      </c>
      <c r="D5" s="481">
        <v>1815610</v>
      </c>
      <c r="E5" s="466">
        <v>1102558</v>
      </c>
      <c r="F5" s="548">
        <v>415866</v>
      </c>
      <c r="G5" s="466">
        <v>162934</v>
      </c>
      <c r="H5" s="466"/>
      <c r="I5" s="466">
        <v>602</v>
      </c>
      <c r="J5" s="467">
        <v>602</v>
      </c>
      <c r="K5" s="466">
        <v>428305</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280040</v>
      </c>
      <c r="D7" s="466"/>
      <c r="E7" s="468"/>
      <c r="F7" s="467"/>
      <c r="G7" s="467">
        <v>191610</v>
      </c>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16053068</v>
      </c>
      <c r="D12" s="1707">
        <f t="shared" si="0"/>
        <v>1815610</v>
      </c>
      <c r="E12" s="1707">
        <f t="shared" si="0"/>
        <v>1102558</v>
      </c>
      <c r="F12" s="1707">
        <f t="shared" si="0"/>
        <v>415866</v>
      </c>
      <c r="G12" s="1707">
        <f t="shared" si="0"/>
        <v>354544</v>
      </c>
      <c r="H12" s="1707">
        <f t="shared" si="0"/>
        <v>0</v>
      </c>
      <c r="I12" s="1707">
        <f t="shared" si="0"/>
        <v>602</v>
      </c>
      <c r="J12" s="1707">
        <f t="shared" si="0"/>
        <v>602</v>
      </c>
      <c r="K12" s="1688">
        <f t="shared" si="0"/>
        <v>428305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297228</v>
      </c>
      <c r="D16" s="466"/>
      <c r="E16" s="466"/>
      <c r="F16" s="466">
        <v>130922</v>
      </c>
      <c r="G16" s="466">
        <v>48490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297228</v>
      </c>
      <c r="D18" s="1710">
        <f t="shared" ref="D18:K18" si="1">SUM(D14:D17)</f>
        <v>0</v>
      </c>
      <c r="E18" s="1710">
        <f t="shared" si="1"/>
        <v>0</v>
      </c>
      <c r="F18" s="1710">
        <f t="shared" si="1"/>
        <v>130922</v>
      </c>
      <c r="G18" s="1710">
        <f t="shared" si="1"/>
        <v>48490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198925</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40748</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239673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775356</v>
      </c>
      <c r="D65" s="466">
        <v>124333</v>
      </c>
      <c r="E65" s="466">
        <v>35819</v>
      </c>
      <c r="F65" s="467">
        <v>65603</v>
      </c>
      <c r="G65" s="466">
        <v>21511</v>
      </c>
      <c r="H65" s="466">
        <v>78250</v>
      </c>
      <c r="I65" s="466">
        <v>23331</v>
      </c>
      <c r="J65" s="467">
        <v>13239</v>
      </c>
      <c r="K65" s="466">
        <f>113372-1</f>
        <v>113371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775356</v>
      </c>
      <c r="D67" s="1688">
        <f t="shared" ref="D67:K67" si="2">SUM(D65:D66)</f>
        <v>124333</v>
      </c>
      <c r="E67" s="1688">
        <f t="shared" si="2"/>
        <v>35819</v>
      </c>
      <c r="F67" s="1688">
        <f t="shared" si="2"/>
        <v>65603</v>
      </c>
      <c r="G67" s="1688">
        <f t="shared" si="2"/>
        <v>21511</v>
      </c>
      <c r="H67" s="1688">
        <f t="shared" si="2"/>
        <v>78250</v>
      </c>
      <c r="I67" s="1688">
        <f t="shared" si="2"/>
        <v>23331</v>
      </c>
      <c r="J67" s="1688">
        <f t="shared" si="2"/>
        <v>13239</v>
      </c>
      <c r="K67" s="1688">
        <f t="shared" si="2"/>
        <v>113371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294396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294396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85573</v>
      </c>
      <c r="D79" s="466"/>
      <c r="E79" s="468"/>
      <c r="F79" s="468"/>
      <c r="G79" s="468"/>
      <c r="H79" s="468"/>
      <c r="I79" s="468"/>
      <c r="J79" s="468"/>
      <c r="K79" s="468"/>
    </row>
    <row r="80" spans="1:11" ht="12.75" customHeight="1" x14ac:dyDescent="0.2">
      <c r="A80" s="463" t="s">
        <v>551</v>
      </c>
      <c r="B80" s="470">
        <v>1730</v>
      </c>
      <c r="C80" s="551">
        <v>3927</v>
      </c>
      <c r="D80" s="466"/>
      <c r="E80" s="468"/>
      <c r="F80" s="468"/>
      <c r="G80" s="468"/>
      <c r="H80" s="468"/>
      <c r="I80" s="468"/>
      <c r="J80" s="468"/>
      <c r="K80" s="468"/>
    </row>
    <row r="81" spans="1:11" ht="12.75" customHeight="1" x14ac:dyDescent="0.2">
      <c r="A81" s="463" t="s">
        <v>26</v>
      </c>
      <c r="B81" s="470">
        <v>1790</v>
      </c>
      <c r="C81" s="551">
        <v>27783</v>
      </c>
      <c r="D81" s="466"/>
      <c r="E81" s="468"/>
      <c r="F81" s="468"/>
      <c r="G81" s="468"/>
      <c r="H81" s="468"/>
      <c r="I81" s="468"/>
      <c r="J81" s="468"/>
      <c r="K81" s="468"/>
    </row>
    <row r="82" spans="1:11" ht="12.75" customHeight="1" thickBot="1" x14ac:dyDescent="0.25">
      <c r="A82" s="1708" t="s">
        <v>241</v>
      </c>
      <c r="B82" s="1709"/>
      <c r="C82" s="1707">
        <f>SUM(C77:C81)</f>
        <v>117283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44594</v>
      </c>
      <c r="D84" s="468"/>
      <c r="E84" s="468"/>
      <c r="F84" s="468"/>
      <c r="G84" s="468"/>
      <c r="H84" s="468"/>
      <c r="I84" s="468"/>
      <c r="J84" s="468"/>
      <c r="K84" s="468"/>
    </row>
    <row r="85" spans="1:11" ht="12.75" customHeight="1" x14ac:dyDescent="0.2">
      <c r="A85" s="463" t="s">
        <v>553</v>
      </c>
      <c r="B85" s="470">
        <v>1812</v>
      </c>
      <c r="C85" s="551">
        <v>37648</v>
      </c>
      <c r="D85" s="468"/>
      <c r="E85" s="468"/>
      <c r="F85" s="468"/>
      <c r="G85" s="468"/>
      <c r="H85" s="468"/>
      <c r="I85" s="468"/>
      <c r="J85" s="468"/>
      <c r="K85" s="468"/>
    </row>
    <row r="86" spans="1:11" ht="12.75" customHeight="1" x14ac:dyDescent="0.2">
      <c r="A86" s="463" t="s">
        <v>999</v>
      </c>
      <c r="B86" s="470">
        <v>1813</v>
      </c>
      <c r="C86" s="551">
        <v>10450</v>
      </c>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1722</v>
      </c>
      <c r="D88" s="468"/>
      <c r="E88" s="468"/>
      <c r="F88" s="468"/>
      <c r="G88" s="468"/>
      <c r="H88" s="468"/>
      <c r="I88" s="468"/>
      <c r="J88" s="468"/>
      <c r="K88" s="468"/>
    </row>
    <row r="89" spans="1:11" ht="12.75" customHeight="1" x14ac:dyDescent="0.2">
      <c r="A89" s="463" t="s">
        <v>714</v>
      </c>
      <c r="B89" s="470">
        <v>1822</v>
      </c>
      <c r="C89" s="551">
        <v>2377</v>
      </c>
      <c r="D89" s="468"/>
      <c r="E89" s="468"/>
      <c r="F89" s="468"/>
      <c r="G89" s="468"/>
      <c r="H89" s="468"/>
      <c r="I89" s="468"/>
      <c r="J89" s="468"/>
      <c r="K89" s="468"/>
    </row>
    <row r="90" spans="1:11" ht="12.75" customHeight="1" x14ac:dyDescent="0.2">
      <c r="A90" s="463" t="s">
        <v>139</v>
      </c>
      <c r="B90" s="470">
        <v>1823</v>
      </c>
      <c r="C90" s="551">
        <v>5552</v>
      </c>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5</v>
      </c>
      <c r="D92" s="468"/>
      <c r="E92" s="468"/>
      <c r="F92" s="468"/>
      <c r="G92" s="468"/>
      <c r="H92" s="468"/>
      <c r="I92" s="468"/>
      <c r="J92" s="468"/>
      <c r="K92" s="468"/>
    </row>
    <row r="93" spans="1:11" ht="12.75" customHeight="1" thickBot="1" x14ac:dyDescent="0.25">
      <c r="A93" s="1708" t="s">
        <v>243</v>
      </c>
      <c r="B93" s="1709"/>
      <c r="C93" s="1688">
        <f>SUM(C84:C92)</f>
        <v>102348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123964</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410587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23156</v>
      </c>
      <c r="D107" s="466">
        <v>500</v>
      </c>
      <c r="E107" s="466"/>
      <c r="F107" s="466"/>
      <c r="G107" s="466"/>
      <c r="H107" s="466"/>
      <c r="I107" s="466"/>
      <c r="J107" s="467"/>
      <c r="K107" s="466"/>
    </row>
    <row r="108" spans="1:12" ht="12.75" customHeight="1" thickBot="1" x14ac:dyDescent="0.25">
      <c r="A108" s="1708" t="s">
        <v>487</v>
      </c>
      <c r="B108" s="1712"/>
      <c r="C108" s="1707">
        <f>SUM(C95:C107)</f>
        <v>433743</v>
      </c>
      <c r="D108" s="1707">
        <f t="shared" ref="D108:K108" si="3">SUM(D95:D107)</f>
        <v>124464</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18313095</v>
      </c>
      <c r="D109" s="1715">
        <f t="shared" si="4"/>
        <v>2064407</v>
      </c>
      <c r="E109" s="1715">
        <f t="shared" si="4"/>
        <v>1138377</v>
      </c>
      <c r="F109" s="1715">
        <f t="shared" si="4"/>
        <v>612391</v>
      </c>
      <c r="G109" s="1715">
        <f t="shared" si="4"/>
        <v>424545</v>
      </c>
      <c r="H109" s="1715">
        <f t="shared" si="4"/>
        <v>78250</v>
      </c>
      <c r="I109" s="1715">
        <f t="shared" si="4"/>
        <v>23933</v>
      </c>
      <c r="J109" s="1715">
        <f t="shared" si="4"/>
        <v>13841</v>
      </c>
      <c r="K109" s="1702">
        <f t="shared" si="4"/>
        <v>541676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1161405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1161405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132235</v>
      </c>
      <c r="G152" s="467"/>
      <c r="H152" s="468"/>
      <c r="I152" s="468"/>
      <c r="J152" s="468"/>
      <c r="K152" s="468"/>
    </row>
    <row r="153" spans="1:11" ht="12.75" customHeight="1" x14ac:dyDescent="0.2">
      <c r="A153" s="463" t="s">
        <v>1057</v>
      </c>
      <c r="B153" s="562">
        <v>3510</v>
      </c>
      <c r="C153" s="551"/>
      <c r="D153" s="466"/>
      <c r="E153" s="561"/>
      <c r="F153" s="466">
        <v>280520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412755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1735</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1735</v>
      </c>
      <c r="D169" s="1722">
        <f t="shared" si="6"/>
        <v>0</v>
      </c>
      <c r="E169" s="1722">
        <f t="shared" si="6"/>
        <v>0</v>
      </c>
      <c r="F169" s="1722">
        <f t="shared" si="6"/>
        <v>412755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1163140</v>
      </c>
      <c r="D170" s="1715">
        <f t="shared" si="7"/>
        <v>0</v>
      </c>
      <c r="E170" s="1715">
        <f t="shared" si="7"/>
        <v>0</v>
      </c>
      <c r="F170" s="1715">
        <f t="shared" si="7"/>
        <v>412755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18264</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18264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422613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422613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5000</v>
      </c>
      <c r="D213" s="466"/>
      <c r="E213" s="468"/>
      <c r="F213" s="466"/>
      <c r="G213" s="466"/>
      <c r="H213" s="468"/>
      <c r="I213" s="468"/>
      <c r="J213" s="468"/>
      <c r="K213" s="468"/>
    </row>
    <row r="214" spans="1:11" ht="12.75" customHeight="1" x14ac:dyDescent="0.2">
      <c r="A214" s="463" t="s">
        <v>1054</v>
      </c>
      <c r="B214" s="470">
        <v>4625</v>
      </c>
      <c r="C214" s="551">
        <v>3420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8420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27205</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5000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36715</v>
      </c>
      <c r="D263" s="576"/>
      <c r="E263" s="468"/>
      <c r="F263" s="576"/>
      <c r="G263" s="576"/>
      <c r="H263" s="468"/>
      <c r="I263" s="468"/>
      <c r="J263" s="468"/>
      <c r="K263" s="468"/>
    </row>
    <row r="264" spans="1:11" ht="12.75" customHeight="1" thickTop="1" thickBot="1" x14ac:dyDescent="0.25">
      <c r="A264" s="463" t="s">
        <v>377</v>
      </c>
      <c r="B264" s="470">
        <v>4992</v>
      </c>
      <c r="C264" s="575">
        <v>14135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532352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532352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20008587</v>
      </c>
      <c r="D268" s="1715">
        <f t="shared" si="12"/>
        <v>2064407</v>
      </c>
      <c r="E268" s="1715">
        <f t="shared" si="12"/>
        <v>1138377</v>
      </c>
      <c r="F268" s="1715">
        <f t="shared" si="12"/>
        <v>1025146</v>
      </c>
      <c r="G268" s="1715">
        <f t="shared" si="12"/>
        <v>424545</v>
      </c>
      <c r="H268" s="1715">
        <f t="shared" si="12"/>
        <v>78250</v>
      </c>
      <c r="I268" s="1715">
        <f t="shared" si="12"/>
        <v>23933</v>
      </c>
      <c r="J268" s="1715">
        <f t="shared" si="12"/>
        <v>13841</v>
      </c>
      <c r="K268" s="1702">
        <f t="shared" si="12"/>
        <v>541676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336" activePane="bottomLeft" state="frozen"/>
      <selection activeCell="C40" sqref="C40"/>
      <selection pane="bottomLeft" activeCell="G349" sqref="G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8267529</v>
      </c>
      <c r="D5" s="466">
        <v>1245407</v>
      </c>
      <c r="E5" s="466">
        <v>262389</v>
      </c>
      <c r="F5" s="466">
        <v>498646</v>
      </c>
      <c r="G5" s="466">
        <v>197736</v>
      </c>
      <c r="H5" s="466">
        <v>25</v>
      </c>
      <c r="I5" s="467">
        <f>71907+1</f>
        <v>71908</v>
      </c>
      <c r="J5" s="467">
        <v>375928</v>
      </c>
      <c r="K5" s="1671">
        <f>SUM(C5:J5)</f>
        <v>10919568</v>
      </c>
      <c r="L5" s="466">
        <v>10074202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64206</v>
      </c>
      <c r="D7" s="467">
        <v>25802</v>
      </c>
      <c r="E7" s="467"/>
      <c r="F7" s="467">
        <v>1294</v>
      </c>
      <c r="G7" s="467"/>
      <c r="H7" s="467"/>
      <c r="I7" s="467"/>
      <c r="J7" s="467"/>
      <c r="K7" s="1671">
        <f t="shared" ref="K7:K32" si="0">SUM(C7:J7)</f>
        <v>91302</v>
      </c>
      <c r="L7" s="466">
        <v>105563</v>
      </c>
    </row>
    <row r="8" spans="1:14" x14ac:dyDescent="0.2">
      <c r="A8" s="1504" t="s">
        <v>164</v>
      </c>
      <c r="B8" s="614">
        <v>1200</v>
      </c>
      <c r="C8" s="466">
        <v>1005433</v>
      </c>
      <c r="D8" s="466">
        <v>185367</v>
      </c>
      <c r="E8" s="466">
        <v>2437</v>
      </c>
      <c r="F8" s="466">
        <v>3241</v>
      </c>
      <c r="G8" s="466">
        <v>3827</v>
      </c>
      <c r="H8" s="466">
        <v>395</v>
      </c>
      <c r="I8" s="467">
        <v>3224</v>
      </c>
      <c r="J8" s="467"/>
      <c r="K8" s="1671">
        <f t="shared" si="0"/>
        <v>1203924</v>
      </c>
      <c r="L8" s="466">
        <v>1372747</v>
      </c>
    </row>
    <row r="9" spans="1:14" x14ac:dyDescent="0.2">
      <c r="A9" s="1504" t="s">
        <v>721</v>
      </c>
      <c r="B9" s="614" t="s">
        <v>968</v>
      </c>
      <c r="C9" s="467"/>
      <c r="D9" s="467"/>
      <c r="E9" s="467"/>
      <c r="F9" s="467">
        <v>961</v>
      </c>
      <c r="G9" s="467"/>
      <c r="H9" s="467"/>
      <c r="I9" s="467"/>
      <c r="J9" s="467"/>
      <c r="K9" s="1671">
        <f t="shared" si="0"/>
        <v>961</v>
      </c>
      <c r="L9" s="466">
        <v>1000</v>
      </c>
    </row>
    <row r="10" spans="1:14" x14ac:dyDescent="0.2">
      <c r="A10" s="1504" t="s">
        <v>722</v>
      </c>
      <c r="B10" s="614">
        <v>1250</v>
      </c>
      <c r="C10" s="466">
        <v>547687</v>
      </c>
      <c r="D10" s="466">
        <v>105893</v>
      </c>
      <c r="E10" s="466">
        <v>8631</v>
      </c>
      <c r="F10" s="466">
        <v>6937</v>
      </c>
      <c r="G10" s="466"/>
      <c r="H10" s="466"/>
      <c r="I10" s="467"/>
      <c r="J10" s="467"/>
      <c r="K10" s="1671">
        <f t="shared" si="0"/>
        <v>669148</v>
      </c>
      <c r="L10" s="466">
        <v>754800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73629</v>
      </c>
      <c r="D14" s="466">
        <v>1004</v>
      </c>
      <c r="E14" s="466"/>
      <c r="F14" s="466"/>
      <c r="G14" s="466"/>
      <c r="H14" s="466"/>
      <c r="I14" s="467"/>
      <c r="J14" s="467"/>
      <c r="K14" s="1671">
        <f t="shared" si="0"/>
        <v>74633</v>
      </c>
      <c r="L14" s="466">
        <v>101882</v>
      </c>
    </row>
    <row r="15" spans="1:14" x14ac:dyDescent="0.2">
      <c r="A15" s="1504" t="s">
        <v>964</v>
      </c>
      <c r="B15" s="614">
        <v>1600</v>
      </c>
      <c r="C15" s="466">
        <v>45641</v>
      </c>
      <c r="D15" s="466">
        <v>612</v>
      </c>
      <c r="E15" s="466"/>
      <c r="F15" s="466">
        <v>1603</v>
      </c>
      <c r="G15" s="466"/>
      <c r="H15" s="466"/>
      <c r="I15" s="467"/>
      <c r="J15" s="467"/>
      <c r="K15" s="1671">
        <f t="shared" si="0"/>
        <v>47856</v>
      </c>
      <c r="L15" s="466">
        <v>65459</v>
      </c>
    </row>
    <row r="16" spans="1:14" x14ac:dyDescent="0.2">
      <c r="A16" s="1504" t="s">
        <v>987</v>
      </c>
      <c r="B16" s="614" t="s">
        <v>424</v>
      </c>
      <c r="C16" s="466">
        <v>435529</v>
      </c>
      <c r="D16" s="466">
        <v>101263</v>
      </c>
      <c r="E16" s="466"/>
      <c r="F16" s="466">
        <v>7743</v>
      </c>
      <c r="G16" s="466"/>
      <c r="H16" s="466"/>
      <c r="I16" s="467"/>
      <c r="J16" s="467"/>
      <c r="K16" s="1671">
        <f t="shared" si="0"/>
        <v>544535</v>
      </c>
      <c r="L16" s="466">
        <v>462565</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541596</v>
      </c>
      <c r="D18" s="466">
        <v>82972</v>
      </c>
      <c r="E18" s="466"/>
      <c r="F18" s="466">
        <v>8829</v>
      </c>
      <c r="G18" s="466"/>
      <c r="H18" s="466"/>
      <c r="I18" s="467"/>
      <c r="J18" s="467"/>
      <c r="K18" s="1671">
        <f t="shared" si="0"/>
        <v>633397</v>
      </c>
      <c r="L18" s="466">
        <v>640203</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10981250</v>
      </c>
      <c r="D33" s="1670">
        <f t="shared" ref="D33:L33" si="1">SUM(D5:D32)</f>
        <v>1748320</v>
      </c>
      <c r="E33" s="1670">
        <f t="shared" si="1"/>
        <v>273457</v>
      </c>
      <c r="F33" s="1670">
        <f t="shared" si="1"/>
        <v>529254</v>
      </c>
      <c r="G33" s="1670">
        <f t="shared" si="1"/>
        <v>201563</v>
      </c>
      <c r="H33" s="1670">
        <f t="shared" si="1"/>
        <v>420</v>
      </c>
      <c r="I33" s="1670">
        <f t="shared" si="1"/>
        <v>75132</v>
      </c>
      <c r="J33" s="1670">
        <f t="shared" si="1"/>
        <v>375928</v>
      </c>
      <c r="K33" s="1670">
        <f t="shared" si="1"/>
        <v>14185324</v>
      </c>
      <c r="L33" s="1670">
        <f t="shared" si="1"/>
        <v>13578421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349774</v>
      </c>
      <c r="D36" s="481">
        <v>25606</v>
      </c>
      <c r="E36" s="481"/>
      <c r="F36" s="481">
        <v>1440</v>
      </c>
      <c r="G36" s="481"/>
      <c r="H36" s="481"/>
      <c r="I36" s="467"/>
      <c r="J36" s="467"/>
      <c r="K36" s="1671">
        <f t="shared" ref="K36:K41" si="2">SUM(C36:J36)</f>
        <v>376820</v>
      </c>
      <c r="L36" s="466">
        <v>292778</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217541</v>
      </c>
      <c r="D38" s="466">
        <v>54542</v>
      </c>
      <c r="E38" s="466">
        <v>3543</v>
      </c>
      <c r="F38" s="466">
        <v>3485</v>
      </c>
      <c r="G38" s="466"/>
      <c r="H38" s="466">
        <v>182</v>
      </c>
      <c r="I38" s="467"/>
      <c r="J38" s="467"/>
      <c r="K38" s="1671">
        <f t="shared" si="2"/>
        <v>279293</v>
      </c>
      <c r="L38" s="466">
        <v>209412</v>
      </c>
    </row>
    <row r="39" spans="1:14" x14ac:dyDescent="0.2">
      <c r="A39" s="1504" t="s">
        <v>199</v>
      </c>
      <c r="B39" s="614">
        <v>2140</v>
      </c>
      <c r="C39" s="466">
        <v>158047</v>
      </c>
      <c r="D39" s="466">
        <v>8598</v>
      </c>
      <c r="E39" s="466">
        <v>1168</v>
      </c>
      <c r="F39" s="466">
        <v>39</v>
      </c>
      <c r="G39" s="466"/>
      <c r="H39" s="466"/>
      <c r="I39" s="467"/>
      <c r="J39" s="467"/>
      <c r="K39" s="1671">
        <f t="shared" si="2"/>
        <v>167852</v>
      </c>
      <c r="L39" s="466">
        <v>168669</v>
      </c>
    </row>
    <row r="40" spans="1:14" x14ac:dyDescent="0.2">
      <c r="A40" s="1504" t="s">
        <v>200</v>
      </c>
      <c r="B40" s="614">
        <v>2150</v>
      </c>
      <c r="C40" s="466">
        <v>256878</v>
      </c>
      <c r="D40" s="466">
        <v>27445</v>
      </c>
      <c r="E40" s="466"/>
      <c r="F40" s="466">
        <v>2085</v>
      </c>
      <c r="G40" s="466"/>
      <c r="H40" s="466"/>
      <c r="I40" s="467"/>
      <c r="J40" s="467"/>
      <c r="K40" s="1671">
        <f t="shared" si="2"/>
        <v>286408</v>
      </c>
      <c r="L40" s="466">
        <v>267852</v>
      </c>
    </row>
    <row r="41" spans="1:14" x14ac:dyDescent="0.2">
      <c r="A41" s="1504" t="s">
        <v>1669</v>
      </c>
      <c r="B41" s="614">
        <v>2190</v>
      </c>
      <c r="C41" s="466">
        <v>42439</v>
      </c>
      <c r="D41" s="466">
        <v>161</v>
      </c>
      <c r="E41" s="466"/>
      <c r="F41" s="466"/>
      <c r="G41" s="466"/>
      <c r="H41" s="466"/>
      <c r="I41" s="467"/>
      <c r="J41" s="467"/>
      <c r="K41" s="1671">
        <f t="shared" si="2"/>
        <v>42600</v>
      </c>
      <c r="L41" s="466">
        <v>56002</v>
      </c>
    </row>
    <row r="42" spans="1:14" ht="12.75" customHeight="1" thickBot="1" x14ac:dyDescent="0.25">
      <c r="A42" s="1668" t="s">
        <v>560</v>
      </c>
      <c r="B42" s="1669" t="s">
        <v>716</v>
      </c>
      <c r="C42" s="1670">
        <f>SUM(C36:C41)</f>
        <v>1024679</v>
      </c>
      <c r="D42" s="1670">
        <f t="shared" ref="D42:L42" si="3">SUM(D36:D41)</f>
        <v>116352</v>
      </c>
      <c r="E42" s="1670">
        <f t="shared" si="3"/>
        <v>4711</v>
      </c>
      <c r="F42" s="1670">
        <f t="shared" si="3"/>
        <v>7049</v>
      </c>
      <c r="G42" s="1670">
        <f t="shared" si="3"/>
        <v>0</v>
      </c>
      <c r="H42" s="1670">
        <f t="shared" si="3"/>
        <v>182</v>
      </c>
      <c r="I42" s="1670">
        <f t="shared" si="3"/>
        <v>0</v>
      </c>
      <c r="J42" s="1670">
        <f t="shared" si="3"/>
        <v>0</v>
      </c>
      <c r="K42" s="1670">
        <f t="shared" si="3"/>
        <v>1152973</v>
      </c>
      <c r="L42" s="1670">
        <f t="shared" si="3"/>
        <v>994713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78045</v>
      </c>
      <c r="D44" s="481">
        <v>2464</v>
      </c>
      <c r="E44" s="481">
        <v>28278</v>
      </c>
      <c r="F44" s="481">
        <v>980</v>
      </c>
      <c r="G44" s="481"/>
      <c r="H44" s="481"/>
      <c r="I44" s="467"/>
      <c r="J44" s="467"/>
      <c r="K44" s="1672">
        <f>SUM(C44:J44)</f>
        <v>109767</v>
      </c>
      <c r="L44" s="481">
        <v>140885</v>
      </c>
    </row>
    <row r="45" spans="1:14" x14ac:dyDescent="0.2">
      <c r="A45" s="1504" t="s">
        <v>815</v>
      </c>
      <c r="B45" s="614">
        <v>2220</v>
      </c>
      <c r="C45" s="466">
        <v>250217</v>
      </c>
      <c r="D45" s="466">
        <v>29751</v>
      </c>
      <c r="E45" s="466"/>
      <c r="F45" s="466">
        <v>32148</v>
      </c>
      <c r="G45" s="466"/>
      <c r="H45" s="466"/>
      <c r="I45" s="467"/>
      <c r="J45" s="467"/>
      <c r="K45" s="1672">
        <f>SUM(C45:J45)</f>
        <v>312116</v>
      </c>
      <c r="L45" s="466">
        <v>384258</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328262</v>
      </c>
      <c r="D47" s="1670">
        <f t="shared" ref="D47:K47" si="4">SUM(D44:D46)</f>
        <v>32215</v>
      </c>
      <c r="E47" s="1670">
        <f t="shared" si="4"/>
        <v>28278</v>
      </c>
      <c r="F47" s="1670">
        <f t="shared" si="4"/>
        <v>33128</v>
      </c>
      <c r="G47" s="1670">
        <f t="shared" si="4"/>
        <v>0</v>
      </c>
      <c r="H47" s="1670">
        <f t="shared" si="4"/>
        <v>0</v>
      </c>
      <c r="I47" s="1670">
        <f t="shared" si="4"/>
        <v>0</v>
      </c>
      <c r="J47" s="1670">
        <f t="shared" si="4"/>
        <v>0</v>
      </c>
      <c r="K47" s="1670">
        <f t="shared" si="4"/>
        <v>421883</v>
      </c>
      <c r="L47" s="1670">
        <f>SUM(L44:L46)</f>
        <v>525143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332380</v>
      </c>
      <c r="F49" s="481">
        <v>5497</v>
      </c>
      <c r="G49" s="481"/>
      <c r="H49" s="481">
        <v>20532</v>
      </c>
      <c r="I49" s="467"/>
      <c r="J49" s="467"/>
      <c r="K49" s="1672">
        <f>SUM(C49:J49)</f>
        <v>358409</v>
      </c>
      <c r="L49" s="481">
        <v>255000</v>
      </c>
    </row>
    <row r="50" spans="1:14" x14ac:dyDescent="0.2">
      <c r="A50" s="1504" t="s">
        <v>818</v>
      </c>
      <c r="B50" s="614">
        <v>2320</v>
      </c>
      <c r="C50" s="466">
        <v>242308</v>
      </c>
      <c r="D50" s="466">
        <v>36170</v>
      </c>
      <c r="E50" s="466">
        <v>1389</v>
      </c>
      <c r="F50" s="466">
        <v>700</v>
      </c>
      <c r="G50" s="466"/>
      <c r="H50" s="466">
        <v>3906</v>
      </c>
      <c r="I50" s="467"/>
      <c r="J50" s="467"/>
      <c r="K50" s="1672">
        <f>SUM(C50:J50)</f>
        <v>284473</v>
      </c>
      <c r="L50" s="466">
        <v>277174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242308</v>
      </c>
      <c r="D53" s="1670">
        <f t="shared" ref="D53:L53" si="5">SUM(D49:D52)</f>
        <v>36170</v>
      </c>
      <c r="E53" s="1670">
        <f t="shared" si="5"/>
        <v>333769</v>
      </c>
      <c r="F53" s="1670">
        <f t="shared" si="5"/>
        <v>6197</v>
      </c>
      <c r="G53" s="1670">
        <f t="shared" si="5"/>
        <v>0</v>
      </c>
      <c r="H53" s="1670">
        <f t="shared" si="5"/>
        <v>24438</v>
      </c>
      <c r="I53" s="1670">
        <f t="shared" si="5"/>
        <v>0</v>
      </c>
      <c r="J53" s="1670">
        <f t="shared" si="5"/>
        <v>0</v>
      </c>
      <c r="K53" s="1670">
        <f t="shared" si="5"/>
        <v>642882</v>
      </c>
      <c r="L53" s="1670">
        <f t="shared" si="5"/>
        <v>532174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733736</v>
      </c>
      <c r="D55" s="481">
        <v>163266</v>
      </c>
      <c r="E55" s="481">
        <v>6191</v>
      </c>
      <c r="F55" s="481">
        <v>3995</v>
      </c>
      <c r="G55" s="481"/>
      <c r="H55" s="481">
        <v>537</v>
      </c>
      <c r="I55" s="467"/>
      <c r="J55" s="467"/>
      <c r="K55" s="1672">
        <f>SUM(C55:J55)</f>
        <v>907725</v>
      </c>
      <c r="L55" s="481">
        <v>873991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733736</v>
      </c>
      <c r="D57" s="1674">
        <f t="shared" ref="D57:K57" si="6">SUM(D55:D56)</f>
        <v>163266</v>
      </c>
      <c r="E57" s="1674">
        <f t="shared" si="6"/>
        <v>6191</v>
      </c>
      <c r="F57" s="1674">
        <f t="shared" si="6"/>
        <v>3995</v>
      </c>
      <c r="G57" s="1674">
        <f t="shared" si="6"/>
        <v>0</v>
      </c>
      <c r="H57" s="1674">
        <f t="shared" si="6"/>
        <v>537</v>
      </c>
      <c r="I57" s="1674">
        <f t="shared" si="6"/>
        <v>0</v>
      </c>
      <c r="J57" s="1674">
        <f t="shared" si="6"/>
        <v>0</v>
      </c>
      <c r="K57" s="1674">
        <f t="shared" si="6"/>
        <v>907725</v>
      </c>
      <c r="L57" s="1670">
        <f>SUM(L55:L56)</f>
        <v>873991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44221</v>
      </c>
      <c r="D59" s="481">
        <v>7022</v>
      </c>
      <c r="E59" s="481"/>
      <c r="F59" s="481"/>
      <c r="G59" s="481"/>
      <c r="H59" s="481"/>
      <c r="I59" s="467"/>
      <c r="J59" s="467"/>
      <c r="K59" s="1672">
        <f t="shared" ref="K59:K64" si="7">SUM(C59:J59)</f>
        <v>51243</v>
      </c>
      <c r="L59" s="481">
        <v>197067</v>
      </c>
      <c r="M59" s="609"/>
      <c r="N59" s="609"/>
    </row>
    <row r="60" spans="1:14" s="343" customFormat="1" x14ac:dyDescent="0.2">
      <c r="A60" s="1504" t="s">
        <v>463</v>
      </c>
      <c r="B60" s="614">
        <v>2520</v>
      </c>
      <c r="C60" s="466">
        <v>245346</v>
      </c>
      <c r="D60" s="466">
        <v>62548</v>
      </c>
      <c r="E60" s="466">
        <v>131735</v>
      </c>
      <c r="F60" s="466">
        <v>7184</v>
      </c>
      <c r="G60" s="466"/>
      <c r="H60" s="466">
        <v>59734</v>
      </c>
      <c r="I60" s="467"/>
      <c r="J60" s="467"/>
      <c r="K60" s="1672">
        <f t="shared" si="7"/>
        <v>506547</v>
      </c>
      <c r="L60" s="466">
        <v>360314</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255338</v>
      </c>
      <c r="D63" s="466">
        <v>51042</v>
      </c>
      <c r="E63" s="466">
        <v>30914</v>
      </c>
      <c r="F63" s="466">
        <v>246619</v>
      </c>
      <c r="G63" s="466">
        <v>6302</v>
      </c>
      <c r="H63" s="466">
        <v>540</v>
      </c>
      <c r="I63" s="467">
        <v>1188</v>
      </c>
      <c r="J63" s="467"/>
      <c r="K63" s="1672">
        <f t="shared" si="7"/>
        <v>591943</v>
      </c>
      <c r="L63" s="466">
        <v>561283</v>
      </c>
    </row>
    <row r="64" spans="1:14" s="609" customFormat="1" x14ac:dyDescent="0.2">
      <c r="A64" s="1509" t="s">
        <v>101</v>
      </c>
      <c r="B64" s="630">
        <v>2570</v>
      </c>
      <c r="C64" s="481"/>
      <c r="D64" s="481"/>
      <c r="E64" s="481">
        <v>4269</v>
      </c>
      <c r="F64" s="481"/>
      <c r="G64" s="481"/>
      <c r="H64" s="481"/>
      <c r="I64" s="467"/>
      <c r="J64" s="467"/>
      <c r="K64" s="1672">
        <f t="shared" si="7"/>
        <v>4269</v>
      </c>
      <c r="L64" s="481">
        <v>4500</v>
      </c>
    </row>
    <row r="65" spans="1:14" s="343" customFormat="1" ht="12.75" customHeight="1" thickBot="1" x14ac:dyDescent="0.25">
      <c r="A65" s="1668" t="s">
        <v>719</v>
      </c>
      <c r="B65" s="1669" t="s">
        <v>35</v>
      </c>
      <c r="C65" s="1670">
        <f>SUM(C59:C64)</f>
        <v>544905</v>
      </c>
      <c r="D65" s="1670">
        <f t="shared" ref="D65:L65" si="8">SUM(D59:D64)</f>
        <v>120612</v>
      </c>
      <c r="E65" s="1670">
        <f t="shared" si="8"/>
        <v>166918</v>
      </c>
      <c r="F65" s="1670">
        <f t="shared" si="8"/>
        <v>253803</v>
      </c>
      <c r="G65" s="1670">
        <f t="shared" si="8"/>
        <v>6302</v>
      </c>
      <c r="H65" s="1670">
        <f t="shared" si="8"/>
        <v>60274</v>
      </c>
      <c r="I65" s="1670">
        <f t="shared" si="8"/>
        <v>1188</v>
      </c>
      <c r="J65" s="1670">
        <f t="shared" si="8"/>
        <v>0</v>
      </c>
      <c r="K65" s="1670">
        <f t="shared" si="8"/>
        <v>1154002</v>
      </c>
      <c r="L65" s="1670">
        <f t="shared" si="8"/>
        <v>1123164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227688</v>
      </c>
      <c r="D67" s="466">
        <v>35496</v>
      </c>
      <c r="E67" s="466">
        <v>1961</v>
      </c>
      <c r="F67" s="466">
        <v>1449</v>
      </c>
      <c r="G67" s="466"/>
      <c r="H67" s="466">
        <v>1670</v>
      </c>
      <c r="I67" s="467"/>
      <c r="J67" s="467"/>
      <c r="K67" s="1672">
        <f>SUM(C67:J67)</f>
        <v>268264</v>
      </c>
      <c r="L67" s="481">
        <v>275078</v>
      </c>
      <c r="M67" s="609"/>
      <c r="N67" s="609"/>
    </row>
    <row r="68" spans="1:14" s="343" customFormat="1" x14ac:dyDescent="0.2">
      <c r="A68" s="1504" t="s">
        <v>607</v>
      </c>
      <c r="B68" s="614">
        <v>2620</v>
      </c>
      <c r="C68" s="466">
        <v>4721</v>
      </c>
      <c r="D68" s="466">
        <v>71</v>
      </c>
      <c r="E68" s="466"/>
      <c r="F68" s="466">
        <v>38</v>
      </c>
      <c r="G68" s="466"/>
      <c r="H68" s="466"/>
      <c r="I68" s="467"/>
      <c r="J68" s="467"/>
      <c r="K68" s="1672">
        <f>SUM(C68:J68)</f>
        <v>4830</v>
      </c>
      <c r="L68" s="466">
        <v>23119</v>
      </c>
      <c r="M68" s="609"/>
      <c r="N68" s="609"/>
    </row>
    <row r="69" spans="1:14" s="343" customFormat="1" x14ac:dyDescent="0.2">
      <c r="A69" s="1504" t="s">
        <v>1061</v>
      </c>
      <c r="B69" s="614">
        <v>2630</v>
      </c>
      <c r="C69" s="466">
        <v>75000</v>
      </c>
      <c r="D69" s="466">
        <v>5549</v>
      </c>
      <c r="E69" s="466">
        <v>54066</v>
      </c>
      <c r="F69" s="466">
        <v>8757</v>
      </c>
      <c r="G69" s="466"/>
      <c r="H69" s="466">
        <v>2838</v>
      </c>
      <c r="I69" s="467"/>
      <c r="J69" s="467"/>
      <c r="K69" s="1672">
        <f>SUM(C69:J69)</f>
        <v>146210</v>
      </c>
      <c r="L69" s="466">
        <v>128296</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336</v>
      </c>
      <c r="F71" s="466"/>
      <c r="G71" s="466"/>
      <c r="H71" s="466"/>
      <c r="I71" s="467"/>
      <c r="J71" s="467"/>
      <c r="K71" s="1672">
        <f>SUM(C71:J71)</f>
        <v>336</v>
      </c>
      <c r="L71" s="466">
        <v>1600</v>
      </c>
      <c r="M71" s="609"/>
      <c r="N71" s="609"/>
    </row>
    <row r="72" spans="1:14" s="343" customFormat="1" ht="12.75" customHeight="1" thickBot="1" x14ac:dyDescent="0.25">
      <c r="A72" s="1668" t="s">
        <v>37</v>
      </c>
      <c r="B72" s="1675" t="s">
        <v>36</v>
      </c>
      <c r="C72" s="1670">
        <f>SUM(C67:C71)</f>
        <v>307409</v>
      </c>
      <c r="D72" s="1670">
        <f t="shared" ref="D72:K72" si="9">SUM(D67:D71)</f>
        <v>41116</v>
      </c>
      <c r="E72" s="1670">
        <f t="shared" si="9"/>
        <v>56363</v>
      </c>
      <c r="F72" s="1670">
        <f t="shared" si="9"/>
        <v>10244</v>
      </c>
      <c r="G72" s="1670">
        <f t="shared" si="9"/>
        <v>0</v>
      </c>
      <c r="H72" s="1670">
        <f t="shared" si="9"/>
        <v>4508</v>
      </c>
      <c r="I72" s="1670">
        <f t="shared" si="9"/>
        <v>0</v>
      </c>
      <c r="J72" s="1670">
        <f t="shared" si="9"/>
        <v>0</v>
      </c>
      <c r="K72" s="1670">
        <f t="shared" si="9"/>
        <v>419640</v>
      </c>
      <c r="L72" s="1670">
        <f>SUM(L67:L71)</f>
        <v>428093</v>
      </c>
      <c r="M72" s="609"/>
      <c r="N72" s="609"/>
    </row>
    <row r="73" spans="1:14" s="343" customFormat="1" ht="14.25" thickTop="1" thickBot="1" x14ac:dyDescent="0.25">
      <c r="A73" s="1510" t="s">
        <v>980</v>
      </c>
      <c r="B73" s="632" t="s">
        <v>574</v>
      </c>
      <c r="C73" s="573"/>
      <c r="D73" s="573"/>
      <c r="E73" s="573">
        <v>800</v>
      </c>
      <c r="F73" s="573">
        <v>800</v>
      </c>
      <c r="G73" s="573"/>
      <c r="H73" s="573"/>
      <c r="I73" s="531"/>
      <c r="J73" s="531"/>
      <c r="K73" s="1670">
        <f>SUM(C73:J73)</f>
        <v>1600</v>
      </c>
      <c r="L73" s="576"/>
      <c r="M73" s="609"/>
      <c r="N73" s="609"/>
    </row>
    <row r="74" spans="1:14" ht="12.75" customHeight="1" thickTop="1" thickBot="1" x14ac:dyDescent="0.25">
      <c r="A74" s="1668" t="s">
        <v>811</v>
      </c>
      <c r="B74" s="1676">
        <v>2000</v>
      </c>
      <c r="C74" s="1677">
        <f>SUM(C42,C47,C53,C57,C65,C72,C73)</f>
        <v>3181299</v>
      </c>
      <c r="D74" s="1677">
        <f t="shared" ref="D74:K74" si="10">SUM(D42,D47,D53,D57,D65,D72,D73)</f>
        <v>509731</v>
      </c>
      <c r="E74" s="1677">
        <f t="shared" si="10"/>
        <v>597030</v>
      </c>
      <c r="F74" s="1677">
        <f t="shared" si="10"/>
        <v>315216</v>
      </c>
      <c r="G74" s="1677">
        <f t="shared" si="10"/>
        <v>6302</v>
      </c>
      <c r="H74" s="1677">
        <f t="shared" si="10"/>
        <v>89939</v>
      </c>
      <c r="I74" s="1677">
        <f t="shared" si="10"/>
        <v>1188</v>
      </c>
      <c r="J74" s="1677">
        <f t="shared" si="10"/>
        <v>0</v>
      </c>
      <c r="K74" s="1677">
        <f t="shared" si="10"/>
        <v>4700705</v>
      </c>
      <c r="L74" s="1677">
        <f>SUM(L42,L47,L53,L57,L65,L72,L73)</f>
        <v>4477278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33712</v>
      </c>
      <c r="F79" s="616"/>
      <c r="G79" s="616"/>
      <c r="H79" s="466">
        <v>1938962</v>
      </c>
      <c r="I79" s="477"/>
      <c r="J79" s="477"/>
      <c r="K79" s="1671">
        <f t="shared" si="11"/>
        <v>1972674</v>
      </c>
      <c r="L79" s="466">
        <v>1919000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33712</v>
      </c>
      <c r="F84" s="616"/>
      <c r="G84" s="616"/>
      <c r="H84" s="1670">
        <f>SUM(H78:H83)</f>
        <v>1938962</v>
      </c>
      <c r="I84" s="477"/>
      <c r="J84" s="477"/>
      <c r="K84" s="1670">
        <f>SUM(K78:K83)</f>
        <v>1972674</v>
      </c>
      <c r="L84" s="1670">
        <f>SUM(L78:L83)</f>
        <v>1919000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33712</v>
      </c>
      <c r="F102" s="616"/>
      <c r="G102" s="616"/>
      <c r="H102" s="1677">
        <f>SUM(H84,H92,H100,H101)</f>
        <v>1938962</v>
      </c>
      <c r="I102" s="477"/>
      <c r="J102" s="477"/>
      <c r="K102" s="1677">
        <f>SUM(K84,K92,K100,K101)</f>
        <v>1972674</v>
      </c>
      <c r="L102" s="1677">
        <f>SUM(L84,L92,L100,L101)</f>
        <v>1919000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14162549</v>
      </c>
      <c r="D114" s="1670">
        <f t="shared" ref="D114:K114" si="13">SUM(D33,D74,D75,D102,D112,D113)</f>
        <v>2258051</v>
      </c>
      <c r="E114" s="1670">
        <f t="shared" si="13"/>
        <v>904199</v>
      </c>
      <c r="F114" s="1670">
        <f t="shared" si="13"/>
        <v>844470</v>
      </c>
      <c r="G114" s="1670">
        <f t="shared" si="13"/>
        <v>207865</v>
      </c>
      <c r="H114" s="1670">
        <f>SUM(H33,H74,H75,H102,H112,H113)</f>
        <v>2029321</v>
      </c>
      <c r="I114" s="1670">
        <f t="shared" si="13"/>
        <v>76320</v>
      </c>
      <c r="J114" s="1670">
        <f t="shared" si="13"/>
        <v>375928</v>
      </c>
      <c r="K114" s="1670">
        <f t="shared" si="13"/>
        <v>20858703</v>
      </c>
      <c r="L114" s="1670">
        <f>SUM(L33,L74,L75,L102,L112,L113)</f>
        <v>19975699</v>
      </c>
    </row>
    <row r="115" spans="1:14" ht="13.5" thickTop="1" x14ac:dyDescent="0.2">
      <c r="A115" s="2153" t="s">
        <v>996</v>
      </c>
      <c r="B115" s="2154"/>
      <c r="C115" s="618"/>
      <c r="D115" s="618"/>
      <c r="E115" s="618"/>
      <c r="F115" s="618"/>
      <c r="G115" s="618"/>
      <c r="H115" s="618"/>
      <c r="I115" s="618"/>
      <c r="J115" s="618"/>
      <c r="K115" s="1684">
        <f>'Revenues 9-14'!C268-'Expenditures 15-22'!K114</f>
        <v>-850116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469811</v>
      </c>
      <c r="D124" s="466">
        <v>48269</v>
      </c>
      <c r="E124" s="466">
        <v>929204</v>
      </c>
      <c r="F124" s="466">
        <v>452222</v>
      </c>
      <c r="G124" s="466">
        <v>131802</v>
      </c>
      <c r="H124" s="466">
        <f>1245-1</f>
        <v>1244</v>
      </c>
      <c r="I124" s="467">
        <v>4673</v>
      </c>
      <c r="J124" s="467"/>
      <c r="K124" s="1670">
        <f>SUM(C124:J124)</f>
        <v>2037225</v>
      </c>
      <c r="L124" s="466">
        <v>1959738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469811</v>
      </c>
      <c r="D127" s="1670">
        <f t="shared" ref="D127:L127" si="14">SUM(D122:D126)</f>
        <v>48269</v>
      </c>
      <c r="E127" s="1670">
        <f t="shared" si="14"/>
        <v>929204</v>
      </c>
      <c r="F127" s="1670">
        <f t="shared" si="14"/>
        <v>452222</v>
      </c>
      <c r="G127" s="1670">
        <f t="shared" si="14"/>
        <v>131802</v>
      </c>
      <c r="H127" s="1670">
        <f t="shared" si="14"/>
        <v>1244</v>
      </c>
      <c r="I127" s="1670">
        <f t="shared" si="14"/>
        <v>4673</v>
      </c>
      <c r="J127" s="1670">
        <f t="shared" si="14"/>
        <v>0</v>
      </c>
      <c r="K127" s="1670">
        <f t="shared" si="14"/>
        <v>2037225</v>
      </c>
      <c r="L127" s="1670">
        <f t="shared" si="14"/>
        <v>1959738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469811</v>
      </c>
      <c r="D129" s="1677">
        <f t="shared" ref="D129:L129" si="15">SUM(D120,D127,D128)</f>
        <v>48269</v>
      </c>
      <c r="E129" s="1677">
        <f t="shared" si="15"/>
        <v>929204</v>
      </c>
      <c r="F129" s="1677">
        <f t="shared" si="15"/>
        <v>452222</v>
      </c>
      <c r="G129" s="1677">
        <f t="shared" si="15"/>
        <v>131802</v>
      </c>
      <c r="H129" s="1677">
        <f t="shared" si="15"/>
        <v>1244</v>
      </c>
      <c r="I129" s="1677">
        <f t="shared" si="15"/>
        <v>4673</v>
      </c>
      <c r="J129" s="1677">
        <f t="shared" si="15"/>
        <v>0</v>
      </c>
      <c r="K129" s="1677">
        <f t="shared" si="15"/>
        <v>2037225</v>
      </c>
      <c r="L129" s="1677">
        <f t="shared" si="15"/>
        <v>1959738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469811</v>
      </c>
      <c r="D151" s="1670">
        <f t="shared" ref="D151:K151" si="16">SUM(D129,D130,D139,D149,D150)</f>
        <v>48269</v>
      </c>
      <c r="E151" s="1670">
        <f t="shared" si="16"/>
        <v>929204</v>
      </c>
      <c r="F151" s="1670">
        <f t="shared" si="16"/>
        <v>452222</v>
      </c>
      <c r="G151" s="1670">
        <f t="shared" si="16"/>
        <v>131802</v>
      </c>
      <c r="H151" s="1670">
        <f t="shared" si="16"/>
        <v>1244</v>
      </c>
      <c r="I151" s="1670">
        <f t="shared" si="16"/>
        <v>4673</v>
      </c>
      <c r="J151" s="1670">
        <f t="shared" si="16"/>
        <v>0</v>
      </c>
      <c r="K151" s="1670">
        <f t="shared" si="16"/>
        <v>2037225</v>
      </c>
      <c r="L151" s="1670">
        <f>SUM(L129,L130,L139,L149,L150)</f>
        <v>1959738</v>
      </c>
    </row>
    <row r="152" spans="1:14" ht="12.75" customHeight="1" thickTop="1" x14ac:dyDescent="0.2">
      <c r="A152" s="2173" t="s">
        <v>1178</v>
      </c>
      <c r="B152" s="2174"/>
      <c r="C152" s="618"/>
      <c r="D152" s="618"/>
      <c r="E152" s="618"/>
      <c r="F152" s="618"/>
      <c r="G152" s="618"/>
      <c r="H152" s="618"/>
      <c r="I152" s="618"/>
      <c r="J152" s="616"/>
      <c r="K152" s="1684">
        <f>'Revenues 9-14'!D268-'Expenditures 15-22'!K151</f>
        <v>27182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561737</v>
      </c>
      <c r="I169" s="616"/>
      <c r="J169" s="616"/>
      <c r="K169" s="1671">
        <f>SUM(C169:H169)</f>
        <v>561737</v>
      </c>
      <c r="L169" s="656">
        <v>379486</v>
      </c>
    </row>
    <row r="170" spans="1:14" ht="33.75" customHeight="1" x14ac:dyDescent="0.2">
      <c r="A170" s="669" t="s">
        <v>1670</v>
      </c>
      <c r="B170" s="671" t="s">
        <v>31</v>
      </c>
      <c r="C170" s="616"/>
      <c r="D170" s="616"/>
      <c r="E170" s="616"/>
      <c r="F170" s="616"/>
      <c r="G170" s="616"/>
      <c r="H170" s="569">
        <v>700000</v>
      </c>
      <c r="I170" s="616"/>
      <c r="J170" s="616"/>
      <c r="K170" s="1671">
        <f>SUM(C170:J170)</f>
        <v>700000</v>
      </c>
      <c r="L170" s="569">
        <v>891900</v>
      </c>
    </row>
    <row r="171" spans="1:14" ht="15.75" customHeight="1" x14ac:dyDescent="0.2">
      <c r="A171" s="621" t="s">
        <v>766</v>
      </c>
      <c r="B171" s="672" t="s">
        <v>84</v>
      </c>
      <c r="C171" s="616"/>
      <c r="D171" s="616"/>
      <c r="E171" s="466"/>
      <c r="F171" s="616"/>
      <c r="G171" s="616"/>
      <c r="H171" s="569">
        <v>80698</v>
      </c>
      <c r="I171" s="477"/>
      <c r="J171" s="616"/>
      <c r="K171" s="1671">
        <f>SUM(C171:J171)</f>
        <v>80698</v>
      </c>
      <c r="L171" s="569">
        <v>2500</v>
      </c>
    </row>
    <row r="172" spans="1:14" ht="12.75" customHeight="1" thickBot="1" x14ac:dyDescent="0.25">
      <c r="A172" s="1668" t="s">
        <v>638</v>
      </c>
      <c r="B172" s="1669" t="s">
        <v>492</v>
      </c>
      <c r="C172" s="616"/>
      <c r="D172" s="616"/>
      <c r="E172" s="1677">
        <f>SUM(E168,E169,E170,E171)</f>
        <v>0</v>
      </c>
      <c r="F172" s="616"/>
      <c r="G172" s="616"/>
      <c r="H172" s="1677">
        <f>SUM(H168,H169,H170,H171)</f>
        <v>1342435</v>
      </c>
      <c r="I172" s="638"/>
      <c r="J172" s="616"/>
      <c r="K172" s="1677">
        <f>SUM(K168,K169,K170,K171)</f>
        <v>1342435</v>
      </c>
      <c r="L172" s="1677">
        <f>SUM(L168,L169,L170,L171)</f>
        <v>1273886</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1342435</v>
      </c>
      <c r="I174" s="638"/>
      <c r="J174" s="616"/>
      <c r="K174" s="1677">
        <f>SUM(K160,K172,K173)</f>
        <v>1342435</v>
      </c>
      <c r="L174" s="1677">
        <f>SUM(L160,L172,L173)</f>
        <v>1273886</v>
      </c>
    </row>
    <row r="175" spans="1:14" ht="13.5" thickTop="1" x14ac:dyDescent="0.2">
      <c r="A175" s="2153" t="s">
        <v>996</v>
      </c>
      <c r="B175" s="2154"/>
      <c r="C175" s="616"/>
      <c r="D175" s="616"/>
      <c r="E175" s="616"/>
      <c r="F175" s="616"/>
      <c r="G175" s="616"/>
      <c r="H175" s="618"/>
      <c r="I175" s="616"/>
      <c r="J175" s="616"/>
      <c r="K175" s="1684">
        <f>'Revenues 9-14'!E268-'Expenditures 15-22'!K174</f>
        <v>-204058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1178695</v>
      </c>
      <c r="F182" s="466"/>
      <c r="G182" s="466"/>
      <c r="H182" s="466"/>
      <c r="I182" s="467"/>
      <c r="J182" s="467"/>
      <c r="K182" s="1671">
        <f>SUM(C182:J182)</f>
        <v>1178695</v>
      </c>
      <c r="L182" s="466">
        <v>1224020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1178695</v>
      </c>
      <c r="F184" s="1677">
        <f t="shared" si="17"/>
        <v>0</v>
      </c>
      <c r="G184" s="1677">
        <f t="shared" si="17"/>
        <v>0</v>
      </c>
      <c r="H184" s="1677">
        <f t="shared" si="17"/>
        <v>0</v>
      </c>
      <c r="I184" s="1677">
        <f t="shared" si="17"/>
        <v>0</v>
      </c>
      <c r="J184" s="1677">
        <f t="shared" si="17"/>
        <v>0</v>
      </c>
      <c r="K184" s="1677">
        <f>SUM(K180,K182,K183)</f>
        <v>1178695</v>
      </c>
      <c r="L184" s="1677">
        <f>SUM(L180, L182:L183)</f>
        <v>1224020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1178695</v>
      </c>
      <c r="F210" s="1670">
        <f>SUM(F184,F185)</f>
        <v>0</v>
      </c>
      <c r="G210" s="1670">
        <f>SUM(G184,G185)</f>
        <v>0</v>
      </c>
      <c r="H210" s="1670">
        <f>SUM(H184,H185,H196,H208,H209)</f>
        <v>0</v>
      </c>
      <c r="I210" s="1670">
        <f>SUM(I184,I185)</f>
        <v>0</v>
      </c>
      <c r="J210" s="1670">
        <f>SUM(J184,J185)</f>
        <v>0</v>
      </c>
      <c r="K210" s="1671">
        <f>SUM(K184,K185,K196,K208,K209)</f>
        <v>1178695</v>
      </c>
      <c r="L210" s="1670">
        <f>SUM(L184,L185,L196,L208,L209)</f>
        <v>1224020</v>
      </c>
    </row>
    <row r="211" spans="1:14" ht="13.5" thickTop="1" x14ac:dyDescent="0.2">
      <c r="A211" s="2153" t="s">
        <v>996</v>
      </c>
      <c r="B211" s="2154"/>
      <c r="C211" s="618"/>
      <c r="D211" s="618"/>
      <c r="E211" s="618"/>
      <c r="F211" s="618"/>
      <c r="G211" s="618"/>
      <c r="H211" s="618"/>
      <c r="I211" s="616"/>
      <c r="J211" s="616"/>
      <c r="K211" s="1684">
        <f>'Revenues 9-14'!F268-'Expenditures 15-22'!K210</f>
        <v>-153549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183418</v>
      </c>
      <c r="E215" s="616"/>
      <c r="F215" s="616"/>
      <c r="G215" s="616"/>
      <c r="H215" s="616"/>
      <c r="I215" s="616"/>
      <c r="J215" s="616"/>
      <c r="K215" s="1671">
        <f>D215</f>
        <v>183418</v>
      </c>
      <c r="L215" s="466">
        <v>152690</v>
      </c>
    </row>
    <row r="216" spans="1:14" x14ac:dyDescent="0.2">
      <c r="A216" s="1504" t="s">
        <v>163</v>
      </c>
      <c r="B216" s="614" t="s">
        <v>967</v>
      </c>
      <c r="C216" s="616"/>
      <c r="D216" s="467">
        <v>805</v>
      </c>
      <c r="E216" s="616"/>
      <c r="F216" s="616"/>
      <c r="G216" s="616"/>
      <c r="H216" s="616"/>
      <c r="I216" s="616"/>
      <c r="J216" s="616"/>
      <c r="K216" s="1671">
        <f t="shared" ref="K216:K228" si="19">D216</f>
        <v>805</v>
      </c>
      <c r="L216" s="466">
        <v>750</v>
      </c>
    </row>
    <row r="217" spans="1:14" x14ac:dyDescent="0.2">
      <c r="A217" s="1504" t="s">
        <v>164</v>
      </c>
      <c r="B217" s="614">
        <v>1200</v>
      </c>
      <c r="C217" s="616"/>
      <c r="D217" s="466">
        <v>46452</v>
      </c>
      <c r="E217" s="616"/>
      <c r="F217" s="616"/>
      <c r="G217" s="616"/>
      <c r="H217" s="616"/>
      <c r="I217" s="616"/>
      <c r="J217" s="616"/>
      <c r="K217" s="1671">
        <f t="shared" si="19"/>
        <v>46452</v>
      </c>
      <c r="L217" s="466">
        <v>56900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18262</v>
      </c>
      <c r="E219" s="616"/>
      <c r="F219" s="616"/>
      <c r="G219" s="616"/>
      <c r="H219" s="616"/>
      <c r="I219" s="616"/>
      <c r="J219" s="616"/>
      <c r="K219" s="1671">
        <f t="shared" si="19"/>
        <v>18262</v>
      </c>
      <c r="L219" s="466">
        <v>13850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1884</v>
      </c>
      <c r="E223" s="616"/>
      <c r="F223" s="616"/>
      <c r="G223" s="616"/>
      <c r="H223" s="616"/>
      <c r="I223" s="616"/>
      <c r="J223" s="616"/>
      <c r="K223" s="1671">
        <f t="shared" si="19"/>
        <v>1884</v>
      </c>
      <c r="L223" s="466">
        <v>5220</v>
      </c>
    </row>
    <row r="224" spans="1:14" x14ac:dyDescent="0.2">
      <c r="A224" s="1504" t="s">
        <v>964</v>
      </c>
      <c r="B224" s="614">
        <v>1600</v>
      </c>
      <c r="C224" s="616"/>
      <c r="D224" s="466">
        <v>1722</v>
      </c>
      <c r="E224" s="616"/>
      <c r="F224" s="616"/>
      <c r="G224" s="616"/>
      <c r="H224" s="616"/>
      <c r="I224" s="616"/>
      <c r="J224" s="616"/>
      <c r="K224" s="1671">
        <f t="shared" si="19"/>
        <v>1722</v>
      </c>
      <c r="L224" s="466">
        <v>2560</v>
      </c>
    </row>
    <row r="225" spans="1:12" x14ac:dyDescent="0.2">
      <c r="A225" s="1504" t="s">
        <v>987</v>
      </c>
      <c r="B225" s="614">
        <v>1650</v>
      </c>
      <c r="C225" s="616"/>
      <c r="D225" s="466">
        <v>5913</v>
      </c>
      <c r="E225" s="616"/>
      <c r="F225" s="616"/>
      <c r="G225" s="616"/>
      <c r="H225" s="616"/>
      <c r="I225" s="616"/>
      <c r="J225" s="616"/>
      <c r="K225" s="1671">
        <f t="shared" si="19"/>
        <v>5913</v>
      </c>
      <c r="L225" s="466">
        <v>5000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7752</v>
      </c>
      <c r="E227" s="616"/>
      <c r="F227" s="616"/>
      <c r="G227" s="616"/>
      <c r="H227" s="616"/>
      <c r="I227" s="616"/>
      <c r="J227" s="616"/>
      <c r="K227" s="1671">
        <f t="shared" si="19"/>
        <v>7752</v>
      </c>
      <c r="L227" s="466">
        <v>6015</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266208</v>
      </c>
      <c r="E229" s="616"/>
      <c r="F229" s="616"/>
      <c r="G229" s="616"/>
      <c r="H229" s="616"/>
      <c r="I229" s="616"/>
      <c r="J229" s="616"/>
      <c r="K229" s="1670">
        <f>SUM(K215:K228)</f>
        <v>266208</v>
      </c>
      <c r="L229" s="1670">
        <f>SUM(L215:L228)</f>
        <v>242985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4947</v>
      </c>
      <c r="E232" s="616"/>
      <c r="F232" s="616"/>
      <c r="G232" s="616"/>
      <c r="H232" s="616"/>
      <c r="I232" s="616"/>
      <c r="J232" s="616"/>
      <c r="K232" s="1671">
        <f t="shared" ref="K232:K237" si="20">D232</f>
        <v>4947</v>
      </c>
      <c r="L232" s="466">
        <v>4120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39249</v>
      </c>
      <c r="E234" s="616"/>
      <c r="F234" s="616"/>
      <c r="G234" s="616"/>
      <c r="H234" s="616"/>
      <c r="I234" s="616"/>
      <c r="J234" s="616"/>
      <c r="K234" s="1671">
        <f t="shared" si="20"/>
        <v>39249</v>
      </c>
      <c r="L234" s="466">
        <v>40270</v>
      </c>
    </row>
    <row r="235" spans="1:12" x14ac:dyDescent="0.2">
      <c r="A235" s="1504" t="s">
        <v>199</v>
      </c>
      <c r="B235" s="614">
        <v>2140</v>
      </c>
      <c r="C235" s="616"/>
      <c r="D235" s="466">
        <v>2261</v>
      </c>
      <c r="E235" s="616"/>
      <c r="F235" s="616"/>
      <c r="G235" s="616"/>
      <c r="H235" s="616"/>
      <c r="I235" s="616"/>
      <c r="J235" s="616"/>
      <c r="K235" s="1671">
        <f t="shared" si="20"/>
        <v>2261</v>
      </c>
      <c r="L235" s="466">
        <v>2060</v>
      </c>
    </row>
    <row r="236" spans="1:12" x14ac:dyDescent="0.2">
      <c r="A236" s="1504" t="s">
        <v>200</v>
      </c>
      <c r="B236" s="614">
        <v>2150</v>
      </c>
      <c r="C236" s="616"/>
      <c r="D236" s="466">
        <v>3514</v>
      </c>
      <c r="E236" s="616"/>
      <c r="F236" s="616"/>
      <c r="G236" s="616"/>
      <c r="H236" s="616"/>
      <c r="I236" s="616"/>
      <c r="J236" s="616"/>
      <c r="K236" s="1671">
        <f t="shared" si="20"/>
        <v>3514</v>
      </c>
      <c r="L236" s="466">
        <v>4240</v>
      </c>
    </row>
    <row r="237" spans="1:12" x14ac:dyDescent="0.2">
      <c r="A237" s="1504" t="s">
        <v>165</v>
      </c>
      <c r="B237" s="614">
        <v>2190</v>
      </c>
      <c r="C237" s="616"/>
      <c r="D237" s="466">
        <v>2568</v>
      </c>
      <c r="E237" s="616"/>
      <c r="F237" s="616"/>
      <c r="G237" s="616"/>
      <c r="H237" s="616"/>
      <c r="I237" s="616"/>
      <c r="J237" s="616"/>
      <c r="K237" s="1671">
        <f t="shared" si="20"/>
        <v>2568</v>
      </c>
      <c r="L237" s="466">
        <v>4120</v>
      </c>
    </row>
    <row r="238" spans="1:12" ht="12.75" customHeight="1" thickBot="1" x14ac:dyDescent="0.25">
      <c r="A238" s="1668" t="s">
        <v>560</v>
      </c>
      <c r="B238" s="1675" t="s">
        <v>716</v>
      </c>
      <c r="C238" s="616"/>
      <c r="D238" s="1670">
        <f>SUM(D232:D237)</f>
        <v>52539</v>
      </c>
      <c r="E238" s="616"/>
      <c r="F238" s="616"/>
      <c r="G238" s="616"/>
      <c r="H238" s="616"/>
      <c r="I238" s="616"/>
      <c r="J238" s="616"/>
      <c r="K238" s="1670">
        <f>SUM(K232:K237)</f>
        <v>52539</v>
      </c>
      <c r="L238" s="1670">
        <f>SUM(L232:L237)</f>
        <v>54810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1117</v>
      </c>
      <c r="E240" s="616"/>
      <c r="F240" s="616"/>
      <c r="G240" s="616"/>
      <c r="H240" s="616"/>
      <c r="I240" s="616"/>
      <c r="J240" s="616"/>
      <c r="K240" s="1672">
        <f>D240</f>
        <v>1117</v>
      </c>
      <c r="L240" s="481">
        <v>1030</v>
      </c>
    </row>
    <row r="241" spans="1:12" x14ac:dyDescent="0.2">
      <c r="A241" s="1504" t="s">
        <v>815</v>
      </c>
      <c r="B241" s="614">
        <v>2220</v>
      </c>
      <c r="C241" s="616"/>
      <c r="D241" s="466">
        <v>4132</v>
      </c>
      <c r="E241" s="616"/>
      <c r="F241" s="616"/>
      <c r="G241" s="616"/>
      <c r="H241" s="616"/>
      <c r="I241" s="616"/>
      <c r="J241" s="616"/>
      <c r="K241" s="1672">
        <f>D241</f>
        <v>4132</v>
      </c>
      <c r="L241" s="466">
        <v>2060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5249</v>
      </c>
      <c r="E243" s="616"/>
      <c r="F243" s="616"/>
      <c r="G243" s="616"/>
      <c r="H243" s="616"/>
      <c r="I243" s="616"/>
      <c r="J243" s="616"/>
      <c r="K243" s="1670">
        <f>SUM(K240:K242)</f>
        <v>5249</v>
      </c>
      <c r="L243" s="1670">
        <f>SUM(L240:L242)</f>
        <v>3090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3525</v>
      </c>
      <c r="E246" s="616"/>
      <c r="F246" s="616"/>
      <c r="G246" s="616"/>
      <c r="H246" s="616"/>
      <c r="I246" s="616"/>
      <c r="J246" s="616"/>
      <c r="K246" s="1672">
        <f t="shared" ref="K246:K256" si="21">D246</f>
        <v>3525</v>
      </c>
      <c r="L246" s="466">
        <v>3000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3525</v>
      </c>
      <c r="E257" s="616"/>
      <c r="F257" s="616"/>
      <c r="G257" s="616"/>
      <c r="H257" s="616"/>
      <c r="I257" s="616"/>
      <c r="J257" s="616"/>
      <c r="K257" s="1670">
        <f>SUM(K245:K256)</f>
        <v>3525</v>
      </c>
      <c r="L257" s="1670">
        <f>SUM(L245:L256)</f>
        <v>3000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43703</v>
      </c>
      <c r="E259" s="616"/>
      <c r="F259" s="616"/>
      <c r="G259" s="616"/>
      <c r="H259" s="616"/>
      <c r="I259" s="616"/>
      <c r="J259" s="616"/>
      <c r="K259" s="1672">
        <f>D259</f>
        <v>43703</v>
      </c>
      <c r="L259" s="481">
        <v>39140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43703</v>
      </c>
      <c r="E261" s="616"/>
      <c r="F261" s="616"/>
      <c r="G261" s="616"/>
      <c r="H261" s="616"/>
      <c r="I261" s="616"/>
      <c r="J261" s="616"/>
      <c r="K261" s="1670">
        <f>SUM(K259:K260)</f>
        <v>43703</v>
      </c>
      <c r="L261" s="1670">
        <f>SUM(L259:L260)</f>
        <v>39140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637</v>
      </c>
      <c r="E263" s="616"/>
      <c r="F263" s="616"/>
      <c r="G263" s="616"/>
      <c r="H263" s="616"/>
      <c r="I263" s="616"/>
      <c r="J263" s="616"/>
      <c r="K263" s="1672">
        <f>D263</f>
        <v>637</v>
      </c>
      <c r="L263" s="481">
        <v>3090</v>
      </c>
    </row>
    <row r="264" spans="1:14" x14ac:dyDescent="0.2">
      <c r="A264" s="1504" t="s">
        <v>463</v>
      </c>
      <c r="B264" s="685">
        <v>2520</v>
      </c>
      <c r="C264" s="616"/>
      <c r="D264" s="466">
        <v>19489</v>
      </c>
      <c r="E264" s="616"/>
      <c r="F264" s="616"/>
      <c r="G264" s="616"/>
      <c r="H264" s="616"/>
      <c r="I264" s="616"/>
      <c r="J264" s="616"/>
      <c r="K264" s="1672">
        <f t="shared" ref="K264:K269" si="22">D264</f>
        <v>19489</v>
      </c>
      <c r="L264" s="466">
        <v>31920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82391</v>
      </c>
      <c r="E266" s="616"/>
      <c r="F266" s="616"/>
      <c r="G266" s="616"/>
      <c r="H266" s="616"/>
      <c r="I266" s="616"/>
      <c r="J266" s="616"/>
      <c r="K266" s="1672">
        <f t="shared" si="22"/>
        <v>82391</v>
      </c>
      <c r="L266" s="466">
        <v>89900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46337</v>
      </c>
      <c r="E268" s="616"/>
      <c r="F268" s="616"/>
      <c r="G268" s="616"/>
      <c r="H268" s="616"/>
      <c r="I268" s="616"/>
      <c r="J268" s="616"/>
      <c r="K268" s="1672">
        <f t="shared" si="22"/>
        <v>46337</v>
      </c>
      <c r="L268" s="466">
        <v>36545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148854</v>
      </c>
      <c r="E270" s="616"/>
      <c r="F270" s="616"/>
      <c r="G270" s="616"/>
      <c r="H270" s="616"/>
      <c r="I270" s="616"/>
      <c r="J270" s="616"/>
      <c r="K270" s="1670">
        <f>SUM(K263:K269)</f>
        <v>148854</v>
      </c>
      <c r="L270" s="1670">
        <f>SUM(L263:L269)</f>
        <v>161455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12074</v>
      </c>
      <c r="E272" s="616"/>
      <c r="F272" s="616"/>
      <c r="G272" s="616"/>
      <c r="H272" s="616"/>
      <c r="I272" s="616"/>
      <c r="J272" s="616"/>
      <c r="K272" s="1672">
        <f>D272</f>
        <v>12074</v>
      </c>
      <c r="L272" s="481">
        <v>11065</v>
      </c>
    </row>
    <row r="273" spans="1:12" x14ac:dyDescent="0.2">
      <c r="A273" s="1504" t="s">
        <v>607</v>
      </c>
      <c r="B273" s="628">
        <v>2620</v>
      </c>
      <c r="C273" s="616"/>
      <c r="D273" s="466">
        <v>68</v>
      </c>
      <c r="E273" s="616"/>
      <c r="F273" s="616"/>
      <c r="G273" s="616"/>
      <c r="H273" s="616"/>
      <c r="I273" s="616"/>
      <c r="J273" s="616"/>
      <c r="K273" s="1672">
        <f>D273</f>
        <v>68</v>
      </c>
      <c r="L273" s="466">
        <v>0</v>
      </c>
    </row>
    <row r="274" spans="1:12" ht="12" customHeight="1" x14ac:dyDescent="0.2">
      <c r="A274" s="1504" t="s">
        <v>1061</v>
      </c>
      <c r="B274" s="614">
        <v>2630</v>
      </c>
      <c r="C274" s="616"/>
      <c r="D274" s="466">
        <v>14114</v>
      </c>
      <c r="E274" s="616"/>
      <c r="F274" s="616"/>
      <c r="G274" s="616"/>
      <c r="H274" s="616"/>
      <c r="I274" s="616"/>
      <c r="J274" s="616"/>
      <c r="K274" s="1672">
        <f>D274</f>
        <v>14114</v>
      </c>
      <c r="L274" s="466">
        <v>12650</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26256</v>
      </c>
      <c r="E277" s="616"/>
      <c r="F277" s="616"/>
      <c r="G277" s="616"/>
      <c r="H277" s="616"/>
      <c r="I277" s="616"/>
      <c r="J277" s="616"/>
      <c r="K277" s="1670">
        <f>SUM(K272:K276)</f>
        <v>26256</v>
      </c>
      <c r="L277" s="1670">
        <f>SUM(L272:L276)</f>
        <v>23715</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280126</v>
      </c>
      <c r="E279" s="616"/>
      <c r="F279" s="616"/>
      <c r="G279" s="616"/>
      <c r="H279" s="616"/>
      <c r="I279" s="616"/>
      <c r="J279" s="616"/>
      <c r="K279" s="1677">
        <f>SUM(K238,K243,K257,K261,K270,K277,K278)</f>
        <v>280126</v>
      </c>
      <c r="L279" s="1677">
        <f>SUM(L238,L243,L257,L261,L270,L277,L278)</f>
        <v>285210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546334</v>
      </c>
      <c r="E295" s="616"/>
      <c r="F295" s="616"/>
      <c r="G295" s="616"/>
      <c r="H295" s="1670">
        <f>H293</f>
        <v>0</v>
      </c>
      <c r="I295" s="616"/>
      <c r="J295" s="616"/>
      <c r="K295" s="1670">
        <f>SUM(K229,K279,K280,K285,K293,K294)</f>
        <v>546334</v>
      </c>
      <c r="L295" s="1670">
        <f>SUM(L229,L279,L280,L285,L293,L294)</f>
        <v>528195</v>
      </c>
    </row>
    <row r="296" spans="1:14" ht="13.5" thickTop="1" x14ac:dyDescent="0.2">
      <c r="A296" s="2153" t="s">
        <v>996</v>
      </c>
      <c r="B296" s="2154"/>
      <c r="C296" s="616"/>
      <c r="D296" s="618"/>
      <c r="E296" s="616"/>
      <c r="F296" s="616"/>
      <c r="G296" s="616"/>
      <c r="H296" s="687"/>
      <c r="I296" s="616"/>
      <c r="J296" s="616"/>
      <c r="K296" s="1684">
        <f>'Revenues 9-14'!G268-'Expenditures 15-22'!K295</f>
        <v>-121789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707388</v>
      </c>
      <c r="F301" s="466"/>
      <c r="G301" s="466">
        <f>4393161+536172</f>
        <v>4929333</v>
      </c>
      <c r="H301" s="466"/>
      <c r="I301" s="467"/>
      <c r="J301" s="467"/>
      <c r="K301" s="1671">
        <f>SUM(C301:J301)</f>
        <v>5636721</v>
      </c>
      <c r="L301" s="467">
        <f>6658761+161071</f>
        <v>6819832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707388</v>
      </c>
      <c r="F303" s="1677">
        <f t="shared" si="23"/>
        <v>0</v>
      </c>
      <c r="G303" s="1677">
        <f t="shared" si="23"/>
        <v>4929333</v>
      </c>
      <c r="H303" s="1677">
        <f t="shared" si="23"/>
        <v>0</v>
      </c>
      <c r="I303" s="1677">
        <f t="shared" si="23"/>
        <v>0</v>
      </c>
      <c r="J303" s="1677">
        <f t="shared" si="23"/>
        <v>0</v>
      </c>
      <c r="K303" s="1677">
        <f t="shared" si="23"/>
        <v>5636721</v>
      </c>
      <c r="L303" s="1677">
        <f t="shared" si="23"/>
        <v>6819832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707388</v>
      </c>
      <c r="F312" s="1670">
        <f>SUM(F303)</f>
        <v>0</v>
      </c>
      <c r="G312" s="1670">
        <f>SUM(G303)</f>
        <v>4929333</v>
      </c>
      <c r="H312" s="1670">
        <f>SUM(H303,H310)</f>
        <v>0</v>
      </c>
      <c r="I312" s="1670">
        <f>SUM(I303)</f>
        <v>0</v>
      </c>
      <c r="J312" s="1670">
        <f>SUM(J303)</f>
        <v>0</v>
      </c>
      <c r="K312" s="1670">
        <f>SUM(K303,K310,K311)</f>
        <v>5636721</v>
      </c>
      <c r="L312" s="1670">
        <f>SUM(L303,L310,L311)</f>
        <v>6819832</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-5558471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72539</v>
      </c>
      <c r="F322" s="467"/>
      <c r="G322" s="467"/>
      <c r="H322" s="467"/>
      <c r="I322" s="467"/>
      <c r="J322" s="467"/>
      <c r="K322" s="1671">
        <f t="shared" si="24"/>
        <v>72539</v>
      </c>
      <c r="L322" s="467">
        <v>72600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24000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62141</v>
      </c>
      <c r="F328" s="474"/>
      <c r="G328" s="474"/>
      <c r="H328" s="474"/>
      <c r="I328" s="474"/>
      <c r="J328" s="474"/>
      <c r="K328" s="1699">
        <f>SUM(C328:J328)</f>
        <v>62141</v>
      </c>
      <c r="L328" s="474">
        <v>62200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134680</v>
      </c>
      <c r="F330" s="1670">
        <f t="shared" si="25"/>
        <v>0</v>
      </c>
      <c r="G330" s="1670">
        <f t="shared" si="25"/>
        <v>0</v>
      </c>
      <c r="H330" s="1670">
        <f t="shared" si="25"/>
        <v>0</v>
      </c>
      <c r="I330" s="1670">
        <f t="shared" si="25"/>
        <v>0</v>
      </c>
      <c r="J330" s="1670">
        <f t="shared" si="25"/>
        <v>0</v>
      </c>
      <c r="K330" s="1670">
        <f>SUM(K319:K329)</f>
        <v>134680</v>
      </c>
      <c r="L330" s="1670">
        <f>SUM(L319:L329)</f>
        <v>158800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134680</v>
      </c>
      <c r="F342" s="1670">
        <f>SUM(F330)</f>
        <v>0</v>
      </c>
      <c r="G342" s="1670">
        <f>SUM(G330)</f>
        <v>0</v>
      </c>
      <c r="H342" s="1670">
        <f>SUM(H330,H334,H340)</f>
        <v>0</v>
      </c>
      <c r="I342" s="1670">
        <f>SUM(I330)</f>
        <v>0</v>
      </c>
      <c r="J342" s="1670">
        <f>SUM(J330)</f>
        <v>0</v>
      </c>
      <c r="K342" s="1670">
        <f>SUM(K330,K334,K340)</f>
        <v>134680</v>
      </c>
      <c r="L342" s="1677">
        <f>SUM(L330,L340,L341)</f>
        <v>158800</v>
      </c>
    </row>
    <row r="343" spans="1:14" ht="12.75" customHeight="1" thickTop="1" x14ac:dyDescent="0.2">
      <c r="A343" s="2166" t="s">
        <v>996</v>
      </c>
      <c r="B343" s="2167"/>
      <c r="C343" s="616"/>
      <c r="D343" s="616"/>
      <c r="E343" s="616"/>
      <c r="F343" s="616"/>
      <c r="G343" s="616"/>
      <c r="H343" s="616"/>
      <c r="I343" s="616"/>
      <c r="J343" s="616"/>
      <c r="K343" s="1684">
        <f>'Revenues 9-14'!J268-'Expenditures 15-22'!K342</f>
        <v>-120839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747272</v>
      </c>
      <c r="H349" s="466"/>
      <c r="I349" s="467"/>
      <c r="J349" s="467"/>
      <c r="K349" s="1671">
        <f>SUM(C349:J349)</f>
        <v>747272</v>
      </c>
      <c r="L349" s="466">
        <v>1500000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747272</v>
      </c>
      <c r="H350" s="1670">
        <f t="shared" si="26"/>
        <v>0</v>
      </c>
      <c r="I350" s="1670">
        <f t="shared" si="26"/>
        <v>0</v>
      </c>
      <c r="J350" s="1670">
        <f t="shared" si="26"/>
        <v>0</v>
      </c>
      <c r="K350" s="1670">
        <f t="shared" si="26"/>
        <v>747272</v>
      </c>
      <c r="L350" s="1670">
        <f t="shared" si="26"/>
        <v>1500000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747272</v>
      </c>
      <c r="H352" s="1670">
        <f t="shared" si="27"/>
        <v>0</v>
      </c>
      <c r="I352" s="1670">
        <f t="shared" si="27"/>
        <v>0</v>
      </c>
      <c r="J352" s="1670">
        <f t="shared" si="27"/>
        <v>0</v>
      </c>
      <c r="K352" s="1670">
        <f t="shared" si="27"/>
        <v>747272</v>
      </c>
      <c r="L352" s="1670">
        <f t="shared" si="27"/>
        <v>1500000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747272</v>
      </c>
      <c r="H367" s="1670">
        <f t="shared" si="28"/>
        <v>0</v>
      </c>
      <c r="I367" s="1670">
        <f t="shared" si="28"/>
        <v>0</v>
      </c>
      <c r="J367" s="1670">
        <f t="shared" si="28"/>
        <v>0</v>
      </c>
      <c r="K367" s="1670">
        <f t="shared" si="28"/>
        <v>747272</v>
      </c>
      <c r="L367" s="1670">
        <f t="shared" si="28"/>
        <v>1500000</v>
      </c>
    </row>
    <row r="368" spans="1:14" ht="13.5" thickTop="1" x14ac:dyDescent="0.2">
      <c r="A368" s="2153" t="s">
        <v>996</v>
      </c>
      <c r="B368" s="2154"/>
      <c r="C368" s="654"/>
      <c r="D368" s="654"/>
      <c r="E368" s="626"/>
      <c r="F368" s="626"/>
      <c r="G368" s="626"/>
      <c r="H368" s="626"/>
      <c r="I368" s="626"/>
      <c r="J368" s="623"/>
      <c r="K368" s="1671">
        <f>'Revenues 9-14'!K268-'Expenditures 15-22'!K367</f>
        <v>-205596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documentManagement/types"/>
    <ds:schemaRef ds:uri="http://purl.org/dc/elements/1.1/"/>
    <ds:schemaRef ds:uri="4d435f69-8686-490b-bd6d-b153bf22ab50"/>
    <ds:schemaRef ds:uri="d21dc803-237d-4c68-8692-8d731fd29118"/>
    <ds:schemaRef ds:uri="http://purl.org/dc/terms/"/>
    <ds:schemaRef ds:uri="http://schemas.microsoft.com/office/infopath/2007/PartnerControls"/>
    <ds:schemaRef ds:uri="http://purl.org/dc/dcmitype/"/>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2019-12-18T15:31:37Z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