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D5" i="29" l="1"/>
  <c r="C39" i="3"/>
  <c r="C4" i="3"/>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I12" i="11" l="1"/>
  <c r="H70" i="29" l="1"/>
  <c r="C63" i="29"/>
  <c r="F63" i="29"/>
  <c r="E36" i="29"/>
  <c r="C5" i="29"/>
  <c r="C65" i="5"/>
  <c r="H63" i="29"/>
  <c r="G63" i="29"/>
  <c r="E63" i="29"/>
  <c r="D63" i="29"/>
  <c r="C74" i="5"/>
  <c r="E124" i="29"/>
  <c r="F124" i="29"/>
  <c r="G124" i="29"/>
  <c r="H124" i="29"/>
  <c r="E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E71" i="181"/>
  <c r="F71" i="181" s="1"/>
  <c r="G71" i="181" s="1"/>
  <c r="E70" i="181"/>
  <c r="F70" i="181" s="1"/>
  <c r="G70" i="181" s="1"/>
  <c r="E69" i="181"/>
  <c r="F69" i="181" s="1"/>
  <c r="G69" i="181" s="1"/>
  <c r="E68" i="181"/>
  <c r="F68" i="181" s="1"/>
  <c r="G68" i="181" s="1"/>
  <c r="E67" i="181"/>
  <c r="F67" i="181" s="1"/>
  <c r="G67" i="181" s="1"/>
  <c r="E66" i="181"/>
  <c r="F66" i="181" s="1"/>
  <c r="G66" i="181" s="1"/>
  <c r="E65" i="181"/>
  <c r="E64" i="181"/>
  <c r="E63" i="181"/>
  <c r="F63" i="181" s="1"/>
  <c r="G63" i="181" s="1"/>
  <c r="E62" i="181"/>
  <c r="F62" i="181" s="1"/>
  <c r="G62" i="181" s="1"/>
  <c r="E61" i="181"/>
  <c r="F61" i="181" s="1"/>
  <c r="G61" i="181" s="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65" i="181" l="1"/>
  <c r="G65" i="181" s="1"/>
  <c r="F64" i="181"/>
  <c r="G64" i="181" s="1"/>
  <c r="F60" i="181"/>
  <c r="G60" i="181" s="1"/>
  <c r="F58" i="181"/>
  <c r="G58"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G39" i="108" s="1"/>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5" i="127"/>
  <c r="B66" i="127"/>
  <c r="E26" i="108"/>
  <c r="G26" i="108"/>
  <c r="D27" i="108"/>
  <c r="E27" i="108"/>
  <c r="F27" i="108"/>
  <c r="G27" i="108"/>
  <c r="F36" i="108"/>
  <c r="F37" i="108"/>
  <c r="G28" i="108"/>
  <c r="D36" i="108"/>
  <c r="D37" i="108"/>
  <c r="E31" i="108"/>
  <c r="G31" i="108"/>
  <c r="E33" i="108"/>
  <c r="G33" i="108"/>
  <c r="E34" i="108"/>
  <c r="G34" i="108"/>
  <c r="E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9" i="7"/>
  <c r="B1767" i="106" s="1"/>
  <c r="D1767" i="106" s="1"/>
  <c r="B5752" i="106"/>
  <c r="D5752" i="106" s="1"/>
  <c r="D17" i="7"/>
  <c r="B4104" i="106" s="1"/>
  <c r="D4104" i="106" s="1"/>
  <c r="B7076" i="106" l="1"/>
  <c r="D7076" i="106" s="1"/>
  <c r="B1308" i="106"/>
  <c r="D1308" i="106" s="1"/>
  <c r="E174" i="29"/>
  <c r="B1309" i="106" s="1"/>
  <c r="D1309" i="106" s="1"/>
  <c r="B7235" i="106"/>
  <c r="D7235" i="106" s="1"/>
  <c r="L13" i="11"/>
  <c r="B2060" i="106" s="1"/>
  <c r="D2060" i="106" s="1"/>
  <c r="F14" i="4"/>
  <c r="B2597" i="106" s="1"/>
  <c r="D2597" i="106" s="1"/>
  <c r="K41" i="3"/>
  <c r="B2836" i="106"/>
  <c r="D2836" i="106" s="1"/>
  <c r="B3647" i="106"/>
  <c r="D3647" i="106" s="1"/>
  <c r="G210" i="29"/>
  <c r="D6103" i="106"/>
  <c r="F77" i="4"/>
  <c r="B3255" i="106" s="1"/>
  <c r="D3255" i="106" s="1"/>
  <c r="G35" i="108"/>
  <c r="F31" i="108"/>
  <c r="D26" i="108"/>
  <c r="D41" i="108" s="1"/>
  <c r="E43" i="108" s="1"/>
  <c r="F26" i="108"/>
  <c r="B1126" i="106"/>
  <c r="D1126" i="106" s="1"/>
  <c r="F38" i="34"/>
  <c r="E30" i="108"/>
  <c r="G30" i="108"/>
  <c r="F28" i="108"/>
  <c r="E28" i="108"/>
  <c r="G29" i="108"/>
  <c r="K184" i="29"/>
  <c r="F13" i="4" s="1"/>
  <c r="B2596" i="106" s="1"/>
  <c r="D2596" i="106" s="1"/>
  <c r="E29" i="108"/>
  <c r="F19" i="7"/>
  <c r="B1807" i="106" s="1"/>
  <c r="D1807" i="106" s="1"/>
  <c r="D31" i="36"/>
  <c r="D11" i="37"/>
  <c r="H29" i="118"/>
  <c r="K28" i="118" s="1"/>
  <c r="O27" i="118" s="1"/>
  <c r="O29" i="118" s="1"/>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3568" i="106"/>
  <c r="D3568" i="106" s="1"/>
  <c r="D52" i="36"/>
  <c r="D7254" i="106"/>
  <c r="L16" i="11"/>
  <c r="B2061" i="106" s="1"/>
  <c r="D2061" i="106" s="1"/>
  <c r="D7255" i="106"/>
  <c r="D7256" i="106"/>
  <c r="D7251" i="106"/>
  <c r="D7253" i="106"/>
  <c r="D7250" i="106"/>
  <c r="D44" i="36"/>
  <c r="B1365" i="106"/>
  <c r="D1365" i="106" s="1"/>
  <c r="F65" i="34"/>
  <c r="D7252" i="106"/>
  <c r="F41" i="108"/>
  <c r="G43" i="108" s="1"/>
  <c r="C114" i="29"/>
  <c r="B757" i="106" s="1"/>
  <c r="D757" i="106" s="1"/>
  <c r="H151" i="29"/>
  <c r="B1273" i="106" s="1"/>
  <c r="D1273" i="106" s="1"/>
  <c r="B5527" i="106"/>
  <c r="D5527" i="106" s="1"/>
  <c r="F174" i="34"/>
  <c r="K342" i="29"/>
  <c r="F13" i="34" s="1"/>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<sst xmlns="http://schemas.openxmlformats.org/spreadsheetml/2006/main" count="5463" uniqueCount="2255">
  <si>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</si>
  <si>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</si>
  <si>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</si>
  <si>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</si>
  <si>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</si>
  <si>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</si>
  <si>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</si>
  <si>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</si>
  <si>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</si>
  <si>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</si>
  <si>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</si>
  <si>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</si>
  <si>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</si>
  <si>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</si>
  <si>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</si>
  <si>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</si>
  <si>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</si>
  <si>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</si>
  <si>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</si>
  <si>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</si>
  <si>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</si>
  <si>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</si>
  <si>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</si>
  <si>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</si>
  <si>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</si>
  <si>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</si>
  <si>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</si>
  <si>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</si>
  <si>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</si>
  <si>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</si>
  <si>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</si>
  <si>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</si>
  <si>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</si>
  <si>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</si>
  <si>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</si>
  <si>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</si>
  <si>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</si>
  <si>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</si>
  <si>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</si>
  <si>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</si>
  <si>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</si>
  <si>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</si>
  <si>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</si>
  <si>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</si>
  <si>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</si>
  <si>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</si>
  <si>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</si>
  <si>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</si>
  <si>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</si>
  <si>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</si>
  <si>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</si>
  <si>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</si>
  <si>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</si>
  <si>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</si>
  <si>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</si>
  <si>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</si>
  <si>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</si>
  <si>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</si>
  <si>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</si>
  <si>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</si>
  <si>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</si>
  <si>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</si>
  <si>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</si>
  <si>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</si>
  <si>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</si>
  <si>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</si>
  <si>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</si>
  <si>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</si>
  <si>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</si>
  <si>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</si>
  <si>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</si>
  <si>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</si>
  <si>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</si>
  <si>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</si>
  <si>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</si>
  <si>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</si>
  <si>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</si>
  <si>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</si>
  <si>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</si>
  <si>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</si>
  <si>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</si>
  <si>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</si>
  <si>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</si>
  <si>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</si>
  <si>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</si>
  <si>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</si>
  <si>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</si>
  <si>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</si>
  <si>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</si>
  <si>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</si>
  <si>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</si>
  <si>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</si>
  <si>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</si>
  <si>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</si>
  <si>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</si>
  <si>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</si>
  <si>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</si>
  <si>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</si>
  <si>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</si>
  <si>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</si>
  <si>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</si>
  <si>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</si>
  <si>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</si>
  <si>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</si>
  <si>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</si>
  <si>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</si>
  <si>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</si>
  <si>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</si>
  <si>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</si>
  <si>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</si>
  <si>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</si>
  <si>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</si>
  <si>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</si>
  <si>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</si>
  <si>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</si>
  <si>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</si>
  <si>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</si>
  <si>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</si>
  <si>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</si>
  <si>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</si>
  <si>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</si>
  <si>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</si>
  <si>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</si>
  <si>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</si>
  <si>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</si>
  <si>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</si>
  <si>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</si>
  <si>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</si>
  <si>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</si>
  <si>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</si>
  <si>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</si>
  <si>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</si>
  <si>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</si>
  <si>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</si>
  <si>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</si>
  <si>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</si>
  <si>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</si>
  <si>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</si>
  <si>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</si>
  <si>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</si>
  <si>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</si>
  <si>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</si>
  <si>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</si>
  <si>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</si>
  <si>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</si>
  <si>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</si>
  <si>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</si>
  <si>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</si>
  <si>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</si>
  <si>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</si>
  <si>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</si>
  <si>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</si>
  <si>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</si>
  <si>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</si>
  <si>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</si>
  <si>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</si>
  <si>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</si>
  <si>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</si>
  <si>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</si>
  <si>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</si>
  <si>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</si>
  <si>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</si>
  <si>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</si>
  <si>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</si>
  <si>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</si>
  <si>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</si>
  <si>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</si>
  <si>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</si>
  <si>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</si>
  <si>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</si>
  <si>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</si>
  <si>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</si>
  <si>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</si>
  <si>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</si>
  <si>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</si>
  <si>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</si>
  <si>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</si>
  <si>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</si>
  <si>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</si>
  <si>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</si>
  <si>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</si>
  <si>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</si>
  <si>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</si>
  <si>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</si>
  <si>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</si>
  <si>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</si>
  <si>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</si>
  <si>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</si>
  <si>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</si>
  <si>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</si>
  <si>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</si>
  <si>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</si>
  <si>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</si>
  <si>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</si>
  <si>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</si>
  <si>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</si>
  <si>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</si>
  <si>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</si>
  <si>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</si>
  <si>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</si>
  <si>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</si>
  <si>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</si>
  <si>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</si>
  <si>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</si>
  <si>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</si>
  <si>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</si>
  <si>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</si>
  <si>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</si>
  <si>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</si>
  <si>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</si>
  <si>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</si>
  <si>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</si>
  <si>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</si>
  <si>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</si>
  <si>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</si>
  <si>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</si>
  <si>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</si>
  <si>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</si>
  <si>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</si>
  <si>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</si>
  <si>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</si>
  <si>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</si>
  <si>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</si>
  <si>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</si>
  <si>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</si>
  <si>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</si>
  <si>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</si>
  <si>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</si>
  <si>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</si>
  <si>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</si>
  <si>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</si>
  <si>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</si>
  <si>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</si>
  <si>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</si>
  <si>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</si>
  <si>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</si>
  <si>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</si>
  <si>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</si>
  <si>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</si>
  <si>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</si>
  <si>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</si>
  <si>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</si>
  <si>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</si>
  <si>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</si>
  <si>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</si>
  <si>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</si>
  <si>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</si>
  <si>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</si>
  <si>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</si>
  <si>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</si>
  <si>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</si>
  <si>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</si>
  <si>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</si>
  <si>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</si>
  <si>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</si>
  <si>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</si>
  <si>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</si>
  <si>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</si>
  <si>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</si>
  <si>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</si>
  <si>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</si>
  <si>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</si>
  <si>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</si>
  <si>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</si>
  <si>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</si>
  <si>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</si>
  <si>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</si>
  <si>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</si>
  <si>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</si>
  <si>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</si>
  <si>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</si>
  <si>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</si>
  <si>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</si>
  <si>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</si>
  <si>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</si>
  <si>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</si>
  <si>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</si>
  <si>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</si>
  <si>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</si>
  <si>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</si>
  <si>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</si>
  <si>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</si>
  <si>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</si>
  <si>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</si>
  <si>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</si>
  <si>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</si>
  <si>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</si>
  <si>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</si>
  <si>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</si>
  <si>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</si>
  <si>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</si>
  <si>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</si>
  <si>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</si>
  <si>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</si>
  <si>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</si>
  <si>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</si>
  <si>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</si>
  <si>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</si>
  <si>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</si>
  <si>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</si>
  <si>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</si>
  <si>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</si>
  <si>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</si>
  <si>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</si>
  <si>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</si>
  <si>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</si>
  <si>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</si>
  <si>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</si>
  <si>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</si>
  <si>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</si>
  <si>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</si>
  <si>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</si>
  <si>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</si>
  <si>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</si>
  <si>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</si>
  <si>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</si>
  <si>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</si>
  <si>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</si>
  <si>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</si>
  <si>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</si>
  <si>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</si>
  <si>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</si>
  <si>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</si>
  <si>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</si>
  <si>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</si>
  <si>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</si>
  <si>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</si>
  <si>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</si>
  <si>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</si>
  <si>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</si>
  <si>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</si>
  <si>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</si>
  <si>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</si>
  <si>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</si>
  <si>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</si>
  <si>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</si>
  <si>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</si>
  <si>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</si>
  <si>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</si>
  <si>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</si>
  <si>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</si>
  <si>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</si>
  <si>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</si>
  <si>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</si>
  <si>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</si>
  <si>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</si>
  <si>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</si>
  <si>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</si>
  <si>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</si>
  <si>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</si>
  <si>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</si>
  <si>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</si>
  <si>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</si>
  <si>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</si>
  <si>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</si>
  <si>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</si>
  <si>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</si>
  <si>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</si>
  <si>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</si>
  <si>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</si>
  <si>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</si>
  <si>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</si>
  <si>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</si>
  <si>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</si>
  <si>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</si>
  <si>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</si>
  <si>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</si>
  <si>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</si>
  <si>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</si>
  <si>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</si>
  <si>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</si>
  <si>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</si>
  <si>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</si>
  <si>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</si>
  <si>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</si>
  <si>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</si>
  <si>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</si>
  <si>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</si>
  <si>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</si>
  <si>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</si>
  <si>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</si>
  <si>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</si>
  <si>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</si>
  <si>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</si>
  <si>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</si>
  <si>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</si>
  <si>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</si>
  <si>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</si>
  <si>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</si>
  <si>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</si>
  <si>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</si>
  <si>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</si>
  <si>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</si>
  <si>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</si>
  <si>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</si>
  <si>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</si>
  <si>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</si>
  <si>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</si>
  <si>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</si>
  <si>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</si>
  <si>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</si>
  <si>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</si>
  <si>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</si>
  <si>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</si>
  <si>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</si>
  <si>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</si>
  <si>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</si>
  <si>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</si>
  <si>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</si>
  <si>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</si>
  <si>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</si>
  <si>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</si>
  <si>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</si>
  <si>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</si>
  <si>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</si>
  <si>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</si>
  <si>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</si>
  <si>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</si>
  <si>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</si>
  <si>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</si>
  <si>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</si>
  <si>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</si>
  <si>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</si>
  <si>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</si>
  <si>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</si>
  <si>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</si>
  <si>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</si>
  <si>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</si>
  <si>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</si>
  <si>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</si>
  <si>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</si>
  <si>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</si>
  <si>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</si>
  <si>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</si>
  <si>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</si>
  <si>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</si>
  <si>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</si>
  <si>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</si>
  <si>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</si>
  <si>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</si>
  <si>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</si>
  <si>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</si>
  <si>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</si>
  <si>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</si>
  <si>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</si>
  <si>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</si>
  <si>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</si>
  <si>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</si>
  <si>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</si>
  <si>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</si>
  <si>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</si>
  <si>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</si>
  <si>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</si>
  <si>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</si>
  <si>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</si>
  <si>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</si>
  <si>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</si>
  <si>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</si>
  <si>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</si>
  <si>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</si>
  <si>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</si>
  <si>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</si>
  <si>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</si>
  <si>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</si>
  <si>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</si>
  <si>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</si>
  <si>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</si>
  <si>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</si>
  <si>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</si>
  <si>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</si>
  <si>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</si>
  <si>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</si>
  <si>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</si>
  <si>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</si>
  <si>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</si>
  <si>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</si>
  <si>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</si>
  <si>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</si>
  <si>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</si>
  <si>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</si>
  <si>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</si>
  <si>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</si>
  <si>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</si>
  <si>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</si>
  <si>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</si>
  <si>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</si>
  <si>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</si>
  <si>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</si>
  <si>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</si>
  <si>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</si>
  <si>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</si>
  <si>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</si>
  <si>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</si>
  <si>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</si>
  <si>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</si>
  <si>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</si>
  <si>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</si>
  <si>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</si>
  <si>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</si>
  <si>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</si>
  <si>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</si>
  <si>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</si>
  <si>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</si>
  <si>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</si>
  <si>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</si>
  <si>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</si>
  <si>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</si>
  <si>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</si>
  <si>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</si>
  <si>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</si>
  <si>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</si>
  <si>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</si>
  <si>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</si>
  <si>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</si>
  <si>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</si>
  <si>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</si>
  <si>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</si>
  <si>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</si>
  <si>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</si>
  <si>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</si>
  <si>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</si>
  <si>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</si>
  <si>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</si>
  <si>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</si>
  <si>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</si>
  <si>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</si>
  <si>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</si>
  <si>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</si>
  <si>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</si>
  <si>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</si>
  <si>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</si>
  <si>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</si>
  <si>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</si>
  <si>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</si>
  <si>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</si>
  <si>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</si>
  <si>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</si>
  <si>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</si>
  <si>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</si>
  <si>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</si>
  <si>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</si>
  <si>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</si>
  <si>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</si>
  <si>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</si>
  <si>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</si>
  <si>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</si>
  <si>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</si>
  <si>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</si>
  <si>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</si>
  <si>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</si>
  <si>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</si>
  <si>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</si>
  <si>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</si>
  <si>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</si>
  <si>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</si>
  <si>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</si>
  <si>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</si>
  <si>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</si>
  <si>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</si>
  <si>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</si>
  <si>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</si>
  <si>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</si>
  <si>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</si>
  <si>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</si>
  <si>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</si>
  <si>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</si>
  <si>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</si>
  <si>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</si>
  <si>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</si>
  <si>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</si>
  <si>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</si>
  <si>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</si>
  <si>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</si>
  <si>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</si>
  <si>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</si>
  <si>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</si>
  <si>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</si>
  <si>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</si>
  <si>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</si>
  <si>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</si>
  <si>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</si>
  <si>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</si>
  <si>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</si>
  <si>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</si>
  <si>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</si>
  <si>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</si>
  <si>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</si>
  <si>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</si>
  <si>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</si>
  <si>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</si>
  <si>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</si>
  <si>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</si>
  <si>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</si>
  <si>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</si>
  <si>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</si>
  <si>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</si>
  <si>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</si>
  <si>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</si>
  <si>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</si>
  <si>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</si>
  <si>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</si>
  <si>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</si>
  <si>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</si>
  <si>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</si>
  <si>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</si>
  <si>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</si>
  <si>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</si>
  <si>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</si>
  <si>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</si>
  <si>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</si>
  <si>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</si>
  <si>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</si>
  <si>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</si>
  <si>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</si>
  <si>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</si>
  <si>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</si>
  <si>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</si>
  <si>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</si>
  <si>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</si>
  <si>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</si>
  <si>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</si>
  <si>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</si>
  <si>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</si>
  <si>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</si>
  <si>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</si>
  <si>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</si>
  <si>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</si>
  <si>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</si>
  <si>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</si>
  <si>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</si>
  <si>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</si>
  <si>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</si>
  <si>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</si>
  <si>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</si>
  <si>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</si>
  <si>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</si>
  <si>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</si>
  <si>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</si>
  <si>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</si>
  <si>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</si>
  <si>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</si>
  <si>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</si>
  <si>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</si>
  <si>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</si>
  <si>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</si>
  <si>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</si>
  <si>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</si>
  <si>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</si>
  <si>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</si>
  <si>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</si>
  <si>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</si>
  <si>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</si>
  <si>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</si>
  <si>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</si>
  <si>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</si>
  <si>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</si>
  <si>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</si>
  <si>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</si>
  <si>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</si>
  <si>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</si>
  <si>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</si>
  <si>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</si>
  <si>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</si>
  <si>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</si>
  <si>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</si>
  <si>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</si>
  <si>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</si>
  <si>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</si>
  <si>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</si>
  <si>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</si>
  <si>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</si>
  <si>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</si>
  <si>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</si>
  <si>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</si>
  <si>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</si>
  <si>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</si>
  <si>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</si>
  <si>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</si>
  <si>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</si>
  <si>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</si>
  <si>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</si>
  <si>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</si>
  <si>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</si>
  <si>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</si>
  <si>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</si>
  <si>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</si>
  <si>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</si>
  <si>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</si>
  <si>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</si>
  <si>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</si>
  <si>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</si>
  <si>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</si>
  <si>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</si>
  <si>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</si>
  <si>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</si>
  <si>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</si>
  <si>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</si>
  <si>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</si>
  <si>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</si>
  <si>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</si>
  <si>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</si>
  <si>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</si>
  <si>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</si>
  <si>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</si>
  <si>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</si>
  <si>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</si>
  <si>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</si>
  <si>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</si>
  <si>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</si>
  <si>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</si>
  <si>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</si>
  <si>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</si>
  <si>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</si>
  <si>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</si>
  <si>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</si>
  <si>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</si>
  <si>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</si>
  <si>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</si>
  <si>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</si>
  <si>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</si>
  <si>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</si>
  <si>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</si>
  <si>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</si>
  <si>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</si>
  <si>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</si>
  <si>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</si>
  <si>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</si>
  <si>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</si>
  <si>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</si>
  <si>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</si>
  <si>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</si>
  <si>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</si>
  <si>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</si>
  <si>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</si>
  <si>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</si>
  <si>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</si>
  <si>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</si>
  <si>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</si>
  <si>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</si>
  <si>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</si>
  <si>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</si>
  <si>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</si>
  <si>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</si>
  <si>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</si>
  <si>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</si>
  <si>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</si>
  <si>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</si>
  <si>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</si>
  <si>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</si>
  <si>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</si>
  <si>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</si>
  <si>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</si>
  <si>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</si>
  <si>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</si>
  <si>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</si>
  <si>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</si>
  <si>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</si>
  <si>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</si>
  <si>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</si>
  <si>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</si>
  <si>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</si>
  <si>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</si>
  <si>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</si>
  <si>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</si>
  <si>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</si>
  <si>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</si>
  <si>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</si>
  <si>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</si>
  <si>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</si>
  <si>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</si>
  <si>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</si>
  <si>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</si>
  <si>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</si>
  <si>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</si>
  <si>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</si>
  <si>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</si>
  <si>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</si>
  <si>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</si>
  <si>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</si>
  <si>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</si>
  <si>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</si>
  <si>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</si>
  <si>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</si>
  <si>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</si>
  <si>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</si>
  <si>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</si>
  <si>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</si>
  <si>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</si>
  <si>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</si>
  <si>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</si>
  <si>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</si>
  <si>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</si>
  <si>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</si>
  <si>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</si>
  <si>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</si>
  <si>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</si>
  <si>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</si>
  <si>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</si>
  <si>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</si>
  <si>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</si>
  <si>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</si>
  <si>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</si>
  <si>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</si>
  <si>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</si>
  <si>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</si>
  <si>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</si>
  <si>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</si>
  <si>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</si>
  <si>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</si>
  <si>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</si>
  <si>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</si>
  <si>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</si>
  <si>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</si>
  <si>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</si>
  <si>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</si>
  <si>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</si>
  <si>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</si>
  <si>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</si>
  <si>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</si>
  <si>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</si>
  <si>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</si>
  <si>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</si>
  <si>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</si>
  <si>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</si>
  <si>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</si>
  <si>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</si>
  <si>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</si>
  <si>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</si>
  <si>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</si>
  <si>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</si>
  <si>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</si>
  <si>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</si>
  <si>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</si>
  <si>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</si>
  <si>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</si>
  <si>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</si>
  <si>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</si>
  <si>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</si>
  <si>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</si>
  <si>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</si>
  <si>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</si>
  <si>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</si>
  <si>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</si>
  <si>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</si>
  <si>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</si>
  <si>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</si>
  <si>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</si>
  <si>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</si>
  <si>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</si>
  <si>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</si>
  <si>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</si>
  <si>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</si>
  <si>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</si>
  <si>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</si>
  <si>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</si>
  <si>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</si>
  <si>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</si>
  <si>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</si>
  <si>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</si>
  <si>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</si>
  <si>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</si>
  <si>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</si>
  <si>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</si>
  <si>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</si>
  <si>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</si>
  <si>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</si>
  <si>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</si>
  <si>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</si>
  <si>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</si>
  <si>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</si>
  <si>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</si>
  <si>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</si>
  <si>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</si>
  <si>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</si>
  <si>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</si>
  <si>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</si>
  <si>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</si>
  <si>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</si>
  <si>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</si>
  <si>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</si>
  <si>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</si>
  <si>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</si>
  <si>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</si>
  <si>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</si>
  <si>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</si>
  <si>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</si>
  <si>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</si>
  <si>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</si>
  <si>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</si>
  <si>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</si>
  <si>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</si>
  <si>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</si>
  <si>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</si>
  <si>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</si>
  <si>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</si>
  <si>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</si>
  <si>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</si>
  <si>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</si>
  <si>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</si>
  <si>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</si>
  <si>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</si>
  <si>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</si>
  <si>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</si>
  <si>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</si>
  <si>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</si>
  <si>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</si>
  <si>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</si>
  <si>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</si>
  <si>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</si>
  <si>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</si>
  <si>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</si>
  <si>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</si>
  <si>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</si>
  <si>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</si>
  <si>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</si>
  <si>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</si>
  <si>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</si>
  <si>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</si>
  <si>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</si>
  <si>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</si>
  <si>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</si>
  <si>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</si>
  <si>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</si>
  <si>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</si>
  <si>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</si>
  <si>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</si>
  <si>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</si>
  <si>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</si>
  <si>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</si>
  <si>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</si>
  <si>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</si>
  <si>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</si>
  <si>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</si>
  <si>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</si>
  <si>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</si>
  <si>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</si>
  <si>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</si>
  <si>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</si>
  <si>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</si>
  <si>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</si>
  <si>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</si>
  <si>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</si>
  <si>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</si>
  <si>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</si>
  <si>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</si>
  <si>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</si>
  <si>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</si>
  <si>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</si>
  <si>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</si>
  <si>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</si>
  <si>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</si>
  <si>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</si>
  <si>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</si>
  <si>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</si>
  <si>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</si>
  <si>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</si>
  <si>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</si>
  <si>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</si>
  <si>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</si>
  <si>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</si>
  <si>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</si>
  <si>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</si>
  <si>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</si>
  <si>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</si>
  <si>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</si>
  <si>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</si>
  <si>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</si>
  <si>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</si>
  <si>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</si>
  <si>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</si>
  <si>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</si>
  <si>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</si>
  <si>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</si>
  <si>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</si>
  <si>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</si>
  <si>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</si>
  <si>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</si>
  <si>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</si>
  <si>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</si>
  <si>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</si>
  <si>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</si>
  <si>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</si>
  <si>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</si>
  <si>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</si>
  <si>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</si>
  <si>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</si>
  <si>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</si>
  <si>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</si>
  <si>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</si>
  <si>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</si>
  <si>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</si>
  <si>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</si>
  <si>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</si>
  <si>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</si>
  <si>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</si>
  <si>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</si>
  <si>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</si>
  <si>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</si>
  <si>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</si>
  <si>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</si>
  <si>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</si>
  <si>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</si>
  <si>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</si>
  <si>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</si>
  <si>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</si>
  <si>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</si>
  <si>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</si>
  <si>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</si>
  <si>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</si>
  <si>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</si>
  <si>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</si>
  <si>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</si>
  <si>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</si>
  <si>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</si>
  <si>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</si>
  <si>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</si>
  <si>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</si>
  <si>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</si>
  <si>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</si>
  <si>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</si>
  <si>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</si>
  <si>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</si>
  <si>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</si>
  <si>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</si>
  <si>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</si>
  <si>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</si>
  <si>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</si>
  <si>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</si>
  <si>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</si>
  <si>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</si>
  <si>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</si>
  <si>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</si>
  <si>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</si>
  <si>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</si>
  <si>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</si>
  <si>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</si>
  <si>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</si>
  <si>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</si>
  <si>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</si>
  <si>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</si>
  <si>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</si>
  <si>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</si>
  <si>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</si>
  <si>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</si>
  <si>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</si>
  <si>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</si>
  <si>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</si>
  <si>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</si>
  <si>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</si>
  <si>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</si>
  <si>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</si>
  <si>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</si>
  <si>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</si>
  <si>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</si>
  <si>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</si>
  <si>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</si>
  <si>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</si>
  <si>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</si>
  <si>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</si>
  <si>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</si>
  <si>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</si>
  <si>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</si>
  <si>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</si>
  <si>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</si>
  <si>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</si>
  <si>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</si>
  <si>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</si>
  <si>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</si>
  <si>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</si>
  <si>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</si>
  <si>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</si>
  <si>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</si>
  <si>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</si>
  <si>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</si>
  <si>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</si>
  <si>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</si>
  <si>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</si>
  <si>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</si>
  <si>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</si>
  <si>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</si>
  <si>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</si>
  <si>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</si>
  <si>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</si>
  <si>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</si>
  <si>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</si>
  <si>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</si>
  <si>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</si>
  <si>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</si>
  <si>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</si>
  <si>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</si>
  <si>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</si>
  <si>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</si>
  <si>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</si>
  <si>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</si>
  <si>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</si>
  <si>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</si>
  <si>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</si>
  <si>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</si>
  <si>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</si>
  <si>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</si>
  <si>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</si>
  <si>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</si>
  <si>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</si>
  <si>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</si>
  <si>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</si>
  <si>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</si>
  <si>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</si>
  <si>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</si>
  <si>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</si>
  <si>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</si>
  <si>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</si>
  <si>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</si>
  <si>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</si>
  <si>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</si>
  <si>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</si>
  <si>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</si>
  <si>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</si>
  <si>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</si>
  <si>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</si>
  <si>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</si>
  <si>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</si>
  <si>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</si>
  <si>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</si>
  <si>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</si>
  <si>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</si>
  <si>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</si>
  <si>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</si>
  <si>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</si>
  <si>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</si>
  <si>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</si>
  <si>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</si>
  <si>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</si>
  <si>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</si>
  <si>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</si>
  <si>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</si>
  <si>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</si>
  <si>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</si>
  <si>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</si>
  <si>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</si>
  <si>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</si>
  <si>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</si>
  <si>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</si>
  <si>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</si>
  <si>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</si>
  <si>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</si>
  <si>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</si>
  <si>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</si>
  <si>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</si>
  <si>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</si>
  <si>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</si>
  <si>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</si>
  <si>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</si>
  <si>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</si>
  <si>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</si>
  <si>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</si>
  <si>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</si>
  <si>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</si>
  <si>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</si>
  <si>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</si>
  <si>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</si>
  <si>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</si>
  <si>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</si>
  <si>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</si>
  <si>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</si>
  <si>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</si>
  <si>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</si>
  <si>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</si>
  <si>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</si>
  <si>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</si>
  <si>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</si>
  <si>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</si>
  <si>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</si>
  <si>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</si>
  <si>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</si>
  <si>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</si>
  <si>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</si>
  <si>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</si>
  <si>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</si>
  <si>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</si>
  <si>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</si>
  <si>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</si>
  <si>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</si>
  <si>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</si>
  <si>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</si>
  <si>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</si>
  <si>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</si>
  <si>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</si>
  <si>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</si>
  <si>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</si>
  <si>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</si>
  <si>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</si>
  <si>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</si>
  <si>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</si>
  <si>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</si>
  <si>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</si>
  <si>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</si>
  <si>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</si>
  <si>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</si>
  <si>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</si>
  <si>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</si>
  <si>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</si>
  <si>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</si>
  <si>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</si>
  <si>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</si>
  <si>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</si>
  <si>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</si>
  <si>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</si>
  <si>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</si>
  <si>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</si>
  <si>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</si>
  <si>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</si>
  <si>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</si>
  <si>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</si>
  <si>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</si>
  <si>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</si>
  <si>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</si>
  <si>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</si>
  <si>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</si>
  <si>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</si>
  <si>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</si>
  <si>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</si>
  <si>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</si>
  <si>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</si>
  <si>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</si>
  <si>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</si>
  <si>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</si>
  <si>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</si>
  <si>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</si>
  <si>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</si>
  <si>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</si>
  <si>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</si>
  <si>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</si>
  <si>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</si>
  <si>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</si>
  <si>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</si>
  <si>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</si>
  <si>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</si>
  <si>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</si>
  <si>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</si>
  <si>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</si>
  <si>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</si>
  <si>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</si>
  <si>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</si>
  <si>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</si>
  <si>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</si>
  <si>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</si>
  <si>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</si>
  <si>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</si>
  <si>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</si>
  <si>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</si>
  <si>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</si>
  <si>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</si>
  <si>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</si>
  <si>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</si>
  <si>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</si>
  <si>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</si>
  <si>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</si>
  <si>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</si>
  <si>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</si>
  <si>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</si>
  <si>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</si>
  <si>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</si>
  <si>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</si>
  <si>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</si>
  <si>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</si>
  <si>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</si>
  <si>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</si>
  <si>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</si>
  <si>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</si>
  <si>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</si>
  <si>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</si>
  <si>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</si>
  <si>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</si>
  <si>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</si>
  <si>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</si>
  <si>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</si>
  <si>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</si>
  <si>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</si>
  <si>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</si>
  <si>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</si>
  <si>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</si>
  <si>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</si>
  <si>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</si>
  <si>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</si>
  <si>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</si>
  <si>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</si>
  <si>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</si>
  <si>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</si>
  <si>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</si>
  <si>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</si>
  <si>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</si>
  <si>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</si>
  <si>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</si>
  <si>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</si>
  <si>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</si>
  <si>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</si>
  <si>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</si>
  <si>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</si>
  <si>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</si>
  <si>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</si>
  <si>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</si>
  <si>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</si>
  <si>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</si>
  <si>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</si>
  <si>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</si>
  <si>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</si>
  <si>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</si>
  <si>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</si>
  <si>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</si>
  <si>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</si>
  <si>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</si>
  <si>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</si>
  <si>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</si>
  <si>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</si>
  <si>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</si>
  <si>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</si>
  <si>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</si>
  <si>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</si>
  <si>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</si>
  <si>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</si>
  <si>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</si>
  <si>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</si>
  <si>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</si>
  <si>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</si>
  <si>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</si>
  <si>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</si>
  <si>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</si>
  <si>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</si>
  <si>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</si>
  <si>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</si>
  <si>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</si>
  <si>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</si>
  <si>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</si>
  <si>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</si>
  <si>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</si>
  <si>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</si>
  <si>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</si>
  <si>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</si>
  <si>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</si>
  <si>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</si>
  <si>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</si>
  <si>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</si>
  <si>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</si>
  <si>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</si>
  <si>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</si>
  <si>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</si>
  <si>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</si>
  <si>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</si>
  <si>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</si>
  <si>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</si>
  <si>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</si>
  <si>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</si>
  <si>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</si>
  <si>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</si>
  <si>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</si>
  <si>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</si>
  <si>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</si>
  <si>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</si>
  <si>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</si>
  <si>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</si>
  <si>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</si>
  <si>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</si>
  <si>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</si>
  <si>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</si>
  <si>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</si>
  <si>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</si>
  <si>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</si>
  <si>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</si>
  <si>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</si>
  <si>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</si>
  <si>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</si>
  <si>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</si>
  <si>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</si>
  <si>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</si>
  <si>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</si>
  <si>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</si>
  <si>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</si>
  <si>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</si>
  <si>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</si>
  <si>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</si>
  <si>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</si>
  <si>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</si>
  <si>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</si>
  <si>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</si>
  <si>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</si>
  <si>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</si>
  <si>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</si>
  <si>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</si>
  <si>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</si>
  <si>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</si>
  <si>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</si>
  <si>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</si>
  <si>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</si>
  <si>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</si>
  <si>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</si>
  <si>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</si>
  <si>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</si>
  <si>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</si>
  <si>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</si>
  <si>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</si>
  <si>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</si>
  <si>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</si>
  <si>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</si>
  <si>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</si>
  <si>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</si>
  <si>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</si>
  <si>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</si>
  <si>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</si>
  <si>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</si>
  <si>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</si>
  <si>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</si>
  <si>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</si>
  <si>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</si>
  <si>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</si>
  <si>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</si>
  <si>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</si>
  <si>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</si>
  <si>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</si>
  <si>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</si>
  <si>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</si>
  <si>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</si>
  <si>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</si>
  <si>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</si>
  <si>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</si>
  <si>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</si>
  <si>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</si>
  <si>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</si>
  <si>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</si>
  <si>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</si>
  <si>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</si>
  <si>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</si>
  <si>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</si>
  <si>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</si>
  <si>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</si>
  <si>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</si>
  <si>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</si>
  <si>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</si>
  <si>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</si>
  <si>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</si>
  <si>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</si>
  <si>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</si>
  <si>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</si>
  <si>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</si>
  <si>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</si>
  <si>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</si>
  <si>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</si>
  <si>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</si>
  <si>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</si>
  <si>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</si>
  <si>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</si>
  <si>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</si>
  <si>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</si>
  <si>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</si>
  <si>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</si>
  <si>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</si>
  <si>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</si>
  <si>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</si>
  <si>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</si>
  <si>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</si>
  <si>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</si>
  <si>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</si>
  <si>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</si>
  <si>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</si>
  <si>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</si>
  <si>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</si>
  <si>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</si>
  <si>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</si>
  <si>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</si>
  <si>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</si>
  <si>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</si>
  <si>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</si>
  <si>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</si>
  <si>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</si>
  <si>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</si>
  <si>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</si>
  <si>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</si>
  <si>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</si>
  <si>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</si>
  <si>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</si>
  <si>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</si>
  <si>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</si>
  <si>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</si>
  <si>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</si>
  <si>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</si>
  <si>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</si>
  <si>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</si>
  <si>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</si>
  <si>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</si>
  <si>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</si>
  <si>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</si>
  <si>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</si>
  <si>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</si>
  <si>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</si>
  <si>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</si>
  <si>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</si>
  <si>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</si>
  <si>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</si>
  <si>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</si>
  <si>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</si>
  <si>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</si>
  <si>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</si>
  <si>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</si>
  <si>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</si>
  <si>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</si>
  <si>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</si>
  <si>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</si>
  <si>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</si>
  <si>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</si>
  <si>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</si>
  <si>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</si>
  <si>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</si>
  <si>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</si>
  <si>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</si>
  <si>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</si>
  <si>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</si>
  <si>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</si>
  <si>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</si>
  <si>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</si>
  <si>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</si>
  <si>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</si>
  <si>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</si>
  <si>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</si>
  <si>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</si>
  <si>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</si>
  <si>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</si>
  <si>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</si>
  <si>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</si>
  <si>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</si>
  <si>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</si>
  <si>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</si>
  <si>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</si>
  <si>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</si>
  <si>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</si>
  <si>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</si>
  <si>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</si>
  <si>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</si>
  <si>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</si>
  <si>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</si>
  <si>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</si>
  <si>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</si>
  <si>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</si>
  <si>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</si>
  <si>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</si>
  <si>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</si>
  <si>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</si>
  <si>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</si>
  <si>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</si>
  <si>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</si>
  <si>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</si>
  <si>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</si>
  <si>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</si>
  <si>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</si>
  <si>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</si>
  <si>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</si>
  <si>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</si>
  <si>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</si>
  <si>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</si>
  <si>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</si>
  <si>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</si>
  <si>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</si>
  <si>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</si>
  <si>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</si>
  <si>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</si>
  <si>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</si>
  <si>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</si>
  <si>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</si>
  <si>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</si>
  <si>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</si>
  <si>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</si>
  <si>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</si>
  <si>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</si>
  <si>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</si>
  <si>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</si>
  <si>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</si>
  <si>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</si>
  <si>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</si>
  <si>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</si>
  <si>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</si>
  <si>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</si>
  <si>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</si>
  <si>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</si>
  <si>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</si>
  <si>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</si>
  <si>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</si>
  <si>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</si>
  <si>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</si>
  <si>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</si>
  <si>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</si>
  <si>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</si>
  <si>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</si>
  <si>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</si>
  <si>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</si>
  <si>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</si>
  <si>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</si>
  <si>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</si>
  <si>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</si>
  <si>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</si>
  <si>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</si>
  <si>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</si>
  <si>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</si>
  <si>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</si>
  <si>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</si>
  <si>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</si>
  <si>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</si>
  <si>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</si>
  <si>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</si>
  <si>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</si>
  <si>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</si>
  <si>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</si>
  <si>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</si>
  <si>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</si>
  <si>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</si>
  <si>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</si>
  <si>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</si>
  <si>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</si>
  <si>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</si>
  <si>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</si>
  <si>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</si>
  <si>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</si>
  <si>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</si>
  <si>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</si>
  <si>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</si>
  <si>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</si>
  <si>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</si>
  <si>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</si>
  <si>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</si>
  <si>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</si>
  <si>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</si>
  <si>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</si>
  <si>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</si>
  <si>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</si>
  <si>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</si>
  <si>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</si>
  <si>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</si>
  <si>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</si>
  <si>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</si>
  <si>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</si>
  <si>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</si>
  <si>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</si>
  <si>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</si>
  <si>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</si>
  <si>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</si>
  <si>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</si>
  <si>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</si>
  <si>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</si>
  <si>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</si>
  <si>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</si>
  <si>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</si>
  <si>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</si>
  <si>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</si>
  <si>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</si>
  <si>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</si>
  <si>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</si>
  <si>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</si>
  <si>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</si>
  <si>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</si>
  <si>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</si>
  <si>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</si>
  <si>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</si>
  <si>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</si>
  <si>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</si>
  <si>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</si>
  <si>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</si>
  <si>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</si>
  <si>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</si>
  <si>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</si>
  <si>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</si>
  <si>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</si>
  <si>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</si>
  <si>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</si>
  <si>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</si>
  <si>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</si>
  <si>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</si>
  <si>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</si>
  <si>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</si>
  <si>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</si>
  <si>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</si>
  <si>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</si>
  <si>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</si>
  <si>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</si>
  <si>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</si>
  <si>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</si>
  <si>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</si>
  <si>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</si>
  <si>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</si>
  <si>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</si>
  <si>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</si>
  <si>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</si>
  <si>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</si>
  <si>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</si>
  <si>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</si>
  <si>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</si>
  <si>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</si>
  <si>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</si>
  <si>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</si>
  <si>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</si>
  <si>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</si>
  <si>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</si>
  <si>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</si>
  <si>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</si>
  <si>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</si>
  <si>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</si>
  <si>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</si>
  <si>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</si>
  <si>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</si>
  <si>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</si>
  <si>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</si>
  <si>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</si>
  <si>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</si>
  <si>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</si>
  <si>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</si>
  <si>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</si>
  <si>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</si>
  <si>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</si>
  <si>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</si>
  <si>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</si>
  <si>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</si>
  <si>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</si>
  <si>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</si>
  <si>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</si>
  <si>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</si>
  <si>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</si>
  <si>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</si>
  <si>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</si>
  <si>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</si>
  <si>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</si>
  <si>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</si>
  <si>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</si>
  <si>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</si>
  <si>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</si>
  <si>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</si>
  <si>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</si>
  <si>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</si>
  <si>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</si>
  <si>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</si>
  <si>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</si>
  <si>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</si>
  <si>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</si>
  <si>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</si>
  <si>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</si>
  <si>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</si>
  <si>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</si>
  <si>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</si>
  <si>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</si>
  <si>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</si>
  <si>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</si>
  <si>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</si>
  <si>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</si>
  <si>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</si>
  <si>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</si>
  <si>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</si>
  <si>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</si>
  <si>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</si>
  <si>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</si>
  <si>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</si>
  <si>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</si>
  <si>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</si>
  <si>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</si>
  <si>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</si>
  <si>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</si>
  <si>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</si>
  <si>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</si>
  <si>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</si>
  <si>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</si>
  <si>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</si>
  <si>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</si>
  <si>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</si>
  <si>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</si>
  <si>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</si>
  <si>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</si>
  <si>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</si>
  <si>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</si>
  <si>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</si>
  <si>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</si>
  <si>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</si>
  <si>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</si>
  <si>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</si>
  <si>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</si>
  <si>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</si>
  <si>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</si>
  <si>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</si>
  <si>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</si>
  <si>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</si>
  <si>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</si>
  <si>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</si>
  <si>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</si>
  <si>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</si>
  <si>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</si>
  <si>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</si>
  <si>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</si>
  <si>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</si>
  <si>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</si>
  <si>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</si>
  <si>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</si>
  <si>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</si>
  <si>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</si>
  <si>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</si>
  <si>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</si>
  <si>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</si>
  <si>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</si>
  <si>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</si>
  <si>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</si>
  <si>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</si>
  <si>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</si>
  <si>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</si>
  <si>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</si>
  <si>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</si>
  <si>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</si>
  <si>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</si>
  <si>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</si>
  <si>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</si>
  <si>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</si>
  <si>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</si>
  <si>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</si>
  <si>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</si>
  <si>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</si>
  <si>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</si>
  <si>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</si>
  <si>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</si>
  <si>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</si>
  <si>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</si>
  <si>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</si>
  <si>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</si>
  <si>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</si>
  <si>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</si>
  <si>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</si>
  <si>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</si>
  <si>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</si>
  <si>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</si>
  <si>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</si>
  <si>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</si>
  <si>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</si>
  <si>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</si>
  <si>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</si>
  <si>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</si>
  <si>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</si>
  <si>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</si>
  <si>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</si>
  <si>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</si>
  <si>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</si>
  <si>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</si>
  <si>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</si>
  <si>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</si>
  <si>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</si>
  <si>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</si>
  <si>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</si>
  <si>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</si>
  <si>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</si>
  <si>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</si>
  <si>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</si>
  <si>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</si>
  <si>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</si>
  <si>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</si>
  <si>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</si>
  <si>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</si>
  <si>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</si>
  <si>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</si>
  <si>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</si>
  <si>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</si>
  <si>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</si>
  <si>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</si>
  <si>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</si>
  <si>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</si>
  <si>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</si>
  <si>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</si>
  <si>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</si>
  <si>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</si>
  <si>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</si>
  <si>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</si>
  <si>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</si>
  <si>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</si>
  <si>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</si>
  <si>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</si>
  <si>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</si>
  <si>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</si>
  <si>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</si>
  <si>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</si>
  <si>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</si>
  <si>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</si>
  <si>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</si>
  <si>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</si>
  <si>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</si>
  <si>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</si>
  <si>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</si>
  <si>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</si>
  <si>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</si>
  <si>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</si>
  <si>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</si>
  <si>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</si>
  <si>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</si>
  <si>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</si>
  <si>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</si>
  <si>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</si>
  <si>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</si>
  <si>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</si>
  <si>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</si>
  <si>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</si>
  <si>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</si>
  <si>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</si>
  <si>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</si>
  <si>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</si>
  <si>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</si>
  <si>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</si>
  <si>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</si>
  <si>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</si>
  <si>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</si>
  <si>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</si>
  <si>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</si>
  <si>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</si>
  <si>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</si>
  <si>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</si>
  <si>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</si>
  <si>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</si>
  <si>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</si>
  <si>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</si>
  <si>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</si>
  <si>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</si>
  <si>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</si>
  <si>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</si>
  <si>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</si>
  <si>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</si>
  <si>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</si>
  <si>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</si>
  <si>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</si>
  <si>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</si>
  <si>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</si>
  <si>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</si>
  <si>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</si>
  <si>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</si>
  <si>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</si>
  <si>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</si>
  <si>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</si>
  <si>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</si>
  <si>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</si>
  <si>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</si>
  <si>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</si>
  <si>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</si>
  <si>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</si>
  <si>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</si>
  <si>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</si>
  <si>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</si>
  <si>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</si>
  <si>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</si>
  <si>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</si>
  <si>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</si>
  <si>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</si>
  <si>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</si>
  <si>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</si>
  <si>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</si>
  <si>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</si>
  <si>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</si>
  <si>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</si>
  <si>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</si>
  <si>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</si>
  <si>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</si>
  <si>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</si>
  <si>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</si>
  <si>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</si>
  <si>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</si>
  <si>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</si>
  <si>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</si>
  <si>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</si>
  <si>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</si>
  <si>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</si>
  <si>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</si>
  <si>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</si>
  <si>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</si>
  <si>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</si>
  <si>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</si>
  <si>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</si>
  <si>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</si>
  <si>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</si>
  <si>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</si>
  <si>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</si>
  <si>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</si>
  <si>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</si>
  <si>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</si>
  <si>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</si>
  <si>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</si>
  <si>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</si>
  <si>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</si>
  <si>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</si>
  <si>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</si>
  <si>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</si>
  <si>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</si>
  <si>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</si>
  <si>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</si>
  <si>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</si>
  <si>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</si>
  <si>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</si>
  <si>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</si>
  <si>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</si>
  <si>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</si>
  <si>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</si>
  <si>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</si>
  <si>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</si>
  <si>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</si>
  <si>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</si>
  <si>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</si>
  <si>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</si>
  <si>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</si>
  <si>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</si>
  <si>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</si>
  <si>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</si>
  <si>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</si>
  <si>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</si>
  <si>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</si>
  <si>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</si>
  <si>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</si>
  <si>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</si>
  <si>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</si>
  <si>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</si>
  <si>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</si>
  <si>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</si>
  <si>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</si>
  <si>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</si>
  <si>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</si>
  <si>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</si>
  <si>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</si>
  <si>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</si>
  <si>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</si>
  <si>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</si>
  <si>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</si>
  <si>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</si>
  <si>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</si>
  <si>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</si>
  <si>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</si>
  <si>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</si>
  <si>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</si>
  <si>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</si>
  <si>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</si>
  <si>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</si>
  <si>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</si>
  <si>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</si>
  <si>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</si>
  <si>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</si>
  <si>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</si>
  <si>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</si>
  <si>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</si>
  <si>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</si>
  <si>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</si>
  <si>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</si>
  <si>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</si>
  <si>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</si>
  <si>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</si>
  <si>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</si>
  <si>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</si>
  <si>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</si>
  <si>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</si>
  <si>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</si>
  <si>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</si>
  <si>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</si>
  <si>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</si>
  <si>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</si>
  <si>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</si>
  <si>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</si>
  <si>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</si>
  <si>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</si>
  <si>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</si>
  <si>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</si>
  <si>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</si>
  <si>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</si>
  <si>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</si>
  <si>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1401 Greenwood Avenue</t>
  </si>
  <si>
    <t xml:space="preserve">Glenview </t>
  </si>
  <si>
    <t>Dr. Dane Delli</t>
  </si>
  <si>
    <t>847-998-5000</t>
  </si>
  <si>
    <t>847-486-7811</t>
  </si>
  <si>
    <t>Evoy, Kamschulte, Jacobs &amp; Co. LLP</t>
  </si>
  <si>
    <t>John D. Aceto, Jr., CPA</t>
  </si>
  <si>
    <t>2122 Yeoman Street</t>
  </si>
  <si>
    <t>Waukegan</t>
  </si>
  <si>
    <t>IL</t>
  </si>
  <si>
    <t>847-662-8300</t>
  </si>
  <si>
    <t>847-662-8305</t>
  </si>
  <si>
    <t>066-003289</t>
  </si>
  <si>
    <t>Retired Bond Issues</t>
  </si>
  <si>
    <t>2014 General Obligation Limited School Bonds</t>
  </si>
  <si>
    <t>1/4</t>
  </si>
  <si>
    <t>2015A General Obligation Limited School Bonds</t>
  </si>
  <si>
    <t>2015B General Obligation Refunding School Bonds</t>
  </si>
  <si>
    <t>2016A General Obligation Limited School Bonds</t>
  </si>
  <si>
    <t>2016B General Obligation Refunding School Bonds</t>
  </si>
  <si>
    <t>2019 General Obligation Limited Tax School Bonds</t>
  </si>
  <si>
    <t>SCIP Insurance COOP</t>
  </si>
  <si>
    <t>North Suburban Special Ed COOP NSSED</t>
  </si>
  <si>
    <t>US DEPARTMENT OF AGRICULTURE</t>
  </si>
  <si>
    <t>Passed Through ISBE Child Nutrition Cluster</t>
  </si>
  <si>
    <t xml:space="preserve">      National School Lunch</t>
  </si>
  <si>
    <t xml:space="preserve">      School Breakfast</t>
  </si>
  <si>
    <t xml:space="preserve">      ISBE Lanter Commodities</t>
  </si>
  <si>
    <t xml:space="preserve">      DoD Fresh Fruits &amp; Vegetables</t>
  </si>
  <si>
    <t>Total US Department of Agriculture Child Nutrition Cluster</t>
  </si>
  <si>
    <t>4210-2018</t>
  </si>
  <si>
    <t>4210-2019</t>
  </si>
  <si>
    <t>4220-2018</t>
  </si>
  <si>
    <t>4220-2019</t>
  </si>
  <si>
    <t>N/A</t>
  </si>
  <si>
    <t>US DEPARTMENT OF HEALTH &amp; HUMAN SERVICES</t>
  </si>
  <si>
    <t>Passed Through IL Depart of Healthcare &amp; Family Services</t>
  </si>
  <si>
    <t xml:space="preserve">      Medicaid Matching Funds-Admin Outreach</t>
  </si>
  <si>
    <t>Total Department of Health &amp; Human Services</t>
  </si>
  <si>
    <t>4991-2018</t>
  </si>
  <si>
    <t>4991-2019</t>
  </si>
  <si>
    <t>US DEPARTMENT OF EDUCATION</t>
  </si>
  <si>
    <t>Passed Through from Northern Suburban Special Education District-Special Education Cluster</t>
  </si>
  <si>
    <t>(M) IDEA Preschool</t>
  </si>
  <si>
    <t>(M) IDEA, Part B Flow-Through</t>
  </si>
  <si>
    <t>Total Passed Through Northern Suburban Spec Ed Dist Special Education Cluster</t>
  </si>
  <si>
    <t>84.027A</t>
  </si>
  <si>
    <t>4600-2018</t>
  </si>
  <si>
    <t>4600-2019</t>
  </si>
  <si>
    <t>4620-2018</t>
  </si>
  <si>
    <t>4620-2019</t>
  </si>
  <si>
    <t>Passed Through ISBE Special Education Cluster</t>
  </si>
  <si>
    <t>(M) IDEA Room &amp; Board (Non-XC)</t>
  </si>
  <si>
    <t>4625-2018</t>
  </si>
  <si>
    <t>4625-2019</t>
  </si>
  <si>
    <t>Total Passed Through ISBE Special Education Cluster</t>
  </si>
  <si>
    <t>TOTAL SPECIAL EDUCATION CLUSTER</t>
  </si>
  <si>
    <t>US DEPARTMENT OF EDUCATION - CONTINUED</t>
  </si>
  <si>
    <t>Passed Through ISBE</t>
  </si>
  <si>
    <t xml:space="preserve">     Title I - Low Income</t>
  </si>
  <si>
    <t>84.010A</t>
  </si>
  <si>
    <t xml:space="preserve">     Title I - School Impr &amp; Accountability</t>
  </si>
  <si>
    <t>4300-2018</t>
  </si>
  <si>
    <t>4300-2019</t>
  </si>
  <si>
    <t>4330-2019</t>
  </si>
  <si>
    <t xml:space="preserve">      Title IV - Student Support &amp; Academic Enrich</t>
  </si>
  <si>
    <t>84.424A</t>
  </si>
  <si>
    <t>4400-2019</t>
  </si>
  <si>
    <t xml:space="preserve">      Title III - LIPLEP</t>
  </si>
  <si>
    <t>84.365A</t>
  </si>
  <si>
    <t>4909-2018</t>
  </si>
  <si>
    <t>4909-2019</t>
  </si>
  <si>
    <t xml:space="preserve">      Title II - Teacher Quality</t>
  </si>
  <si>
    <t>84.367A</t>
  </si>
  <si>
    <t>4932-2018</t>
  </si>
  <si>
    <t>4932-2019</t>
  </si>
  <si>
    <t>Total Passed Through ISBE</t>
  </si>
  <si>
    <t>TOTAL FEDERAL FINANCIAL ASSISTANCE</t>
  </si>
  <si>
    <t>Value of Federal Awards Expended in the Form of Non-Cash Assistance During the Year</t>
  </si>
  <si>
    <t>Federal Insurance in Effect During the Year</t>
  </si>
  <si>
    <t>Federal Loans or Loan Guarantees, Including Interest Subsidies Outstanding at Year End</t>
  </si>
  <si>
    <r>
      <t>The accompanying Schedule of Expenditures of Federal Awards includes the federal grant activity of Glenview CCSD 34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</si>
  <si>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Glenview CCSD 34 provided federal awards to subrecipients as follows:</t>
  </si>
  <si>
    <t>NONE</t>
  </si>
  <si>
    <r>
      <t xml:space="preserve">The following amounts were expended in the form of non-cash assistance by Glenview CCSD 34 and </t>
    </r>
    <r>
      <rPr>
        <b/>
        <sz val="9"/>
        <rFont val="Calibri"/>
        <family val="2"/>
        <scheme val="minor"/>
      </rPr>
      <t>should be</t>
    </r>
    <r>
      <rPr>
        <sz val="9"/>
        <rFont val="Calibri"/>
        <family val="2"/>
        <scheme val="minor"/>
      </rPr>
      <t xml:space="preserve"> included in the Schedule of Expenditures of Federal Awards:</t>
    </r>
  </si>
  <si>
    <t>Unmodified</t>
  </si>
  <si>
    <t>IDEA, Preschool</t>
  </si>
  <si>
    <t>IDEA, Flow-Through</t>
  </si>
  <si>
    <t>IDEA, Room &amp; Board</t>
  </si>
  <si>
    <t>Education Fund</t>
  </si>
  <si>
    <t>Operations Fund</t>
  </si>
  <si>
    <t>Bond &amp; Interest Fund</t>
  </si>
  <si>
    <t>Page 9, Line 17, Other Payments in Lieu of Taxe, TIF District Reimbursement - $7,043,158</t>
  </si>
  <si>
    <t xml:space="preserve">      NSSD $95,000; IL libr grant $8,493; Erate $64,696; Pres Salary $10,172; Tuition $10,770</t>
  </si>
  <si>
    <t>Page 11, Line 107, Other Revenue - 941 Refund $2,733; Supplies $1,288; TRS $1,116; Misc $1,905; Xerox reimb $3,264; PTA $1,500;</t>
  </si>
  <si>
    <t>Page 11, Line 106, Other Local Fees, Class action settlement $1,576; Grainger refund $1,240.</t>
  </si>
  <si>
    <t>Page 11, Line 106, Other Local Fees, Tuition $21,951; Supplies Clothes Lockers $29,637; TRS $8,978</t>
  </si>
  <si>
    <t>TR-Pupil Transportation-Purchased Services</t>
  </si>
  <si>
    <t>40-2550-300</t>
  </si>
  <si>
    <t>Alltown Bus Service Inc</t>
  </si>
  <si>
    <t>ED-Instruction - Supplies</t>
  </si>
  <si>
    <t>10-1000-400</t>
  </si>
  <si>
    <t>Amazon.Com Corp Credit Line</t>
  </si>
  <si>
    <t>ED-Instruction - Other</t>
  </si>
  <si>
    <t>Arlyn School</t>
  </si>
  <si>
    <t>OM-Operations Maintenance Plant Services-Purchase Ser</t>
  </si>
  <si>
    <t>20-2540-300</t>
  </si>
  <si>
    <t>AT&amp;T</t>
  </si>
  <si>
    <t>ED-Instruction-Other</t>
  </si>
  <si>
    <t>Boston Higashi School</t>
  </si>
  <si>
    <t>OM-Operations Maintenance Plant Services-Supplies</t>
  </si>
  <si>
    <t>20-2540-400</t>
  </si>
  <si>
    <t>C Ames Construction</t>
  </si>
  <si>
    <t>ED-Operation of Plant - Purchased Service</t>
  </si>
  <si>
    <t>10-2540-300</t>
  </si>
  <si>
    <t>Canon Financial Serv</t>
  </si>
  <si>
    <t>ED-Community Service- Purchased Service</t>
  </si>
  <si>
    <t>10-3000-300</t>
  </si>
  <si>
    <t>Center for Applied Linguistics</t>
  </si>
  <si>
    <t>OM-Operation of Plant Services-Supplies</t>
  </si>
  <si>
    <t>Centerpoint Energy Services</t>
  </si>
  <si>
    <t>OM-Operation of Plant Services-Purchased Services</t>
  </si>
  <si>
    <t>Comcast</t>
  </si>
  <si>
    <t>Community Consolidated School</t>
  </si>
  <si>
    <t>ED-General Administration- Other</t>
  </si>
  <si>
    <t>10-2300-600</t>
  </si>
  <si>
    <t>Consortium For Educational</t>
  </si>
  <si>
    <t>ED-Intstruction - Purchased Services</t>
  </si>
  <si>
    <t>10-1000-300</t>
  </si>
  <si>
    <t>Discovery Education Inc</t>
  </si>
  <si>
    <t>10-2200-400</t>
  </si>
  <si>
    <t>DSN Group</t>
  </si>
  <si>
    <t>10-2560-300</t>
  </si>
  <si>
    <t>Emerald Restaurant Serices</t>
  </si>
  <si>
    <t>OM-Operations Maint Plant Services-Purchased Serv</t>
  </si>
  <si>
    <t>FGM Architects</t>
  </si>
  <si>
    <t>ED-Intstruction - Supplies</t>
  </si>
  <si>
    <t>Follett School Solutions</t>
  </si>
  <si>
    <t>Fredric L Chamberlain Center</t>
  </si>
  <si>
    <t>ED-Staff Services-Purchased Services</t>
  </si>
  <si>
    <t>10-2640-300</t>
  </si>
  <si>
    <t>Frontline Placement Technologies</t>
  </si>
  <si>
    <t>ED-Instruction-Purchased Services</t>
  </si>
  <si>
    <t>Garvey's Office Products</t>
  </si>
  <si>
    <t>ED-Food Services-Supplies</t>
  </si>
  <si>
    <t>ED-Food Services-Purchased Services</t>
  </si>
  <si>
    <t>10-2560-400</t>
  </si>
  <si>
    <t>Genesis Technology</t>
  </si>
  <si>
    <t>Get Fresh Produce Inc</t>
  </si>
  <si>
    <t>ED-Food Service-Supplies</t>
  </si>
  <si>
    <t>Gordon Food Service</t>
  </si>
  <si>
    <t>ED-Instruction Supplies</t>
  </si>
  <si>
    <t>Heinemann</t>
  </si>
  <si>
    <t>10-2300-300</t>
  </si>
  <si>
    <t>Hodges, Loizzi, Eisenhammer, Rn</t>
  </si>
  <si>
    <t>ED-General Administration- Purchased Services</t>
  </si>
  <si>
    <t>Houghton Mifflin Harcourt</t>
  </si>
  <si>
    <t>ED-Intruction Other</t>
  </si>
  <si>
    <t>Hyde Park Day School</t>
  </si>
  <si>
    <t>IASB</t>
  </si>
  <si>
    <t>IXL Learning</t>
  </si>
  <si>
    <t>ED-Support Serv Instruction-Supplies</t>
  </si>
  <si>
    <t>10-2200-300</t>
  </si>
  <si>
    <t>ED-Support Serv Instruction-Purchased Services</t>
  </si>
  <si>
    <t>Jamf Software LLC</t>
  </si>
  <si>
    <t>Johnson Constrols</t>
  </si>
  <si>
    <t>Learning A-Z</t>
  </si>
  <si>
    <t>Maine Township School Treasurer</t>
  </si>
  <si>
    <t>MC Squared Energy LLC</t>
  </si>
  <si>
    <t>McGraw Hill School Educ Holdings</t>
  </si>
  <si>
    <t>ED-Support Service Instruction-Purchased Services</t>
  </si>
  <si>
    <t>MYLP</t>
  </si>
  <si>
    <t>NCS Pearson Inc</t>
  </si>
  <si>
    <t>Newhope Academy LTD</t>
  </si>
  <si>
    <t>Nicholas &amp; Associates</t>
  </si>
  <si>
    <t>Noredink Corp</t>
  </si>
  <si>
    <t>NSSED</t>
  </si>
  <si>
    <t>NSSEO</t>
  </si>
  <si>
    <t>NWEA</t>
  </si>
  <si>
    <t>Oconomowoc Development Training</t>
  </si>
  <si>
    <t>P&amp;M Distributors</t>
  </si>
  <si>
    <t>Roberts Envionmental Control Corp</t>
  </si>
  <si>
    <t>Safeway Transportation Services</t>
  </si>
  <si>
    <t>Scarian, Himes, Petraca</t>
  </si>
  <si>
    <t>School Specialty</t>
  </si>
  <si>
    <t>Soaring Eagle Academy</t>
  </si>
  <si>
    <t>Sonitrol Chicago North</t>
  </si>
  <si>
    <t>Staples Business Advantage</t>
  </si>
  <si>
    <t>Verizon Wireless</t>
  </si>
  <si>
    <t>Village of Glenview</t>
  </si>
  <si>
    <t>Youth Services of Glenview</t>
  </si>
  <si>
    <t>Glenview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</si>
</sst>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 fontId="54" fillId="0" borderId="2" xfId="9" quotePrefix="1" applyNumberFormat="1" applyFont="1" applyFill="1" applyBorder="1" applyAlignment="1" applyProtection="1">
      <alignment horizontal="right" vertical="center"/>
      <protection locked="0"/>
    </xf>
    <xf numFmtId="0" fontId="54" fillId="0" borderId="2" xfId="0" quotePrefix="1" applyFont="1" applyFill="1" applyBorder="1" applyAlignment="1" applyProtection="1">
      <alignment horizontal="right"/>
      <protection locked="0"/>
    </xf>
    <xf numFmtId="0" fontId="54" fillId="0" borderId="2" xfId="9" quotePrefix="1" applyFont="1" applyFill="1" applyBorder="1" applyAlignment="1" applyProtection="1">
      <alignment horizontal="right" vertical="top"/>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5</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5"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2061</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2061</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5016034004</v>
      </c>
      <c r="B13" s="2018"/>
      <c r="C13" s="2018"/>
      <c r="D13" s="2018"/>
      <c r="E13" s="2018"/>
      <c r="F13" s="2018"/>
      <c r="G13" s="2018"/>
      <c r="H13" s="2019"/>
      <c r="I13" s="31"/>
      <c r="J13" s="30"/>
      <c r="K13" s="28"/>
      <c r="L13" s="30"/>
      <c r="M13" s="30"/>
      <c r="N13" s="30"/>
      <c r="O13" s="30"/>
      <c r="P13" s="30"/>
      <c r="Q13" s="30"/>
      <c r="R13" s="30"/>
      <c r="S13" s="30"/>
      <c r="T13" s="2022" t="s">
        <v>2068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2254</v>
      </c>
      <c r="B17" s="1977"/>
      <c r="C17" s="1977"/>
      <c r="D17" s="1977"/>
      <c r="E17" s="1977"/>
      <c r="F17" s="1977"/>
      <c r="G17" s="1977"/>
      <c r="H17" s="2002"/>
      <c r="T17" s="2033" t="s">
        <v>2070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2071</v>
      </c>
      <c r="U19" s="1941"/>
      <c r="V19" s="1941"/>
      <c r="W19" s="1942"/>
      <c r="X19" s="2031" t="s">
        <v>2072</v>
      </c>
      <c r="Y19" s="2032"/>
      <c r="Z19" s="2029">
        <v>60087</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2075</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60025</v>
      </c>
      <c r="B25" s="1941"/>
      <c r="C25" s="1941"/>
      <c r="D25" s="1941"/>
      <c r="E25" s="1941"/>
      <c r="F25" s="1941"/>
      <c r="G25" s="1941"/>
      <c r="H25" s="1942"/>
      <c r="I25" s="113"/>
      <c r="J25" s="1965"/>
      <c r="K25" s="1965"/>
      <c r="L25" s="1965"/>
      <c r="M25" s="1965"/>
      <c r="N25" s="1965"/>
      <c r="O25" s="1965"/>
      <c r="P25" s="1965"/>
      <c r="Q25" s="1965"/>
      <c r="R25" s="1965"/>
      <c r="S25" s="1966"/>
      <c r="T25" s="2036"/>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2065</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2066</v>
      </c>
      <c r="B42" s="1960"/>
      <c r="C42" s="1961"/>
      <c r="D42" s="1959" t="s">
        <v>2067</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1799</v>
      </c>
      <c r="B2" s="1527" t="s">
        <v>1948</v>
      </c>
      <c r="C2" s="714" t="s">
        <v>1949</v>
      </c>
      <c r="D2" s="714" t="s">
        <v>1950</v>
      </c>
      <c r="E2" s="714" t="s">
        <v>1951</v>
      </c>
      <c r="F2" s="714" t="s">
        <v>1952</v>
      </c>
    </row>
    <row r="3" spans="1:6" ht="12" customHeight="1" x14ac:dyDescent="0.2">
      <c r="A3" s="2183"/>
      <c r="B3" s="1524"/>
      <c r="C3" s="1525"/>
      <c r="D3" s="1526" t="s">
        <v>256</v>
      </c>
      <c r="E3" s="1525"/>
      <c r="F3" s="1526" t="s">
        <v>257</v>
      </c>
    </row>
    <row r="4" spans="1:6" ht="13.7" customHeight="1" x14ac:dyDescent="0.2">
      <c r="A4" s="715" t="s">
        <v>1155</v>
      </c>
      <c r="B4" s="1746">
        <f>'Revenues 9-14'!C5</f>
        <v>39978986</v>
      </c>
      <c r="C4" s="1523">
        <v>21386292</v>
      </c>
      <c r="D4" s="1749">
        <f>B4-C4</f>
        <v>18592694</v>
      </c>
      <c r="E4" s="1523">
        <v>41405635</v>
      </c>
      <c r="F4" s="1749">
        <f>E4-C4</f>
        <v>20019343</v>
      </c>
    </row>
    <row r="5" spans="1:6" ht="13.7" customHeight="1" x14ac:dyDescent="0.2">
      <c r="A5" s="715" t="s">
        <v>870</v>
      </c>
      <c r="B5" s="1747">
        <f>'Revenues 9-14'!D5</f>
        <v>4364832</v>
      </c>
      <c r="C5" s="585">
        <v>2329943</v>
      </c>
      <c r="D5" s="1750">
        <f t="shared" ref="D5:D18" si="0">B5-C5</f>
        <v>2034889</v>
      </c>
      <c r="E5" s="585">
        <v>4510440</v>
      </c>
      <c r="F5" s="1750">
        <f>E5-C5</f>
        <v>2180497</v>
      </c>
    </row>
    <row r="6" spans="1:6" ht="13.7" customHeight="1" x14ac:dyDescent="0.2">
      <c r="A6" s="715" t="s">
        <v>411</v>
      </c>
      <c r="B6" s="1747">
        <f>'Revenues 9-14'!E5</f>
        <v>3694887</v>
      </c>
      <c r="C6" s="585">
        <v>1964432</v>
      </c>
      <c r="D6" s="1750">
        <f t="shared" si="0"/>
        <v>1730455</v>
      </c>
      <c r="E6" s="585">
        <f>1626370+846270+1330091</f>
        <v>3802731</v>
      </c>
      <c r="F6" s="1750">
        <f t="shared" ref="F6:F18" si="1">E6-C6</f>
        <v>1838299</v>
      </c>
    </row>
    <row r="7" spans="1:6" ht="13.7" customHeight="1" x14ac:dyDescent="0.2">
      <c r="A7" s="715" t="s">
        <v>155</v>
      </c>
      <c r="B7" s="1747">
        <f>'Revenues 9-14'!F5</f>
        <v>2864224</v>
      </c>
      <c r="C7" s="585">
        <v>1525043</v>
      </c>
      <c r="D7" s="1750">
        <f t="shared" si="0"/>
        <v>1339181</v>
      </c>
      <c r="E7" s="585">
        <v>2952288</v>
      </c>
      <c r="F7" s="1750">
        <f t="shared" si="1"/>
        <v>1427245</v>
      </c>
    </row>
    <row r="8" spans="1:6" ht="13.7" customHeight="1" x14ac:dyDescent="0.2">
      <c r="A8" s="715" t="s">
        <v>1179</v>
      </c>
      <c r="B8" s="1747">
        <f>'Revenues 9-14'!G5</f>
        <v>1107010</v>
      </c>
      <c r="C8" s="585">
        <v>590143</v>
      </c>
      <c r="D8" s="1750">
        <f t="shared" si="0"/>
        <v>516867</v>
      </c>
      <c r="E8" s="585">
        <v>1142986</v>
      </c>
      <c r="F8" s="1750">
        <f t="shared" si="1"/>
        <v>552843</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0</v>
      </c>
      <c r="C10" s="585"/>
      <c r="D10" s="1750">
        <f t="shared" si="0"/>
        <v>0</v>
      </c>
      <c r="E10" s="585"/>
      <c r="F10" s="1750">
        <f t="shared" si="1"/>
        <v>0</v>
      </c>
    </row>
    <row r="11" spans="1:6" x14ac:dyDescent="0.2">
      <c r="A11" s="715" t="s">
        <v>409</v>
      </c>
      <c r="B11" s="1747">
        <f>'Revenues 9-14'!J5</f>
        <v>542545</v>
      </c>
      <c r="C11" s="585">
        <v>292602</v>
      </c>
      <c r="D11" s="1750">
        <f t="shared" si="0"/>
        <v>249943</v>
      </c>
      <c r="E11" s="585">
        <v>566894</v>
      </c>
      <c r="F11" s="1750">
        <f t="shared" si="1"/>
        <v>274292</v>
      </c>
    </row>
    <row r="12" spans="1:6" ht="13.7" customHeight="1" x14ac:dyDescent="0.2">
      <c r="A12" s="715" t="s">
        <v>157</v>
      </c>
      <c r="B12" s="1747">
        <f>'Revenues 9-14'!K5</f>
        <v>0</v>
      </c>
      <c r="C12" s="585"/>
      <c r="D12" s="1750">
        <f t="shared" si="0"/>
        <v>0</v>
      </c>
      <c r="E12" s="585"/>
      <c r="F12" s="1750">
        <f t="shared" si="1"/>
        <v>0</v>
      </c>
    </row>
    <row r="13" spans="1:6" ht="13.7" customHeight="1" x14ac:dyDescent="0.2">
      <c r="A13" s="715" t="s">
        <v>936</v>
      </c>
      <c r="B13" s="1747">
        <f>SUM('Revenues 9-14'!C6:D6)</f>
        <v>0</v>
      </c>
      <c r="C13" s="585"/>
      <c r="D13" s="1750">
        <f t="shared" si="0"/>
        <v>0</v>
      </c>
      <c r="E13" s="585"/>
      <c r="F13" s="1750">
        <f t="shared" si="1"/>
        <v>0</v>
      </c>
    </row>
    <row r="14" spans="1:6" ht="13.7" customHeight="1" x14ac:dyDescent="0.2">
      <c r="A14" s="715" t="s">
        <v>410</v>
      </c>
      <c r="B14" s="1747">
        <f>SUM('Revenues 9-14'!C7:D7,'Revenues 9-14'!F7:H7)</f>
        <v>0</v>
      </c>
      <c r="C14" s="585"/>
      <c r="D14" s="1750">
        <f t="shared" si="0"/>
        <v>0</v>
      </c>
      <c r="E14" s="585"/>
      <c r="F14" s="1750">
        <f t="shared" si="1"/>
        <v>0</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857415</v>
      </c>
      <c r="C16" s="585">
        <v>458115</v>
      </c>
      <c r="D16" s="1750">
        <f t="shared" si="0"/>
        <v>399300</v>
      </c>
      <c r="E16" s="585">
        <v>886711</v>
      </c>
      <c r="F16" s="1750">
        <f t="shared" si="1"/>
        <v>428596</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53409899</v>
      </c>
      <c r="C19" s="1748">
        <f>SUM(C4:C18)</f>
        <v>28546570</v>
      </c>
      <c r="D19" s="1748">
        <f>SUM(D4:D18)</f>
        <v>24863329</v>
      </c>
      <c r="E19" s="1748">
        <f>SUM(E4:E18)</f>
        <v>55267685</v>
      </c>
      <c r="F19" s="1748">
        <f>SUM(F4:F18)</f>
        <v>26721115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I60" sqref="I6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1" t="s">
        <v>1953</v>
      </c>
      <c r="D2" s="723" t="s">
        <v>1954</v>
      </c>
      <c r="E2" s="723" t="s">
        <v>1955</v>
      </c>
      <c r="F2" s="1881"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2">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195" t="s">
        <v>631</v>
      </c>
      <c r="B15" s="2196"/>
      <c r="C15" s="1752">
        <f>SUM(C6:C14)</f>
        <v>0</v>
      </c>
      <c r="D15" s="1752">
        <f>SUM(D6:D14)</f>
        <v>0</v>
      </c>
      <c r="E15" s="1752">
        <f>SUM(E6:E14)</f>
        <v>0</v>
      </c>
      <c r="F15" s="1752">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2">
        <f>SUM(C17+D17)-E17</f>
        <v>0</v>
      </c>
    </row>
    <row r="18" spans="1:11" ht="12.75" customHeight="1" thickTop="1" thickBot="1" x14ac:dyDescent="0.25">
      <c r="A18" s="2190" t="s">
        <v>6</v>
      </c>
      <c r="B18" s="2191"/>
      <c r="C18" s="726"/>
      <c r="D18" s="585"/>
      <c r="E18" s="726"/>
      <c r="F18" s="1752">
        <f>SUM(C18+D18)-E18</f>
        <v>0</v>
      </c>
    </row>
    <row r="19" spans="1:11" ht="12.75" customHeight="1" thickTop="1" thickBot="1" x14ac:dyDescent="0.25">
      <c r="A19" s="2190" t="s">
        <v>388</v>
      </c>
      <c r="B19" s="2191"/>
      <c r="C19" s="726"/>
      <c r="D19" s="585"/>
      <c r="E19" s="726"/>
      <c r="F19" s="1752">
        <f>SUM(C19+D19)-E19</f>
        <v>0</v>
      </c>
    </row>
    <row r="20" spans="1:11" ht="12.75" customHeight="1" thickTop="1" thickBot="1" x14ac:dyDescent="0.25">
      <c r="A20" s="2190" t="s">
        <v>448</v>
      </c>
      <c r="B20" s="2191"/>
      <c r="C20" s="726"/>
      <c r="D20" s="585"/>
      <c r="E20" s="726"/>
      <c r="F20" s="1752">
        <f>SUM(C20+D20)-E20</f>
        <v>0</v>
      </c>
    </row>
    <row r="21" spans="1:11" ht="14.25" thickTop="1" thickBot="1" x14ac:dyDescent="0.25">
      <c r="A21" s="2195" t="s">
        <v>632</v>
      </c>
      <c r="B21" s="2196"/>
      <c r="C21" s="1752">
        <f>SUM(C17:C20)</f>
        <v>0</v>
      </c>
      <c r="D21" s="1752">
        <f>SUM(D17:D20)</f>
        <v>0</v>
      </c>
      <c r="E21" s="1752">
        <f>SUM(E17:E20)</f>
        <v>0</v>
      </c>
      <c r="F21" s="1752">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2">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2">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2">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8" t="s">
        <v>1071</v>
      </c>
      <c r="B30" s="730" t="s">
        <v>1124</v>
      </c>
      <c r="C30" s="1882" t="s">
        <v>583</v>
      </c>
      <c r="D30" s="1882" t="s">
        <v>1673</v>
      </c>
      <c r="E30" s="1882" t="s">
        <v>1957</v>
      </c>
      <c r="F30" s="1882" t="s">
        <v>1958</v>
      </c>
      <c r="G30" s="1882" t="s">
        <v>1908</v>
      </c>
      <c r="H30" s="1882" t="s">
        <v>1959</v>
      </c>
      <c r="I30" s="1882" t="s">
        <v>1960</v>
      </c>
      <c r="J30" s="1883" t="s">
        <v>2</v>
      </c>
      <c r="K30" s="731"/>
    </row>
    <row r="31" spans="1:11" ht="12" customHeight="1" x14ac:dyDescent="0.2">
      <c r="A31" s="732" t="s">
        <v>2076</v>
      </c>
      <c r="B31" s="733"/>
      <c r="C31" s="734"/>
      <c r="D31" s="735"/>
      <c r="E31" s="734"/>
      <c r="F31" s="734"/>
      <c r="G31" s="734"/>
      <c r="H31" s="734"/>
      <c r="I31" s="1753">
        <f>((E31+F31)-H31)+G31</f>
        <v>0</v>
      </c>
      <c r="J31" s="734">
        <v>-1186108</v>
      </c>
      <c r="K31" s="736"/>
    </row>
    <row r="32" spans="1:11" ht="12" customHeight="1" x14ac:dyDescent="0.2">
      <c r="A32" s="732"/>
      <c r="B32" s="733"/>
      <c r="C32" s="734"/>
      <c r="D32" s="735"/>
      <c r="E32" s="734"/>
      <c r="F32" s="734"/>
      <c r="G32" s="734"/>
      <c r="H32" s="734"/>
      <c r="I32" s="1753">
        <f>((E32+F32)-H32)+G32</f>
        <v>0</v>
      </c>
      <c r="J32" s="734"/>
      <c r="K32" s="736"/>
    </row>
    <row r="33" spans="1:11" ht="12" customHeight="1" x14ac:dyDescent="0.2">
      <c r="A33" s="732" t="s">
        <v>2077</v>
      </c>
      <c r="B33" s="733">
        <v>41667</v>
      </c>
      <c r="C33" s="734">
        <v>4820000</v>
      </c>
      <c r="D33" s="1932" t="s">
        <v>2078</v>
      </c>
      <c r="E33" s="734">
        <v>870000</v>
      </c>
      <c r="F33" s="734"/>
      <c r="G33" s="734"/>
      <c r="H33" s="734">
        <v>870000</v>
      </c>
      <c r="I33" s="1753">
        <f t="shared" ref="I33:I48" si="1">((E33+F33)-H33)+G33</f>
        <v>0</v>
      </c>
      <c r="J33" s="734">
        <v>685062</v>
      </c>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t="s">
        <v>2079</v>
      </c>
      <c r="B35" s="733">
        <v>42339</v>
      </c>
      <c r="C35" s="738">
        <v>5445000</v>
      </c>
      <c r="D35" s="1932" t="s">
        <v>942</v>
      </c>
      <c r="E35" s="738">
        <v>5375000</v>
      </c>
      <c r="F35" s="738"/>
      <c r="G35" s="738"/>
      <c r="H35" s="738">
        <v>710000</v>
      </c>
      <c r="I35" s="1753">
        <f t="shared" si="1"/>
        <v>4665000</v>
      </c>
      <c r="J35" s="738">
        <v>4195933</v>
      </c>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t="s">
        <v>2080</v>
      </c>
      <c r="B37" s="733">
        <v>42339</v>
      </c>
      <c r="C37" s="467">
        <v>3725000</v>
      </c>
      <c r="D37" s="1933" t="s">
        <v>941</v>
      </c>
      <c r="E37" s="467">
        <v>2300000</v>
      </c>
      <c r="F37" s="467"/>
      <c r="G37" s="467"/>
      <c r="H37" s="467">
        <v>745000</v>
      </c>
      <c r="I37" s="1753">
        <f t="shared" si="1"/>
        <v>1555000</v>
      </c>
      <c r="J37" s="467">
        <v>1106540</v>
      </c>
      <c r="K37" s="737"/>
    </row>
    <row r="38" spans="1:11" ht="12" customHeight="1" x14ac:dyDescent="0.2">
      <c r="A38" s="732"/>
      <c r="B38" s="733"/>
      <c r="C38" s="734"/>
      <c r="D38" s="740"/>
      <c r="E38" s="741"/>
      <c r="F38" s="741"/>
      <c r="G38" s="741"/>
      <c r="H38" s="741"/>
      <c r="I38" s="1753">
        <f t="shared" si="1"/>
        <v>0</v>
      </c>
      <c r="J38" s="742" t="s">
        <v>264</v>
      </c>
      <c r="K38" s="743"/>
    </row>
    <row r="39" spans="1:11" ht="12" customHeight="1" x14ac:dyDescent="0.2">
      <c r="A39" s="732" t="s">
        <v>2081</v>
      </c>
      <c r="B39" s="733">
        <v>42675</v>
      </c>
      <c r="C39" s="734">
        <v>5660000</v>
      </c>
      <c r="D39" s="1934" t="s">
        <v>2078</v>
      </c>
      <c r="E39" s="741">
        <v>5480000</v>
      </c>
      <c r="F39" s="741"/>
      <c r="G39" s="741"/>
      <c r="H39" s="741"/>
      <c r="I39" s="1753">
        <f t="shared" si="1"/>
        <v>5480000</v>
      </c>
      <c r="J39" s="742">
        <v>5469039</v>
      </c>
      <c r="K39" s="743"/>
    </row>
    <row r="40" spans="1:11" ht="12" customHeight="1" x14ac:dyDescent="0.2">
      <c r="A40" s="732"/>
      <c r="B40" s="733"/>
      <c r="C40" s="734"/>
      <c r="D40" s="740"/>
      <c r="E40" s="741"/>
      <c r="F40" s="741"/>
      <c r="G40" s="741"/>
      <c r="H40" s="741"/>
      <c r="I40" s="1753">
        <f t="shared" si="1"/>
        <v>0</v>
      </c>
      <c r="J40" s="742"/>
      <c r="K40" s="743"/>
    </row>
    <row r="41" spans="1:11" ht="12" customHeight="1" x14ac:dyDescent="0.2">
      <c r="A41" s="732" t="s">
        <v>2082</v>
      </c>
      <c r="B41" s="733">
        <v>42675</v>
      </c>
      <c r="C41" s="734">
        <v>2785000</v>
      </c>
      <c r="D41" s="1934" t="s">
        <v>941</v>
      </c>
      <c r="E41" s="741">
        <v>2115000</v>
      </c>
      <c r="F41" s="741"/>
      <c r="G41" s="741"/>
      <c r="H41" s="741">
        <v>685000</v>
      </c>
      <c r="I41" s="1753">
        <f t="shared" si="1"/>
        <v>1430000</v>
      </c>
      <c r="J41" s="742">
        <v>1162146</v>
      </c>
      <c r="K41" s="743"/>
    </row>
    <row r="42" spans="1:11" ht="12" customHeight="1" x14ac:dyDescent="0.2">
      <c r="A42" s="732"/>
      <c r="B42" s="733"/>
      <c r="C42" s="734"/>
      <c r="D42" s="740"/>
      <c r="E42" s="741"/>
      <c r="F42" s="741"/>
      <c r="G42" s="741"/>
      <c r="H42" s="741"/>
      <c r="I42" s="1753">
        <f t="shared" si="1"/>
        <v>0</v>
      </c>
      <c r="J42" s="742"/>
      <c r="K42" s="743"/>
    </row>
    <row r="43" spans="1:11" ht="12" customHeight="1" x14ac:dyDescent="0.2">
      <c r="A43" s="732" t="s">
        <v>2083</v>
      </c>
      <c r="B43" s="733">
        <v>43515</v>
      </c>
      <c r="C43" s="734">
        <v>9025000</v>
      </c>
      <c r="D43" s="740">
        <v>6</v>
      </c>
      <c r="E43" s="741"/>
      <c r="F43" s="741">
        <v>9025000</v>
      </c>
      <c r="G43" s="741"/>
      <c r="H43" s="741">
        <v>850000</v>
      </c>
      <c r="I43" s="1753">
        <f t="shared" si="1"/>
        <v>8175000</v>
      </c>
      <c r="J43" s="742">
        <v>8687215</v>
      </c>
      <c r="K43" s="743"/>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31460000</v>
      </c>
      <c r="D49" s="744"/>
      <c r="E49" s="1753">
        <f t="shared" ref="E49:J49" si="2">SUM(E31:E48)</f>
        <v>16140000</v>
      </c>
      <c r="F49" s="1753">
        <f t="shared" si="2"/>
        <v>9025000</v>
      </c>
      <c r="G49" s="1753">
        <f t="shared" si="2"/>
        <v>0</v>
      </c>
      <c r="H49" s="1753">
        <f t="shared" si="2"/>
        <v>3860000</v>
      </c>
      <c r="I49" s="1753">
        <f t="shared" si="2"/>
        <v>21305000</v>
      </c>
      <c r="J49" s="1753">
        <f t="shared" si="2"/>
        <v>20119827</v>
      </c>
      <c r="K49" s="737"/>
    </row>
    <row r="50" spans="1:11" ht="6" customHeight="1" x14ac:dyDescent="0.2">
      <c r="A50" s="745"/>
      <c r="B50" s="736"/>
      <c r="C50" s="736"/>
      <c r="D50" s="736"/>
      <c r="E50" s="736"/>
      <c r="F50" s="736"/>
      <c r="G50" s="736"/>
      <c r="H50" s="736"/>
      <c r="I50" s="736"/>
      <c r="J50" s="745"/>
    </row>
    <row r="51" spans="1:11" x14ac:dyDescent="0.2">
      <c r="A51" s="746" t="s">
        <v>1804</v>
      </c>
      <c r="B51" s="745"/>
      <c r="C51" s="737"/>
      <c r="D51" s="737"/>
      <c r="E51" s="737"/>
      <c r="F51" s="737"/>
      <c r="G51" s="737"/>
      <c r="H51" s="736"/>
      <c r="I51" s="736"/>
      <c r="J51" s="745"/>
    </row>
    <row r="52" spans="1:11" ht="11.25" customHeight="1" x14ac:dyDescent="0.2">
      <c r="A52" s="747" t="s">
        <v>912</v>
      </c>
      <c r="B52" s="2184" t="s">
        <v>584</v>
      </c>
      <c r="C52" s="2185"/>
      <c r="D52" s="2185"/>
      <c r="E52" s="748" t="s">
        <v>845</v>
      </c>
      <c r="F52" s="2186"/>
      <c r="G52" s="2187"/>
      <c r="H52" s="736"/>
      <c r="I52" s="736"/>
      <c r="J52" s="745"/>
    </row>
    <row r="53" spans="1:11" ht="11.25" customHeight="1" x14ac:dyDescent="0.2">
      <c r="A53" s="749" t="s">
        <v>913</v>
      </c>
      <c r="B53" s="750" t="s">
        <v>951</v>
      </c>
      <c r="C53" s="745"/>
      <c r="D53" s="737"/>
      <c r="E53" s="748" t="s">
        <v>497</v>
      </c>
      <c r="F53" s="2188"/>
      <c r="G53" s="2189"/>
      <c r="H53" s="736"/>
      <c r="I53" s="736"/>
      <c r="J53" s="745"/>
    </row>
    <row r="54" spans="1:11" ht="11.25" customHeight="1" x14ac:dyDescent="0.2">
      <c r="A54" s="751" t="s">
        <v>914</v>
      </c>
      <c r="B54" s="746" t="s">
        <v>952</v>
      </c>
      <c r="C54" s="745"/>
      <c r="D54" s="737"/>
      <c r="E54" s="748" t="s">
        <v>498</v>
      </c>
      <c r="F54" s="2188"/>
      <c r="G54" s="2189"/>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29"/>
      <c r="I1" s="759"/>
      <c r="J1" s="433"/>
    </row>
    <row r="2" spans="1:11" ht="26.25" x14ac:dyDescent="0.2">
      <c r="A2" s="2232" t="s">
        <v>1677</v>
      </c>
      <c r="B2" s="2233"/>
      <c r="C2" s="2233"/>
      <c r="D2" s="2233"/>
      <c r="E2" s="2234"/>
      <c r="F2" s="760" t="s">
        <v>904</v>
      </c>
      <c r="G2" s="761" t="s">
        <v>1674</v>
      </c>
      <c r="H2" s="761" t="s">
        <v>410</v>
      </c>
      <c r="I2" s="761" t="s">
        <v>1158</v>
      </c>
      <c r="J2" s="761" t="s">
        <v>1809</v>
      </c>
      <c r="K2" s="761" t="s">
        <v>138</v>
      </c>
    </row>
    <row r="3" spans="1:11" x14ac:dyDescent="0.2">
      <c r="A3" s="2235" t="s">
        <v>1961</v>
      </c>
      <c r="B3" s="2236"/>
      <c r="C3" s="2236"/>
      <c r="D3" s="2236"/>
      <c r="E3" s="2237"/>
      <c r="F3" s="762"/>
      <c r="G3" s="763"/>
      <c r="H3" s="763"/>
      <c r="I3" s="763"/>
      <c r="J3" s="764"/>
      <c r="K3" s="764"/>
    </row>
    <row r="4" spans="1:11" x14ac:dyDescent="0.2">
      <c r="A4" s="2238" t="s">
        <v>369</v>
      </c>
      <c r="B4" s="2239"/>
      <c r="C4" s="2239"/>
      <c r="D4" s="2239"/>
      <c r="E4" s="2185"/>
      <c r="F4" s="765"/>
      <c r="G4" s="766"/>
      <c r="H4" s="767"/>
      <c r="I4" s="766"/>
      <c r="J4" s="768"/>
      <c r="K4" s="768"/>
    </row>
    <row r="5" spans="1:11" x14ac:dyDescent="0.2">
      <c r="A5" s="2216" t="s">
        <v>1069</v>
      </c>
      <c r="B5" s="2217"/>
      <c r="C5" s="2217"/>
      <c r="D5" s="2217"/>
      <c r="E5" s="2218"/>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6" t="s">
        <v>1810</v>
      </c>
      <c r="B10" s="2217"/>
      <c r="C10" s="2217"/>
      <c r="D10" s="2217"/>
      <c r="E10" s="2219"/>
      <c r="F10" s="782" t="s">
        <v>862</v>
      </c>
      <c r="G10" s="781"/>
      <c r="H10" s="783"/>
      <c r="I10" s="763"/>
      <c r="J10" s="764"/>
      <c r="K10" s="764"/>
    </row>
    <row r="11" spans="1:11" x14ac:dyDescent="0.2">
      <c r="A11" s="2216" t="s">
        <v>160</v>
      </c>
      <c r="B11" s="2217"/>
      <c r="C11" s="2217"/>
      <c r="D11" s="2217"/>
      <c r="E11" s="2218"/>
      <c r="F11" s="769" t="s">
        <v>852</v>
      </c>
      <c r="G11" s="770"/>
      <c r="H11" s="763"/>
      <c r="I11" s="763"/>
      <c r="J11" s="764"/>
      <c r="K11" s="772"/>
    </row>
    <row r="12" spans="1:11" ht="13.5" thickBot="1" x14ac:dyDescent="0.25">
      <c r="A12" s="2243" t="s">
        <v>905</v>
      </c>
      <c r="B12" s="2244"/>
      <c r="C12" s="2244"/>
      <c r="D12" s="2244"/>
      <c r="E12" s="2245"/>
      <c r="F12" s="1754"/>
      <c r="G12" s="1755">
        <f>SUM(G5:G11)</f>
        <v>0</v>
      </c>
      <c r="H12" s="1755">
        <f>SUM(H5:H11)</f>
        <v>0</v>
      </c>
      <c r="I12" s="1755">
        <f>SUM(I5:I11)</f>
        <v>0</v>
      </c>
      <c r="J12" s="1755">
        <f>SUM(J5:J11)</f>
        <v>0</v>
      </c>
      <c r="K12" s="1755">
        <f>SUM(K5:K11)</f>
        <v>0</v>
      </c>
    </row>
    <row r="13" spans="1:11" ht="13.5" thickTop="1" x14ac:dyDescent="0.2">
      <c r="A13" s="2240" t="s">
        <v>370</v>
      </c>
      <c r="B13" s="2241"/>
      <c r="C13" s="2241"/>
      <c r="D13" s="2241"/>
      <c r="E13" s="2242"/>
      <c r="F13" s="784"/>
      <c r="G13" s="785"/>
      <c r="H13" s="786"/>
      <c r="I13" s="787"/>
      <c r="J13" s="787"/>
      <c r="K13" s="787"/>
    </row>
    <row r="14" spans="1:11" x14ac:dyDescent="0.2">
      <c r="A14" s="2223" t="s">
        <v>456</v>
      </c>
      <c r="B14" s="2223"/>
      <c r="C14" s="2223"/>
      <c r="D14" s="2223"/>
      <c r="E14" s="2224"/>
      <c r="F14" s="788" t="s">
        <v>854</v>
      </c>
      <c r="G14" s="781"/>
      <c r="H14" s="763"/>
      <c r="I14" s="770"/>
      <c r="J14" s="772"/>
      <c r="K14" s="764"/>
    </row>
    <row r="15" spans="1:11" x14ac:dyDescent="0.2">
      <c r="A15" s="2217" t="s">
        <v>4</v>
      </c>
      <c r="B15" s="2217"/>
      <c r="C15" s="2217"/>
      <c r="D15" s="2217"/>
      <c r="E15" s="2218"/>
      <c r="F15" s="788" t="s">
        <v>855</v>
      </c>
      <c r="G15" s="770"/>
      <c r="H15" s="763"/>
      <c r="I15" s="763"/>
      <c r="J15" s="764"/>
      <c r="K15" s="764"/>
    </row>
    <row r="16" spans="1:11" x14ac:dyDescent="0.2">
      <c r="A16" s="2217" t="s">
        <v>298</v>
      </c>
      <c r="B16" s="2217"/>
      <c r="C16" s="2217"/>
      <c r="D16" s="2217"/>
      <c r="E16" s="2218"/>
      <c r="F16" s="788" t="s">
        <v>923</v>
      </c>
      <c r="G16" s="771"/>
      <c r="H16" s="766"/>
      <c r="I16" s="766"/>
      <c r="J16" s="768"/>
      <c r="K16" s="768"/>
    </row>
    <row r="17" spans="1:11" x14ac:dyDescent="0.2">
      <c r="A17" s="2248" t="s">
        <v>935</v>
      </c>
      <c r="B17" s="2248"/>
      <c r="C17" s="2248"/>
      <c r="D17" s="2248"/>
      <c r="E17" s="2249"/>
      <c r="F17" s="789"/>
      <c r="G17" s="790"/>
      <c r="H17" s="791"/>
      <c r="I17" s="791"/>
      <c r="J17" s="792"/>
      <c r="K17" s="793"/>
    </row>
    <row r="18" spans="1:11" x14ac:dyDescent="0.2">
      <c r="A18" s="2227" t="s">
        <v>368</v>
      </c>
      <c r="B18" s="2228"/>
      <c r="C18" s="2228"/>
      <c r="D18" s="2228"/>
      <c r="E18" s="2229"/>
      <c r="F18" s="788" t="s">
        <v>932</v>
      </c>
      <c r="G18" s="781"/>
      <c r="H18" s="781"/>
      <c r="I18" s="781"/>
      <c r="J18" s="764"/>
      <c r="K18" s="794"/>
    </row>
    <row r="19" spans="1:11" ht="21.75" customHeight="1" x14ac:dyDescent="0.2">
      <c r="A19" s="2225" t="s">
        <v>1806</v>
      </c>
      <c r="B19" s="2225"/>
      <c r="C19" s="2225"/>
      <c r="D19" s="2225"/>
      <c r="E19" s="2226"/>
      <c r="F19" s="788" t="s">
        <v>933</v>
      </c>
      <c r="G19" s="781"/>
      <c r="H19" s="781"/>
      <c r="I19" s="781"/>
      <c r="J19" s="764"/>
      <c r="K19" s="794"/>
    </row>
    <row r="20" spans="1:11" x14ac:dyDescent="0.2">
      <c r="A20" s="2227" t="s">
        <v>1811</v>
      </c>
      <c r="B20" s="2228"/>
      <c r="C20" s="2228"/>
      <c r="D20" s="2228"/>
      <c r="E20" s="2229"/>
      <c r="F20" s="788" t="s">
        <v>934</v>
      </c>
      <c r="G20" s="781"/>
      <c r="H20" s="781"/>
      <c r="I20" s="781"/>
      <c r="J20" s="764"/>
      <c r="K20" s="794"/>
    </row>
    <row r="21" spans="1:11" ht="13.5" thickBot="1" x14ac:dyDescent="0.25">
      <c r="A21" s="2246" t="s">
        <v>638</v>
      </c>
      <c r="B21" s="2246"/>
      <c r="C21" s="2246"/>
      <c r="D21" s="2246"/>
      <c r="E21" s="2246"/>
      <c r="F21" s="1756"/>
      <c r="G21" s="791"/>
      <c r="H21" s="795"/>
      <c r="I21" s="795"/>
      <c r="J21" s="1757">
        <f>SUM(J18:J20)</f>
        <v>0</v>
      </c>
      <c r="K21" s="792"/>
    </row>
    <row r="22" spans="1:11" ht="13.5" thickTop="1" x14ac:dyDescent="0.2">
      <c r="A22" s="2217" t="s">
        <v>1812</v>
      </c>
      <c r="B22" s="2217"/>
      <c r="C22" s="2217"/>
      <c r="D22" s="2217"/>
      <c r="E22" s="2218"/>
      <c r="F22" s="788" t="s">
        <v>862</v>
      </c>
      <c r="G22" s="781"/>
      <c r="H22" s="763"/>
      <c r="I22" s="763"/>
      <c r="J22" s="796"/>
      <c r="K22" s="764"/>
    </row>
    <row r="23" spans="1:11" ht="13.5" thickBot="1" x14ac:dyDescent="0.25">
      <c r="A23" s="2247" t="s">
        <v>906</v>
      </c>
      <c r="B23" s="2246"/>
      <c r="C23" s="2246"/>
      <c r="D23" s="2246"/>
      <c r="E23" s="2246"/>
      <c r="F23" s="1758"/>
      <c r="G23" s="1755">
        <f>SUM(G14:G16,G21,G22)</f>
        <v>0</v>
      </c>
      <c r="H23" s="1755">
        <f>SUM(H14:H16,H21,H22)</f>
        <v>0</v>
      </c>
      <c r="I23" s="1755">
        <f>SUM(I14:I16,I21,I22)</f>
        <v>0</v>
      </c>
      <c r="J23" s="1755">
        <f>SUM(J14:J16,J21,J22)</f>
        <v>0</v>
      </c>
      <c r="K23" s="1755">
        <f>SUM(K14:K16,K21,K22)</f>
        <v>0</v>
      </c>
    </row>
    <row r="24" spans="1:11" ht="14.25" thickTop="1" thickBot="1" x14ac:dyDescent="0.25">
      <c r="A24" s="2247" t="s">
        <v>1962</v>
      </c>
      <c r="B24" s="2246"/>
      <c r="C24" s="2246"/>
      <c r="D24" s="2246"/>
      <c r="E24" s="2246"/>
      <c r="F24" s="1759"/>
      <c r="G24" s="1760">
        <f>SUM(G3,G12)-G23</f>
        <v>0</v>
      </c>
      <c r="H24" s="1760">
        <f>SUM(H3,H12)-H23</f>
        <v>0</v>
      </c>
      <c r="I24" s="1760">
        <f>SUM(I3,I12)-I23</f>
        <v>0</v>
      </c>
      <c r="J24" s="1760">
        <f>SUM(J3,J12)-J23</f>
        <v>0</v>
      </c>
      <c r="K24" s="1760">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2"/>
      <c r="G28" s="803"/>
    </row>
    <row r="29" spans="1:11" x14ac:dyDescent="0.2">
      <c r="B29" s="501"/>
      <c r="C29" s="501"/>
      <c r="D29" s="501"/>
      <c r="F29" s="202"/>
      <c r="G29" s="804"/>
    </row>
    <row r="30" spans="1:11" x14ac:dyDescent="0.2">
      <c r="A30" s="805" t="s">
        <v>572</v>
      </c>
      <c r="B30" s="806"/>
      <c r="C30" s="805" t="s">
        <v>383</v>
      </c>
      <c r="D30" s="806"/>
      <c r="E30" s="807" t="s">
        <v>768</v>
      </c>
      <c r="F30" s="202"/>
      <c r="G30" s="804"/>
    </row>
    <row r="31" spans="1:11" x14ac:dyDescent="0.2">
      <c r="A31" s="808"/>
      <c r="D31" s="237"/>
      <c r="E31" s="809" t="s">
        <v>769</v>
      </c>
      <c r="F31" s="810" t="s">
        <v>539</v>
      </c>
      <c r="G31" s="763"/>
      <c r="H31" s="2220"/>
      <c r="I31" s="2221"/>
      <c r="J31" s="2221"/>
      <c r="K31" s="2221"/>
    </row>
    <row r="32" spans="1:11" x14ac:dyDescent="0.2">
      <c r="A32" s="808"/>
      <c r="B32" s="237"/>
      <c r="C32" s="237"/>
      <c r="D32" s="237"/>
      <c r="E32" s="804"/>
      <c r="F32" s="810" t="s">
        <v>540</v>
      </c>
      <c r="G32" s="763"/>
      <c r="H32" s="2222"/>
      <c r="I32" s="2221"/>
      <c r="J32" s="2221"/>
      <c r="K32" s="2221"/>
    </row>
    <row r="33" spans="1:11" ht="1.5" customHeight="1" x14ac:dyDescent="0.2">
      <c r="A33" s="811" t="s">
        <v>1169</v>
      </c>
      <c r="B33" s="364"/>
      <c r="C33" s="364"/>
      <c r="D33" s="364"/>
      <c r="E33" s="364"/>
      <c r="F33" s="364"/>
      <c r="G33" s="812"/>
      <c r="H33" s="2222"/>
      <c r="I33" s="2221"/>
      <c r="J33" s="2221"/>
      <c r="K33" s="2221"/>
    </row>
    <row r="34" spans="1:11" x14ac:dyDescent="0.2">
      <c r="A34" s="813" t="s">
        <v>1813</v>
      </c>
      <c r="B34" s="364"/>
      <c r="C34" s="364"/>
      <c r="D34" s="364"/>
      <c r="E34" s="364"/>
      <c r="F34" s="364"/>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7" t="s">
        <v>541</v>
      </c>
      <c r="B41" s="2230"/>
      <c r="C41" s="2230"/>
      <c r="D41" s="2230"/>
      <c r="E41" s="2230"/>
      <c r="F41" s="2231"/>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1807</v>
      </c>
      <c r="B46" s="408" t="s">
        <v>1675</v>
      </c>
    </row>
    <row r="47" spans="1:11" s="822" customFormat="1" ht="12.75" customHeight="1" x14ac:dyDescent="0.2">
      <c r="A47" s="820"/>
      <c r="B47" s="821" t="s">
        <v>1676</v>
      </c>
      <c r="E47" s="821"/>
      <c r="K47" s="823"/>
    </row>
    <row r="48" spans="1:11" ht="12.75" customHeight="1" x14ac:dyDescent="0.2">
      <c r="A48" s="1531"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5"/>
      <c r="E1" s="826"/>
      <c r="F1" s="826"/>
      <c r="G1" s="827"/>
      <c r="H1" s="828"/>
      <c r="I1" s="829"/>
      <c r="J1" s="2250"/>
      <c r="K1" s="2251"/>
      <c r="L1" s="2251"/>
    </row>
    <row r="2" spans="1:14" ht="69.75" customHeight="1" x14ac:dyDescent="0.2">
      <c r="A2" s="830" t="s">
        <v>1678</v>
      </c>
      <c r="B2" s="831" t="s">
        <v>378</v>
      </c>
      <c r="C2" s="832" t="s">
        <v>1963</v>
      </c>
      <c r="D2" s="832" t="s">
        <v>1964</v>
      </c>
      <c r="E2" s="832" t="s">
        <v>1965</v>
      </c>
      <c r="F2" s="832" t="s">
        <v>1966</v>
      </c>
      <c r="G2" s="832" t="s">
        <v>605</v>
      </c>
      <c r="H2" s="832" t="s">
        <v>1967</v>
      </c>
      <c r="I2" s="832" t="s">
        <v>1968</v>
      </c>
      <c r="J2" s="832" t="s">
        <v>1969</v>
      </c>
      <c r="K2" s="832" t="s">
        <v>1970</v>
      </c>
      <c r="L2" s="832" t="s">
        <v>1971</v>
      </c>
      <c r="M2" s="833"/>
      <c r="N2" s="833"/>
    </row>
    <row r="3" spans="1:14" ht="13.5" thickBot="1" x14ac:dyDescent="0.25">
      <c r="A3" s="1628" t="s">
        <v>892</v>
      </c>
      <c r="B3" s="1629">
        <v>210</v>
      </c>
      <c r="C3" s="834"/>
      <c r="D3" s="834"/>
      <c r="E3" s="834"/>
      <c r="F3" s="1757">
        <f>(C3+D3)-E3</f>
        <v>0</v>
      </c>
      <c r="G3" s="835"/>
      <c r="H3" s="834"/>
      <c r="I3" s="834"/>
      <c r="J3" s="834"/>
      <c r="K3" s="1766">
        <f>(H3+I3)-J3</f>
        <v>0</v>
      </c>
      <c r="L3" s="1766">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194077</v>
      </c>
      <c r="D5" s="840"/>
      <c r="E5" s="840"/>
      <c r="F5" s="1757">
        <f>(C5+D5)-E5</f>
        <v>194077</v>
      </c>
      <c r="G5" s="836"/>
      <c r="H5" s="841"/>
      <c r="I5" s="841"/>
      <c r="J5" s="841"/>
      <c r="K5" s="792"/>
      <c r="L5" s="1766">
        <f>F5-K5</f>
        <v>194077</v>
      </c>
    </row>
    <row r="6" spans="1:14" ht="14.25" thickTop="1" thickBot="1" x14ac:dyDescent="0.25">
      <c r="A6" s="777" t="s">
        <v>1117</v>
      </c>
      <c r="B6" s="839">
        <v>222</v>
      </c>
      <c r="C6" s="764"/>
      <c r="D6" s="764"/>
      <c r="E6" s="764"/>
      <c r="F6" s="1757">
        <f>(C6+D6)-E6</f>
        <v>0</v>
      </c>
      <c r="G6" s="836">
        <v>50</v>
      </c>
      <c r="H6" s="764"/>
      <c r="I6" s="764"/>
      <c r="J6" s="764"/>
      <c r="K6" s="1766">
        <f>(H6+I6)-J6</f>
        <v>0</v>
      </c>
      <c r="L6" s="1766">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106952267</v>
      </c>
      <c r="D8" s="843">
        <v>1854809</v>
      </c>
      <c r="E8" s="843"/>
      <c r="F8" s="1757">
        <f>(C8+D8)-E8</f>
        <v>108807076</v>
      </c>
      <c r="G8" s="842">
        <v>50</v>
      </c>
      <c r="H8" s="764">
        <v>37799197</v>
      </c>
      <c r="I8" s="764">
        <v>2014511</v>
      </c>
      <c r="J8" s="764"/>
      <c r="K8" s="1766">
        <f>(H8+I8)-J8</f>
        <v>39813708</v>
      </c>
      <c r="L8" s="1766">
        <f>F8-K8</f>
        <v>68993368</v>
      </c>
    </row>
    <row r="9" spans="1:14" ht="14.25" thickTop="1" thickBot="1" x14ac:dyDescent="0.25">
      <c r="A9" s="777" t="s">
        <v>1119</v>
      </c>
      <c r="B9" s="839">
        <v>232</v>
      </c>
      <c r="C9" s="764"/>
      <c r="D9" s="764"/>
      <c r="E9" s="764"/>
      <c r="F9" s="1757">
        <f>(C9+D9)-E9</f>
        <v>0</v>
      </c>
      <c r="G9" s="842">
        <v>20</v>
      </c>
      <c r="H9" s="764"/>
      <c r="I9" s="764"/>
      <c r="J9" s="764"/>
      <c r="K9" s="1766">
        <f>(H9+I9)-J9</f>
        <v>0</v>
      </c>
      <c r="L9" s="1766">
        <f>F9-K9</f>
        <v>0</v>
      </c>
    </row>
    <row r="10" spans="1:14" ht="24" thickTop="1" thickBot="1" x14ac:dyDescent="0.25">
      <c r="A10" s="844" t="s">
        <v>1120</v>
      </c>
      <c r="B10" s="839">
        <v>240</v>
      </c>
      <c r="C10" s="845">
        <v>3819686</v>
      </c>
      <c r="D10" s="845">
        <v>38020</v>
      </c>
      <c r="E10" s="845"/>
      <c r="F10" s="1761">
        <f>(C10+D10)-E10</f>
        <v>3857706</v>
      </c>
      <c r="G10" s="842">
        <v>20</v>
      </c>
      <c r="H10" s="846">
        <v>2868663</v>
      </c>
      <c r="I10" s="846">
        <v>100779</v>
      </c>
      <c r="J10" s="846"/>
      <c r="K10" s="1766">
        <f>(H10+I10)-J10</f>
        <v>2969442</v>
      </c>
      <c r="L10" s="1766">
        <f>F10-K10</f>
        <v>888264</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29675025</v>
      </c>
      <c r="D12" s="843">
        <v>1251683</v>
      </c>
      <c r="E12" s="843"/>
      <c r="F12" s="1757">
        <f>(C12+D12)-E12</f>
        <v>30926708</v>
      </c>
      <c r="G12" s="842">
        <v>10</v>
      </c>
      <c r="H12" s="764">
        <v>23665097</v>
      </c>
      <c r="I12" s="764">
        <f>16267+1113587</f>
        <v>1129854</v>
      </c>
      <c r="J12" s="764"/>
      <c r="K12" s="1766">
        <f>(H12+I12)-J12</f>
        <v>24794951</v>
      </c>
      <c r="L12" s="1766">
        <f>F12-K12</f>
        <v>6131757</v>
      </c>
    </row>
    <row r="13" spans="1:14" ht="14.25" thickTop="1" thickBot="1" x14ac:dyDescent="0.25">
      <c r="A13" s="847" t="s">
        <v>1122</v>
      </c>
      <c r="B13" s="839">
        <v>252</v>
      </c>
      <c r="C13" s="843"/>
      <c r="D13" s="843"/>
      <c r="E13" s="843"/>
      <c r="F13" s="1757">
        <f>(C13+D13)-E13</f>
        <v>0</v>
      </c>
      <c r="G13" s="842">
        <v>5</v>
      </c>
      <c r="H13" s="764"/>
      <c r="I13" s="764"/>
      <c r="J13" s="764"/>
      <c r="K13" s="1766">
        <f>(H13+I13)-J13</f>
        <v>0</v>
      </c>
      <c r="L13" s="1766">
        <f>F13-K13</f>
        <v>0</v>
      </c>
    </row>
    <row r="14" spans="1:14" ht="14.25" thickTop="1" thickBot="1" x14ac:dyDescent="0.25">
      <c r="A14" s="847" t="s">
        <v>1123</v>
      </c>
      <c r="B14" s="839">
        <v>253</v>
      </c>
      <c r="C14" s="764"/>
      <c r="D14" s="764"/>
      <c r="E14" s="764"/>
      <c r="F14" s="1757">
        <f>(C14+D14)-E14</f>
        <v>0</v>
      </c>
      <c r="G14" s="842">
        <v>3</v>
      </c>
      <c r="H14" s="764"/>
      <c r="I14" s="764"/>
      <c r="J14" s="764"/>
      <c r="K14" s="1766">
        <f>(H14+I14)-J14</f>
        <v>0</v>
      </c>
      <c r="L14" s="1766">
        <f>F14-K14</f>
        <v>0</v>
      </c>
    </row>
    <row r="15" spans="1:14" ht="15" customHeight="1" thickTop="1" thickBot="1" x14ac:dyDescent="0.25">
      <c r="A15" s="1630" t="s">
        <v>528</v>
      </c>
      <c r="B15" s="1629">
        <v>260</v>
      </c>
      <c r="C15" s="843"/>
      <c r="D15" s="843"/>
      <c r="E15" s="843"/>
      <c r="F15" s="1757">
        <f>(C15+D15)-E15</f>
        <v>0</v>
      </c>
      <c r="G15" s="848" t="s">
        <v>862</v>
      </c>
      <c r="H15" s="780"/>
      <c r="I15" s="780"/>
      <c r="J15" s="780"/>
      <c r="K15" s="780"/>
      <c r="L15" s="1766">
        <f>F15-K15</f>
        <v>0</v>
      </c>
    </row>
    <row r="16" spans="1:14" ht="15" customHeight="1" thickTop="1" thickBot="1" x14ac:dyDescent="0.25">
      <c r="A16" s="1762" t="s">
        <v>643</v>
      </c>
      <c r="B16" s="1763">
        <v>200</v>
      </c>
      <c r="C16" s="1757">
        <f>SUM(C3,C5:C6,C8:C10,C12:C15)</f>
        <v>140641055</v>
      </c>
      <c r="D16" s="1757">
        <f>SUM(D3,D5:D6,D8:D10,D12:D15)</f>
        <v>3144512</v>
      </c>
      <c r="E16" s="1757">
        <f>SUM(E3,E5:E6,E8:E10,E12:E15)</f>
        <v>0</v>
      </c>
      <c r="F16" s="1757">
        <f>SUM(F3,F5:F6,F8:F10,F12:F15)</f>
        <v>143785567</v>
      </c>
      <c r="G16" s="842"/>
      <c r="H16" s="1757">
        <f>SUM(H3,H6,H8:H10,H12:H14,)</f>
        <v>64332957</v>
      </c>
      <c r="I16" s="1757">
        <f>SUM(I3,I6,I8:I10,I12:I14,)</f>
        <v>3245144</v>
      </c>
      <c r="J16" s="1757">
        <f>SUM(J3,J6,J8:J10,J12:J14,)</f>
        <v>0</v>
      </c>
      <c r="K16" s="1757">
        <f>(H16+I16)-J16</f>
        <v>67578101</v>
      </c>
      <c r="L16" s="1757">
        <f>F16-K16</f>
        <v>76207466</v>
      </c>
    </row>
    <row r="17" spans="1:12" ht="15" customHeight="1" thickTop="1" thickBot="1" x14ac:dyDescent="0.25">
      <c r="A17" s="1632" t="s">
        <v>291</v>
      </c>
      <c r="B17" s="1629">
        <v>700</v>
      </c>
      <c r="C17" s="768"/>
      <c r="D17" s="768"/>
      <c r="E17" s="768"/>
      <c r="F17" s="1757">
        <f>SUM('Expenditures 15-22'!I114,'Expenditures 15-22'!I151,'Expenditures 15-22'!I210,'Expenditures 15-22'!I312,'Expenditures 15-22'!I342,'Expenditures 15-22'!I367)</f>
        <v>0</v>
      </c>
      <c r="G17" s="836">
        <v>10</v>
      </c>
      <c r="H17" s="768"/>
      <c r="I17" s="1766">
        <f>F17/G17</f>
        <v>0</v>
      </c>
      <c r="J17" s="768"/>
      <c r="K17" s="794"/>
      <c r="L17" s="794"/>
    </row>
    <row r="18" spans="1:12" ht="14.25" thickTop="1" thickBot="1" x14ac:dyDescent="0.25">
      <c r="A18" s="1764" t="s">
        <v>685</v>
      </c>
      <c r="B18" s="1765"/>
      <c r="C18" s="770"/>
      <c r="D18" s="770"/>
      <c r="E18" s="770"/>
      <c r="F18" s="849"/>
      <c r="G18" s="850"/>
      <c r="H18" s="772"/>
      <c r="I18" s="1757">
        <f>SUM(I16,I17)</f>
        <v>3245144</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67" activePane="bottomLeft" state="frozen"/>
      <selection activeCell="A47" sqref="A47"/>
      <selection pane="bottomLeft" activeCell="F204" sqref="F204"/>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8" t="s">
        <v>1972</v>
      </c>
      <c r="B1" s="2259"/>
      <c r="C1" s="2259"/>
      <c r="D1" s="2259"/>
      <c r="E1" s="2259"/>
      <c r="F1" s="2260"/>
      <c r="G1" s="854"/>
    </row>
    <row r="2" spans="1:7" ht="15" customHeight="1" thickBot="1" x14ac:dyDescent="0.25">
      <c r="A2" s="2261" t="s">
        <v>477</v>
      </c>
      <c r="B2" s="2262"/>
      <c r="C2" s="2262"/>
      <c r="D2" s="2262"/>
      <c r="E2" s="2262"/>
      <c r="F2" s="2263"/>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5">
        <f>'Expenditures 15-22'!K114</f>
        <v>57868798</v>
      </c>
      <c r="G8" s="864"/>
    </row>
    <row r="9" spans="1:7" x14ac:dyDescent="0.2">
      <c r="A9" s="868" t="s">
        <v>460</v>
      </c>
      <c r="B9" s="869" t="s">
        <v>1874</v>
      </c>
      <c r="C9" s="870"/>
      <c r="D9" s="868" t="s">
        <v>501</v>
      </c>
      <c r="E9" s="867"/>
      <c r="F9" s="1906">
        <f>'Expenditures 15-22'!K151</f>
        <v>4389767</v>
      </c>
      <c r="G9" s="871"/>
    </row>
    <row r="10" spans="1:7" x14ac:dyDescent="0.2">
      <c r="A10" s="868" t="s">
        <v>499</v>
      </c>
      <c r="B10" s="869" t="s">
        <v>1875</v>
      </c>
      <c r="C10" s="870"/>
      <c r="D10" s="868" t="s">
        <v>501</v>
      </c>
      <c r="E10" s="867"/>
      <c r="F10" s="1906">
        <f>'Expenditures 15-22'!K174</f>
        <v>4499342</v>
      </c>
      <c r="G10" s="871"/>
    </row>
    <row r="11" spans="1:7" x14ac:dyDescent="0.2">
      <c r="A11" s="868" t="s">
        <v>461</v>
      </c>
      <c r="B11" s="869" t="s">
        <v>1876</v>
      </c>
      <c r="C11" s="870"/>
      <c r="D11" s="868" t="s">
        <v>501</v>
      </c>
      <c r="E11" s="867"/>
      <c r="F11" s="1906">
        <f>'Expenditures 15-22'!K210</f>
        <v>3709079</v>
      </c>
      <c r="G11" s="871"/>
    </row>
    <row r="12" spans="1:7" x14ac:dyDescent="0.2">
      <c r="A12" s="868" t="s">
        <v>462</v>
      </c>
      <c r="B12" s="869" t="s">
        <v>1877</v>
      </c>
      <c r="C12" s="870"/>
      <c r="D12" s="868" t="s">
        <v>501</v>
      </c>
      <c r="E12" s="867"/>
      <c r="F12" s="1906">
        <f>'Expenditures 15-22'!K295</f>
        <v>1798002</v>
      </c>
      <c r="G12" s="871"/>
    </row>
    <row r="13" spans="1:7" x14ac:dyDescent="0.2">
      <c r="A13" s="868" t="s">
        <v>106</v>
      </c>
      <c r="B13" s="869" t="s">
        <v>1878</v>
      </c>
      <c r="C13" s="870"/>
      <c r="D13" s="868" t="s">
        <v>501</v>
      </c>
      <c r="E13" s="867"/>
      <c r="F13" s="1906">
        <f>'Expenditures 15-22'!K342</f>
        <v>386703</v>
      </c>
      <c r="G13" s="872"/>
    </row>
    <row r="14" spans="1:7" ht="12" customHeight="1" thickBot="1" x14ac:dyDescent="0.25">
      <c r="A14" s="1767"/>
      <c r="B14" s="1768"/>
      <c r="C14" s="1769"/>
      <c r="D14" s="1770" t="s">
        <v>501</v>
      </c>
      <c r="E14" s="1771" t="s">
        <v>958</v>
      </c>
      <c r="F14" s="1772">
        <f>SUM(F8:F13)</f>
        <v>72651691</v>
      </c>
      <c r="G14" s="864"/>
    </row>
    <row r="15" spans="1:7" ht="3.75" customHeight="1" thickTop="1" x14ac:dyDescent="0.2">
      <c r="A15" s="864"/>
      <c r="B15" s="864"/>
      <c r="C15" s="870"/>
      <c r="D15" s="864"/>
      <c r="E15" s="867"/>
      <c r="F15" s="864"/>
      <c r="G15" s="864"/>
    </row>
    <row r="16" spans="1:7" ht="12" customHeight="1" x14ac:dyDescent="0.2">
      <c r="A16" s="873" t="s">
        <v>512</v>
      </c>
      <c r="B16" s="231"/>
      <c r="C16" s="231"/>
      <c r="D16" s="866"/>
      <c r="E16" s="867"/>
      <c r="F16" s="866"/>
      <c r="G16" s="864"/>
    </row>
    <row r="17" spans="1:7" ht="4.5" customHeight="1" x14ac:dyDescent="0.2">
      <c r="A17" s="873"/>
      <c r="B17" s="231"/>
      <c r="C17" s="231"/>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7">
        <f>'Revenues 9-14'!F43</f>
        <v>0</v>
      </c>
      <c r="G18" s="864"/>
    </row>
    <row r="19" spans="1:7" x14ac:dyDescent="0.2">
      <c r="A19" s="868" t="s">
        <v>461</v>
      </c>
      <c r="B19" s="869" t="s">
        <v>1011</v>
      </c>
      <c r="C19" s="876">
        <f>'Revenues 9-14'!B47</f>
        <v>1421</v>
      </c>
      <c r="D19" s="877" t="str">
        <f>'Revenues 9-14'!A47</f>
        <v>Summer Sch - Transp. Fees from Pupils or Parents (In State)</v>
      </c>
      <c r="E19" s="878"/>
      <c r="F19" s="1908">
        <f>'Revenues 9-14'!F47</f>
        <v>400</v>
      </c>
      <c r="G19" s="864"/>
    </row>
    <row r="20" spans="1:7" x14ac:dyDescent="0.2">
      <c r="A20" s="868" t="s">
        <v>461</v>
      </c>
      <c r="B20" s="869" t="s">
        <v>1012</v>
      </c>
      <c r="C20" s="874">
        <f>'Revenues 9-14'!B48</f>
        <v>1422</v>
      </c>
      <c r="D20" s="875" t="str">
        <f>'Revenues 9-14'!A48</f>
        <v>Summer Sch - Transp. Fees from Other Districts (In State)</v>
      </c>
      <c r="E20" s="867"/>
      <c r="F20" s="1909">
        <f>'Revenues 9-14'!F48</f>
        <v>0</v>
      </c>
      <c r="G20" s="864"/>
    </row>
    <row r="21" spans="1:7" x14ac:dyDescent="0.2">
      <c r="A21" s="868" t="s">
        <v>461</v>
      </c>
      <c r="B21" s="869" t="s">
        <v>1013</v>
      </c>
      <c r="C21" s="876">
        <f>'Revenues 9-14'!B49</f>
        <v>1423</v>
      </c>
      <c r="D21" s="875" t="str">
        <f>'Revenues 9-14'!A49</f>
        <v>Summer Sch - Transp. Fees from Other Sources (In State)</v>
      </c>
      <c r="E21" s="867"/>
      <c r="F21" s="1910">
        <f>'Revenues 9-14'!F49</f>
        <v>0</v>
      </c>
      <c r="G21" s="864"/>
    </row>
    <row r="22" spans="1:7" x14ac:dyDescent="0.2">
      <c r="A22" s="868" t="s">
        <v>461</v>
      </c>
      <c r="B22" s="869" t="s">
        <v>1014</v>
      </c>
      <c r="C22" s="876">
        <f>'Revenues 9-14'!B50</f>
        <v>1424</v>
      </c>
      <c r="D22" s="875" t="str">
        <f>'Revenues 9-14'!A50</f>
        <v>Summer Sch - Transp. Fees from Other Sources (Out of State)</v>
      </c>
      <c r="E22" s="867"/>
      <c r="F22" s="1910">
        <f>'Revenues 9-14'!F50</f>
        <v>0</v>
      </c>
      <c r="G22" s="864"/>
    </row>
    <row r="23" spans="1:7" x14ac:dyDescent="0.2">
      <c r="A23" s="868" t="s">
        <v>461</v>
      </c>
      <c r="B23" s="869" t="s">
        <v>1015</v>
      </c>
      <c r="C23" s="874">
        <f>'Revenues 9-14'!B52</f>
        <v>1432</v>
      </c>
      <c r="D23" s="875" t="str">
        <f>'Revenues 9-14'!A52</f>
        <v>CTE - Transp Fees from Other Districts (In State)</v>
      </c>
      <c r="E23" s="867"/>
      <c r="F23" s="1910">
        <f>'Revenues 9-14'!F52</f>
        <v>0</v>
      </c>
      <c r="G23" s="864"/>
    </row>
    <row r="24" spans="1:7" x14ac:dyDescent="0.2">
      <c r="A24" s="868" t="s">
        <v>461</v>
      </c>
      <c r="B24" s="869" t="s">
        <v>1016</v>
      </c>
      <c r="C24" s="874">
        <f>'Revenues 9-14'!B56</f>
        <v>1442</v>
      </c>
      <c r="D24" s="875" t="str">
        <f>'Revenues 9-14'!A56</f>
        <v>Special Ed - Transp Fees from Other Districts (In State)</v>
      </c>
      <c r="E24" s="867"/>
      <c r="F24" s="1910">
        <f>'Revenues 9-14'!F56</f>
        <v>0</v>
      </c>
      <c r="G24" s="864"/>
    </row>
    <row r="25" spans="1:7" x14ac:dyDescent="0.2">
      <c r="A25" s="868" t="s">
        <v>461</v>
      </c>
      <c r="B25" s="869" t="s">
        <v>1017</v>
      </c>
      <c r="C25" s="874">
        <f>'Revenues 9-14'!B59</f>
        <v>1451</v>
      </c>
      <c r="D25" s="875" t="str">
        <f>'Revenues 9-14'!A59</f>
        <v>Adult - Transp Fees from Pupils or Parents (In State)</v>
      </c>
      <c r="E25" s="867"/>
      <c r="F25" s="1910">
        <f>'Revenues 9-14'!F59</f>
        <v>0</v>
      </c>
      <c r="G25" s="864"/>
    </row>
    <row r="26" spans="1:7" x14ac:dyDescent="0.2">
      <c r="A26" s="868" t="s">
        <v>461</v>
      </c>
      <c r="B26" s="869" t="s">
        <v>1018</v>
      </c>
      <c r="C26" s="874">
        <f>'Revenues 9-14'!B60</f>
        <v>1452</v>
      </c>
      <c r="D26" s="875" t="str">
        <f>'Revenues 9-14'!A60</f>
        <v>Adult - Transp Fees from Other Districts (In State)</v>
      </c>
      <c r="E26" s="867"/>
      <c r="F26" s="1910">
        <f>'Revenues 9-14'!F60</f>
        <v>0</v>
      </c>
      <c r="G26" s="864"/>
    </row>
    <row r="27" spans="1:7" x14ac:dyDescent="0.2">
      <c r="A27" s="868" t="s">
        <v>461</v>
      </c>
      <c r="B27" s="869" t="s">
        <v>1019</v>
      </c>
      <c r="C27" s="874">
        <f>'Revenues 9-14'!B61</f>
        <v>1453</v>
      </c>
      <c r="D27" s="875" t="str">
        <f>'Revenues 9-14'!A61</f>
        <v>Adult - Transp Fees from Other Sources (In State)</v>
      </c>
      <c r="E27" s="867"/>
      <c r="F27" s="1910">
        <f>'Revenues 9-14'!F61</f>
        <v>0</v>
      </c>
      <c r="G27" s="864"/>
    </row>
    <row r="28" spans="1:7" x14ac:dyDescent="0.2">
      <c r="A28" s="868" t="s">
        <v>461</v>
      </c>
      <c r="B28" s="869" t="s">
        <v>1020</v>
      </c>
      <c r="C28" s="874">
        <f>'Revenues 9-14'!B62</f>
        <v>1454</v>
      </c>
      <c r="D28" s="875" t="str">
        <f>'Revenues 9-14'!A62</f>
        <v>Adult - Transp Fees from Other Sources (Out of State)</v>
      </c>
      <c r="E28" s="867"/>
      <c r="F28" s="1910">
        <f>'Revenues 9-14'!F62</f>
        <v>0</v>
      </c>
      <c r="G28" s="864"/>
    </row>
    <row r="29" spans="1:7" x14ac:dyDescent="0.2">
      <c r="A29" s="868" t="s">
        <v>1097</v>
      </c>
      <c r="B29" s="869" t="s">
        <v>810</v>
      </c>
      <c r="C29" s="879">
        <f>'Revenues 9-14'!B149</f>
        <v>3410</v>
      </c>
      <c r="D29" s="880" t="str">
        <f>'Revenues 9-14'!A149</f>
        <v>Adult Ed (from ICCB)</v>
      </c>
      <c r="E29" s="867"/>
      <c r="F29" s="1910">
        <f>SUM('Revenues 9-14'!D149,'Revenues 9-14'!F149)</f>
        <v>0</v>
      </c>
      <c r="G29" s="864"/>
    </row>
    <row r="30" spans="1:7" x14ac:dyDescent="0.2">
      <c r="A30" s="868" t="s">
        <v>1097</v>
      </c>
      <c r="B30" s="869" t="s">
        <v>1996</v>
      </c>
      <c r="C30" s="879">
        <f>'Revenues 9-14'!B150</f>
        <v>3499</v>
      </c>
      <c r="D30" s="880" t="str">
        <f>'Revenues 9-14'!A150</f>
        <v>Adult Ed - Other (Describe &amp; Itemize)</v>
      </c>
      <c r="E30" s="867"/>
      <c r="F30" s="1911">
        <f>('Revenues 9-14'!D150+'Revenues 9-14'!F150)</f>
        <v>0</v>
      </c>
      <c r="G30" s="864"/>
    </row>
    <row r="31" spans="1:7" x14ac:dyDescent="0.2">
      <c r="A31" s="868" t="s">
        <v>1097</v>
      </c>
      <c r="B31" s="869" t="s">
        <v>1997</v>
      </c>
      <c r="C31" s="874">
        <f>'Revenues 9-14'!B211</f>
        <v>4600</v>
      </c>
      <c r="D31" s="882" t="str">
        <f>'Revenues 9-14'!A211</f>
        <v>Fed - Spec Education - Preschool Flow-Through</v>
      </c>
      <c r="E31" s="883"/>
      <c r="F31" s="1910">
        <f>SUM('Revenues 9-14'!D211,'Revenues 9-14'!F211)</f>
        <v>0</v>
      </c>
      <c r="G31" s="864"/>
    </row>
    <row r="32" spans="1:7" x14ac:dyDescent="0.2">
      <c r="A32" s="868" t="s">
        <v>1097</v>
      </c>
      <c r="B32" s="869" t="s">
        <v>1998</v>
      </c>
      <c r="C32" s="874">
        <f>'Revenues 9-14'!B212</f>
        <v>4605</v>
      </c>
      <c r="D32" s="884" t="str">
        <f>'Revenues 9-14'!A212</f>
        <v>Fed - Spec Education - Preschool Discretionary</v>
      </c>
      <c r="E32" s="883"/>
      <c r="F32" s="1910">
        <f>SUM('Revenues 9-14'!D212,'Revenues 9-14'!F212)</f>
        <v>0</v>
      </c>
      <c r="G32" s="864"/>
    </row>
    <row r="33" spans="1:7" x14ac:dyDescent="0.2">
      <c r="A33" s="868" t="s">
        <v>460</v>
      </c>
      <c r="B33" s="869" t="s">
        <v>1999</v>
      </c>
      <c r="C33" s="874">
        <f>'Revenues 9-14'!B222</f>
        <v>4810</v>
      </c>
      <c r="D33" s="882" t="str">
        <f>'Revenues 9-14'!A222</f>
        <v>Federal - Adult Education</v>
      </c>
      <c r="E33" s="867"/>
      <c r="F33" s="1910">
        <f>'Revenues 9-14'!D222</f>
        <v>0</v>
      </c>
      <c r="G33" s="864"/>
    </row>
    <row r="34" spans="1:7" x14ac:dyDescent="0.2">
      <c r="A34" s="868" t="s">
        <v>459</v>
      </c>
      <c r="B34" s="868" t="s">
        <v>1469</v>
      </c>
      <c r="C34" s="885" t="str">
        <f>'Expenditures 15-22'!B7</f>
        <v>1125</v>
      </c>
      <c r="D34" s="886" t="str">
        <f>'Expenditures 15-22'!A7</f>
        <v>Pre-K Programs</v>
      </c>
      <c r="E34" s="867"/>
      <c r="F34" s="1910">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0">
        <f>'Expenditures 15-22'!K9-SUM('Expenditures 15-22'!G9+'Expenditures 15-22'!I9)</f>
        <v>7645</v>
      </c>
      <c r="G35" s="864"/>
    </row>
    <row r="36" spans="1:7" x14ac:dyDescent="0.2">
      <c r="A36" s="868" t="s">
        <v>459</v>
      </c>
      <c r="B36" s="868" t="s">
        <v>116</v>
      </c>
      <c r="C36" s="885" t="str">
        <f>'Expenditures 15-22'!B11</f>
        <v>1275</v>
      </c>
      <c r="D36" s="886" t="str">
        <f>'Expenditures 15-22'!A11</f>
        <v>Remedial and Supplemental Programs Pre-K</v>
      </c>
      <c r="E36" s="867"/>
      <c r="F36" s="1910">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0">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0">
        <f>'Expenditures 15-22'!K15-SUM('Expenditures 15-22'!G15,'Expenditures 15-22'!I15)</f>
        <v>211700</v>
      </c>
      <c r="G38" s="864"/>
    </row>
    <row r="39" spans="1:7" x14ac:dyDescent="0.2">
      <c r="A39" s="868" t="s">
        <v>459</v>
      </c>
      <c r="B39" s="868" t="s">
        <v>117</v>
      </c>
      <c r="C39" s="885" t="str">
        <f>'Expenditures 15-22'!B20</f>
        <v>1910</v>
      </c>
      <c r="D39" s="887" t="str">
        <f>'Expenditures 15-22'!A20</f>
        <v>Pre-K Programs - Private Tuition</v>
      </c>
      <c r="E39" s="867"/>
      <c r="F39" s="1910">
        <f>'Expenditures 15-22'!K20</f>
        <v>0</v>
      </c>
      <c r="G39" s="864"/>
    </row>
    <row r="40" spans="1:7" x14ac:dyDescent="0.2">
      <c r="A40" s="868" t="s">
        <v>459</v>
      </c>
      <c r="B40" s="868" t="s">
        <v>118</v>
      </c>
      <c r="C40" s="885" t="str">
        <f>'Expenditures 15-22'!B21</f>
        <v>1911</v>
      </c>
      <c r="D40" s="887" t="str">
        <f>'Expenditures 15-22'!A21</f>
        <v>Regular K-12 Programs - Private Tuition</v>
      </c>
      <c r="E40" s="867"/>
      <c r="F40" s="1910">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0">
        <f>'Expenditures 15-22'!K22</f>
        <v>2726340</v>
      </c>
      <c r="G41" s="864"/>
    </row>
    <row r="42" spans="1:7" x14ac:dyDescent="0.2">
      <c r="A42" s="868" t="s">
        <v>459</v>
      </c>
      <c r="B42" s="868" t="s">
        <v>120</v>
      </c>
      <c r="C42" s="888" t="str">
        <f>'Expenditures 15-22'!B23</f>
        <v>1913</v>
      </c>
      <c r="D42" s="887" t="str">
        <f>'Expenditures 15-22'!A23</f>
        <v>Special Education Programs Pre-K - Tuition</v>
      </c>
      <c r="E42" s="867"/>
      <c r="F42" s="1910">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0">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0">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0">
        <f>'Expenditures 15-22'!K26</f>
        <v>0</v>
      </c>
      <c r="G45" s="864"/>
    </row>
    <row r="46" spans="1:7" x14ac:dyDescent="0.2">
      <c r="A46" s="868" t="s">
        <v>459</v>
      </c>
      <c r="B46" s="868" t="s">
        <v>124</v>
      </c>
      <c r="C46" s="885" t="str">
        <f>'Expenditures 15-22'!B27</f>
        <v>1917</v>
      </c>
      <c r="D46" s="887" t="str">
        <f>'Expenditures 15-22'!A27</f>
        <v>CTE Programs - Private Tuition</v>
      </c>
      <c r="E46" s="867"/>
      <c r="F46" s="1910">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0">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0">
        <f>'Expenditures 15-22'!K29</f>
        <v>0</v>
      </c>
      <c r="G48" s="864"/>
    </row>
    <row r="49" spans="1:7" x14ac:dyDescent="0.2">
      <c r="A49" s="868" t="s">
        <v>459</v>
      </c>
      <c r="B49" s="868" t="s">
        <v>127</v>
      </c>
      <c r="C49" s="885" t="str">
        <f>'Expenditures 15-22'!B30</f>
        <v>1920</v>
      </c>
      <c r="D49" s="887" t="str">
        <f>'Expenditures 15-22'!A30</f>
        <v>Gifted Programs - Private Tuition</v>
      </c>
      <c r="E49" s="867"/>
      <c r="F49" s="1910">
        <f>'Expenditures 15-22'!K30</f>
        <v>0</v>
      </c>
      <c r="G49" s="864"/>
    </row>
    <row r="50" spans="1:7" x14ac:dyDescent="0.2">
      <c r="A50" s="868" t="s">
        <v>459</v>
      </c>
      <c r="B50" s="868" t="s">
        <v>128</v>
      </c>
      <c r="C50" s="885" t="str">
        <f>'Expenditures 15-22'!B31</f>
        <v>1921</v>
      </c>
      <c r="D50" s="887" t="str">
        <f>'Expenditures 15-22'!A31</f>
        <v>Bilingual Programs - Private Tuition</v>
      </c>
      <c r="E50" s="867"/>
      <c r="F50" s="1910">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0">
        <f>'Expenditures 15-22'!K32</f>
        <v>0</v>
      </c>
      <c r="G51" s="864"/>
    </row>
    <row r="52" spans="1:7" x14ac:dyDescent="0.2">
      <c r="A52" s="868" t="s">
        <v>459</v>
      </c>
      <c r="B52" s="868" t="s">
        <v>1474</v>
      </c>
      <c r="C52" s="888" t="str">
        <f>'Expenditures 15-22'!B75</f>
        <v>3000</v>
      </c>
      <c r="D52" s="887" t="s">
        <v>449</v>
      </c>
      <c r="E52" s="867"/>
      <c r="F52" s="1910">
        <f>'Expenditures 15-22'!K75-SUM('Expenditures 15-22'!G75,'Expenditures 15-22'!I75)</f>
        <v>28693</v>
      </c>
      <c r="G52" s="864"/>
    </row>
    <row r="53" spans="1:7" x14ac:dyDescent="0.2">
      <c r="A53" s="868" t="s">
        <v>459</v>
      </c>
      <c r="B53" s="868" t="s">
        <v>1475</v>
      </c>
      <c r="C53" s="888">
        <f>'Expenditures 15-22'!B102</f>
        <v>4000</v>
      </c>
      <c r="D53" s="887" t="str">
        <f>'Expenditures 15-22'!A102</f>
        <v>Total Payments to Other Govt Units</v>
      </c>
      <c r="E53" s="867"/>
      <c r="F53" s="1910">
        <f>'Expenditures 15-22'!K102</f>
        <v>1078006</v>
      </c>
      <c r="G53" s="864"/>
    </row>
    <row r="54" spans="1:7" x14ac:dyDescent="0.2">
      <c r="A54" s="868" t="s">
        <v>459</v>
      </c>
      <c r="B54" s="868" t="s">
        <v>1476</v>
      </c>
      <c r="C54" s="888" t="s">
        <v>982</v>
      </c>
      <c r="D54" s="884" t="s">
        <v>1095</v>
      </c>
      <c r="E54" s="867"/>
      <c r="F54" s="1910">
        <f>'Expenditures 15-22'!G114</f>
        <v>1083375</v>
      </c>
      <c r="G54" s="864"/>
    </row>
    <row r="55" spans="1:7" x14ac:dyDescent="0.2">
      <c r="A55" s="868" t="s">
        <v>459</v>
      </c>
      <c r="B55" s="868" t="s">
        <v>1477</v>
      </c>
      <c r="C55" s="888" t="s">
        <v>982</v>
      </c>
      <c r="D55" s="884" t="s">
        <v>291</v>
      </c>
      <c r="E55" s="867"/>
      <c r="F55" s="1910">
        <f>'Expenditures 15-22'!I114</f>
        <v>0</v>
      </c>
      <c r="G55" s="864"/>
    </row>
    <row r="56" spans="1:7" x14ac:dyDescent="0.2">
      <c r="A56" s="868" t="s">
        <v>460</v>
      </c>
      <c r="B56" s="868" t="s">
        <v>1478</v>
      </c>
      <c r="C56" s="885" t="str">
        <f>'Expenditures 15-22'!B130</f>
        <v>3000</v>
      </c>
      <c r="D56" s="891" t="s">
        <v>449</v>
      </c>
      <c r="E56" s="867"/>
      <c r="F56" s="1910">
        <f>'Expenditures 15-22'!K130-SUM('Expenditures 15-22'!G130+'Expenditures 15-22'!I130)</f>
        <v>0</v>
      </c>
      <c r="G56" s="864"/>
    </row>
    <row r="57" spans="1:7" x14ac:dyDescent="0.2">
      <c r="A57" s="868" t="s">
        <v>460</v>
      </c>
      <c r="B57" s="868" t="s">
        <v>1879</v>
      </c>
      <c r="C57" s="888">
        <f>'Expenditures 15-22'!B139</f>
        <v>4000</v>
      </c>
      <c r="D57" s="886" t="str">
        <f>'Expenditures 15-22'!A139</f>
        <v>Total Payments to Other Govt Units</v>
      </c>
      <c r="E57" s="867"/>
      <c r="F57" s="1910">
        <f>'Expenditures 15-22'!K139</f>
        <v>0</v>
      </c>
      <c r="G57" s="864"/>
    </row>
    <row r="58" spans="1:7" x14ac:dyDescent="0.2">
      <c r="A58" s="868" t="s">
        <v>460</v>
      </c>
      <c r="B58" s="868" t="s">
        <v>1880</v>
      </c>
      <c r="C58" s="885" t="s">
        <v>982</v>
      </c>
      <c r="D58" s="884" t="s">
        <v>1095</v>
      </c>
      <c r="E58" s="867"/>
      <c r="F58" s="1912">
        <f>'Expenditures 15-22'!G151</f>
        <v>167236</v>
      </c>
      <c r="G58" s="864"/>
    </row>
    <row r="59" spans="1:7" x14ac:dyDescent="0.2">
      <c r="A59" s="892" t="s">
        <v>460</v>
      </c>
      <c r="B59" s="855" t="s">
        <v>1881</v>
      </c>
      <c r="C59" s="893" t="s">
        <v>982</v>
      </c>
      <c r="D59" s="855" t="s">
        <v>291</v>
      </c>
      <c r="F59" s="1913">
        <f>'Expenditures 15-22'!I151</f>
        <v>0</v>
      </c>
      <c r="G59" s="864"/>
    </row>
    <row r="60" spans="1:7" x14ac:dyDescent="0.2">
      <c r="A60" s="892" t="s">
        <v>499</v>
      </c>
      <c r="B60" s="855" t="s">
        <v>1882</v>
      </c>
      <c r="C60" s="893">
        <v>4000</v>
      </c>
      <c r="D60" s="855" t="s">
        <v>312</v>
      </c>
      <c r="F60" s="1911">
        <f>'Expenditures 15-22'!K160</f>
        <v>0</v>
      </c>
      <c r="G60" s="864"/>
    </row>
    <row r="61" spans="1:7" x14ac:dyDescent="0.2">
      <c r="A61" s="894" t="s">
        <v>499</v>
      </c>
      <c r="B61" s="894" t="s">
        <v>1883</v>
      </c>
      <c r="C61" s="895" t="str">
        <f>'Expenditures 15-22'!B170</f>
        <v>5300</v>
      </c>
      <c r="D61" s="896" t="s">
        <v>311</v>
      </c>
      <c r="E61" s="878"/>
      <c r="F61" s="1910">
        <f>'Expenditures 15-22'!K170</f>
        <v>3860000</v>
      </c>
      <c r="G61" s="864"/>
    </row>
    <row r="62" spans="1:7" x14ac:dyDescent="0.2">
      <c r="A62" s="868" t="s">
        <v>461</v>
      </c>
      <c r="B62" s="868" t="s">
        <v>1884</v>
      </c>
      <c r="C62" s="885">
        <f>'Expenditures 15-22'!B185</f>
        <v>3000</v>
      </c>
      <c r="D62" s="875" t="s">
        <v>449</v>
      </c>
      <c r="E62" s="867"/>
      <c r="F62" s="1910">
        <f>'Expenditures 15-22'!K185-SUM('Expenditures 15-22'!G185,'Expenditures 15-22'!I185)</f>
        <v>0</v>
      </c>
      <c r="G62" s="864"/>
    </row>
    <row r="63" spans="1:7" x14ac:dyDescent="0.2">
      <c r="A63" s="868" t="s">
        <v>461</v>
      </c>
      <c r="B63" s="868" t="s">
        <v>1885</v>
      </c>
      <c r="C63" s="885" t="str">
        <f>'Expenditures 15-22'!B196</f>
        <v>4000</v>
      </c>
      <c r="D63" s="886" t="str">
        <f>'Expenditures 15-22'!A196</f>
        <v>Total Payments to Other Govt Units</v>
      </c>
      <c r="E63" s="867"/>
      <c r="F63" s="1910">
        <f>'Expenditures 15-22'!K196</f>
        <v>0</v>
      </c>
      <c r="G63" s="864"/>
    </row>
    <row r="64" spans="1:7" x14ac:dyDescent="0.2">
      <c r="A64" s="894" t="s">
        <v>461</v>
      </c>
      <c r="B64" s="894" t="s">
        <v>1886</v>
      </c>
      <c r="C64" s="895" t="str">
        <f>'Expenditures 15-22'!B206</f>
        <v>5300</v>
      </c>
      <c r="D64" s="891" t="s">
        <v>311</v>
      </c>
      <c r="E64" s="867"/>
      <c r="F64" s="1910">
        <f>'Expenditures 15-22'!K206</f>
        <v>0</v>
      </c>
      <c r="G64" s="864"/>
    </row>
    <row r="65" spans="1:8" x14ac:dyDescent="0.2">
      <c r="A65" s="868" t="s">
        <v>461</v>
      </c>
      <c r="B65" s="868" t="s">
        <v>1887</v>
      </c>
      <c r="C65" s="885" t="s">
        <v>982</v>
      </c>
      <c r="D65" s="884" t="s">
        <v>1095</v>
      </c>
      <c r="E65" s="867"/>
      <c r="F65" s="1910">
        <f>'Expenditures 15-22'!G210</f>
        <v>0</v>
      </c>
      <c r="G65" s="864"/>
    </row>
    <row r="66" spans="1:8" x14ac:dyDescent="0.2">
      <c r="A66" s="868" t="s">
        <v>461</v>
      </c>
      <c r="B66" s="868" t="s">
        <v>1888</v>
      </c>
      <c r="C66" s="885" t="s">
        <v>982</v>
      </c>
      <c r="D66" s="884" t="s">
        <v>291</v>
      </c>
      <c r="E66" s="867"/>
      <c r="F66" s="1910">
        <f>'Expenditures 15-22'!I210</f>
        <v>0</v>
      </c>
      <c r="G66" s="864"/>
    </row>
    <row r="67" spans="1:8" x14ac:dyDescent="0.2">
      <c r="A67" s="868" t="s">
        <v>462</v>
      </c>
      <c r="B67" s="868" t="s">
        <v>1889</v>
      </c>
      <c r="C67" s="885" t="str">
        <f>'Expenditures 15-22'!B216</f>
        <v>1125</v>
      </c>
      <c r="D67" s="891" t="str">
        <f>'Expenditures 15-22'!A216</f>
        <v>Pre-K Programs</v>
      </c>
      <c r="E67" s="867"/>
      <c r="F67" s="1910">
        <f>'Expenditures 15-22'!K216</f>
        <v>0</v>
      </c>
      <c r="G67" s="864"/>
    </row>
    <row r="68" spans="1:8" x14ac:dyDescent="0.2">
      <c r="A68" s="868" t="s">
        <v>462</v>
      </c>
      <c r="B68" s="868" t="s">
        <v>1479</v>
      </c>
      <c r="C68" s="885" t="str">
        <f>'Expenditures 15-22'!B218</f>
        <v>1225</v>
      </c>
      <c r="D68" s="891" t="str">
        <f>'Expenditures 15-22'!A218</f>
        <v>Special Education Programs - Pre-K</v>
      </c>
      <c r="E68" s="867"/>
      <c r="F68" s="1910">
        <f>'Expenditures 15-22'!K218</f>
        <v>0</v>
      </c>
      <c r="G68" s="864"/>
    </row>
    <row r="69" spans="1:8" x14ac:dyDescent="0.2">
      <c r="A69" s="868" t="s">
        <v>462</v>
      </c>
      <c r="B69" s="868" t="s">
        <v>1890</v>
      </c>
      <c r="C69" s="885" t="str">
        <f>'Expenditures 15-22'!B220</f>
        <v>1275</v>
      </c>
      <c r="D69" s="891" t="str">
        <f>'Expenditures 15-22'!A220</f>
        <v>Remedial and Supplemental Programs - Pre-K</v>
      </c>
      <c r="E69" s="867"/>
      <c r="F69" s="1910">
        <f>'Expenditures 15-22'!K220</f>
        <v>0</v>
      </c>
      <c r="G69" s="864"/>
    </row>
    <row r="70" spans="1:8" x14ac:dyDescent="0.2">
      <c r="A70" s="868" t="s">
        <v>462</v>
      </c>
      <c r="B70" s="868" t="s">
        <v>1891</v>
      </c>
      <c r="C70" s="885">
        <f>'Expenditures 15-22'!B221</f>
        <v>1300</v>
      </c>
      <c r="D70" s="886" t="str">
        <f>'Expenditures 15-22'!A221</f>
        <v>Adult/Continuing Education Programs</v>
      </c>
      <c r="E70" s="867"/>
      <c r="F70" s="1910">
        <f>'Expenditures 15-22'!K221</f>
        <v>0</v>
      </c>
      <c r="G70" s="864"/>
    </row>
    <row r="71" spans="1:8" x14ac:dyDescent="0.2">
      <c r="A71" s="868" t="s">
        <v>462</v>
      </c>
      <c r="B71" s="868" t="s">
        <v>1892</v>
      </c>
      <c r="C71" s="885">
        <f>'Expenditures 15-22'!B224</f>
        <v>1600</v>
      </c>
      <c r="D71" s="886" t="str">
        <f>'Expenditures 15-22'!A224</f>
        <v>Summer School Programs</v>
      </c>
      <c r="E71" s="867"/>
      <c r="F71" s="1910">
        <f>'Expenditures 15-22'!K224</f>
        <v>11648</v>
      </c>
      <c r="G71" s="864"/>
    </row>
    <row r="72" spans="1:8" x14ac:dyDescent="0.2">
      <c r="A72" s="868" t="s">
        <v>462</v>
      </c>
      <c r="B72" s="868" t="s">
        <v>1893</v>
      </c>
      <c r="C72" s="885">
        <f>'Expenditures 15-22'!B280</f>
        <v>3000</v>
      </c>
      <c r="D72" s="875" t="s">
        <v>449</v>
      </c>
      <c r="E72" s="867"/>
      <c r="F72" s="1910">
        <f>'Expenditures 15-22'!K280</f>
        <v>330</v>
      </c>
      <c r="G72" s="864"/>
    </row>
    <row r="73" spans="1:8" x14ac:dyDescent="0.2">
      <c r="A73" s="868" t="s">
        <v>462</v>
      </c>
      <c r="B73" s="868" t="s">
        <v>1894</v>
      </c>
      <c r="C73" s="885" t="str">
        <f>'Expenditures 15-22'!B285</f>
        <v>4000</v>
      </c>
      <c r="D73" s="886" t="str">
        <f>'Expenditures 15-22'!A285</f>
        <v>Total Payments to Other Govt Units</v>
      </c>
      <c r="E73" s="867"/>
      <c r="F73" s="1910">
        <f>'Expenditures 15-22'!K285</f>
        <v>0</v>
      </c>
      <c r="G73" s="864"/>
    </row>
    <row r="74" spans="1:8" x14ac:dyDescent="0.2">
      <c r="A74" s="868" t="s">
        <v>436</v>
      </c>
      <c r="B74" s="868" t="s">
        <v>1895</v>
      </c>
      <c r="C74" s="885" t="s">
        <v>860</v>
      </c>
      <c r="D74" s="886" t="s">
        <v>1487</v>
      </c>
      <c r="E74" s="867"/>
      <c r="F74" s="1914">
        <f>'Expenditures 15-22'!K334</f>
        <v>0</v>
      </c>
      <c r="G74" s="864"/>
    </row>
    <row r="75" spans="1:8" ht="5.25" customHeight="1" x14ac:dyDescent="0.2">
      <c r="A75" s="864"/>
      <c r="B75" s="874"/>
      <c r="C75" s="874"/>
      <c r="D75" s="864"/>
      <c r="E75" s="867"/>
      <c r="F75" s="881"/>
      <c r="G75" s="866"/>
    </row>
    <row r="76" spans="1:8" ht="12" thickBot="1" x14ac:dyDescent="0.25">
      <c r="A76" s="1767"/>
      <c r="B76" s="1773"/>
      <c r="C76" s="1769"/>
      <c r="D76" s="1774" t="s">
        <v>1896</v>
      </c>
      <c r="E76" s="1771" t="s">
        <v>958</v>
      </c>
      <c r="F76" s="1775">
        <f>SUM(F18:F74)</f>
        <v>9175373</v>
      </c>
      <c r="G76" s="864"/>
    </row>
    <row r="77" spans="1:8" s="892" customFormat="1" ht="12" customHeight="1" thickTop="1" thickBot="1" x14ac:dyDescent="0.25">
      <c r="A77" s="1776"/>
      <c r="B77" s="1773"/>
      <c r="C77" s="1769"/>
      <c r="D77" s="1774" t="s">
        <v>1897</v>
      </c>
      <c r="E77" s="1771"/>
      <c r="F77" s="1777">
        <f>(F14-F76)</f>
        <v>63476318</v>
      </c>
      <c r="G77" s="868"/>
    </row>
    <row r="78" spans="1:8" s="892" customFormat="1" ht="12" customHeight="1" thickTop="1" x14ac:dyDescent="0.2">
      <c r="A78" s="1778"/>
      <c r="B78" s="1773"/>
      <c r="C78" s="1769"/>
      <c r="D78" s="1774" t="s">
        <v>2059</v>
      </c>
      <c r="E78" s="1771"/>
      <c r="F78" s="897">
        <v>4261</v>
      </c>
      <c r="G78" s="898"/>
      <c r="H78" s="868"/>
    </row>
    <row r="79" spans="1:8" s="892" customFormat="1" ht="12" customHeight="1" thickBot="1" x14ac:dyDescent="0.25">
      <c r="A79" s="1779"/>
      <c r="B79" s="1773"/>
      <c r="C79" s="1769"/>
      <c r="D79" s="1774" t="s">
        <v>1898</v>
      </c>
      <c r="E79" s="1771" t="s">
        <v>958</v>
      </c>
      <c r="F79" s="1780">
        <f>IF(F78&gt;0,F77/F78," Complete Line 78")</f>
        <v>14897.047172025346</v>
      </c>
      <c r="G79" s="868"/>
    </row>
    <row r="80" spans="1:8" s="892" customFormat="1" ht="8.25" customHeight="1" thickTop="1" x14ac:dyDescent="0.2">
      <c r="A80" s="899"/>
      <c r="B80" s="868"/>
      <c r="C80" s="870"/>
      <c r="D80" s="900"/>
      <c r="E80" s="867"/>
      <c r="F80" s="901"/>
      <c r="G80" s="868"/>
    </row>
    <row r="81" spans="1:7" s="892" customFormat="1" ht="12" thickBot="1" x14ac:dyDescent="0.25">
      <c r="A81" s="2255" t="s">
        <v>1105</v>
      </c>
      <c r="B81" s="2256"/>
      <c r="C81" s="2256"/>
      <c r="D81" s="2256"/>
      <c r="E81" s="2256"/>
      <c r="F81" s="2257"/>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4">
        <f>'Revenues 9-14'!F42</f>
        <v>33545</v>
      </c>
      <c r="G84" s="911"/>
    </row>
    <row r="85" spans="1:7" x14ac:dyDescent="0.2">
      <c r="A85" s="907" t="s">
        <v>461</v>
      </c>
      <c r="B85" s="907" t="s">
        <v>183</v>
      </c>
      <c r="C85" s="912">
        <f>'Revenues 9-14'!B44</f>
        <v>1413</v>
      </c>
      <c r="D85" s="910" t="str">
        <f>'Revenues 9-14'!A44</f>
        <v>Regular - Transp Fees from Other Sources (In State)</v>
      </c>
      <c r="E85" s="905"/>
      <c r="F85" s="1786">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6">
        <f>'Revenues 9-14'!F45</f>
        <v>0</v>
      </c>
      <c r="G86" s="913"/>
    </row>
    <row r="87" spans="1:7" x14ac:dyDescent="0.2">
      <c r="A87" s="907" t="s">
        <v>461</v>
      </c>
      <c r="B87" s="907" t="s">
        <v>167</v>
      </c>
      <c r="C87" s="909">
        <v>1416</v>
      </c>
      <c r="D87" s="910" t="str">
        <f>'Revenues 9-14'!A46</f>
        <v>Regular Transp Fees from Other Sources (Out of State)</v>
      </c>
      <c r="E87" s="905"/>
      <c r="F87" s="1786">
        <f>'Revenues 9-14'!F46</f>
        <v>0</v>
      </c>
      <c r="G87" s="913"/>
    </row>
    <row r="88" spans="1:7" x14ac:dyDescent="0.2">
      <c r="A88" s="907" t="s">
        <v>461</v>
      </c>
      <c r="B88" s="907" t="s">
        <v>168</v>
      </c>
      <c r="C88" s="909">
        <f>'Revenues 9-14'!B51</f>
        <v>1431</v>
      </c>
      <c r="D88" s="910" t="str">
        <f>'Revenues 9-14'!A51</f>
        <v>CTE - Transp Fees from Pupils or Parents (In State)</v>
      </c>
      <c r="E88" s="905"/>
      <c r="F88" s="1786">
        <f>'Revenues 9-14'!F51</f>
        <v>0</v>
      </c>
      <c r="G88" s="913"/>
    </row>
    <row r="89" spans="1:7" x14ac:dyDescent="0.2">
      <c r="A89" s="907" t="s">
        <v>461</v>
      </c>
      <c r="B89" s="907" t="s">
        <v>169</v>
      </c>
      <c r="C89" s="909">
        <f>'Revenues 9-14'!B53</f>
        <v>1433</v>
      </c>
      <c r="D89" s="910" t="str">
        <f>'Revenues 9-14'!A53</f>
        <v>CTE - Transp Fees from Other Sources (In State)</v>
      </c>
      <c r="E89" s="905"/>
      <c r="F89" s="1786">
        <f>'Revenues 9-14'!F53</f>
        <v>0</v>
      </c>
      <c r="G89" s="913"/>
    </row>
    <row r="90" spans="1:7" x14ac:dyDescent="0.2">
      <c r="A90" s="907" t="s">
        <v>461</v>
      </c>
      <c r="B90" s="907" t="s">
        <v>170</v>
      </c>
      <c r="C90" s="909">
        <f>'Revenues 9-14'!B54</f>
        <v>1434</v>
      </c>
      <c r="D90" s="910" t="str">
        <f>'Revenues 9-14'!A54</f>
        <v>CTE - Transp Fees from Other Sources (Out of State)</v>
      </c>
      <c r="E90" s="905"/>
      <c r="F90" s="1786">
        <f>'Revenues 9-14'!F54</f>
        <v>0</v>
      </c>
      <c r="G90" s="913"/>
    </row>
    <row r="91" spans="1:7" x14ac:dyDescent="0.2">
      <c r="A91" s="907" t="s">
        <v>461</v>
      </c>
      <c r="B91" s="907" t="s">
        <v>171</v>
      </c>
      <c r="C91" s="914">
        <f>'Revenues 9-14'!B55</f>
        <v>1441</v>
      </c>
      <c r="D91" s="910" t="str">
        <f>'Revenues 9-14'!A55</f>
        <v>Special Ed - Transp Fees from Pupils or Parents (In State)</v>
      </c>
      <c r="E91" s="905"/>
      <c r="F91" s="1786">
        <f>'Revenues 9-14'!F55</f>
        <v>0</v>
      </c>
      <c r="G91" s="913"/>
    </row>
    <row r="92" spans="1:7" x14ac:dyDescent="0.2">
      <c r="A92" s="907" t="s">
        <v>461</v>
      </c>
      <c r="B92" s="907" t="s">
        <v>172</v>
      </c>
      <c r="C92" s="909">
        <f>'Revenues 9-14'!B57</f>
        <v>1443</v>
      </c>
      <c r="D92" s="910" t="str">
        <f>'Revenues 9-14'!A57</f>
        <v>Special Ed - Transp Fees from Other Sources (In State)</v>
      </c>
      <c r="E92" s="905"/>
      <c r="F92" s="1786">
        <f>'Revenues 9-14'!F57</f>
        <v>0</v>
      </c>
      <c r="G92" s="915"/>
    </row>
    <row r="93" spans="1:7" x14ac:dyDescent="0.2">
      <c r="A93" s="907" t="s">
        <v>461</v>
      </c>
      <c r="B93" s="907" t="s">
        <v>173</v>
      </c>
      <c r="C93" s="909">
        <f>'Revenues 9-14'!B58</f>
        <v>1444</v>
      </c>
      <c r="D93" s="910" t="str">
        <f>'Revenues 9-14'!A58</f>
        <v>Special Ed - Transp Fees from Other Sources (Out of State)</v>
      </c>
      <c r="E93" s="905"/>
      <c r="F93" s="1786">
        <f>'Revenues 9-14'!F58</f>
        <v>0</v>
      </c>
      <c r="G93" s="915"/>
    </row>
    <row r="94" spans="1:7" x14ac:dyDescent="0.2">
      <c r="A94" s="907" t="s">
        <v>459</v>
      </c>
      <c r="B94" s="907" t="s">
        <v>174</v>
      </c>
      <c r="C94" s="909">
        <v>1600</v>
      </c>
      <c r="D94" s="916" t="str">
        <f>'Revenues 9-14'!A75</f>
        <v>Total Food Service</v>
      </c>
      <c r="E94" s="905"/>
      <c r="F94" s="1786">
        <f>'Revenues 9-14'!C75</f>
        <v>868086</v>
      </c>
      <c r="G94" s="911"/>
    </row>
    <row r="95" spans="1:7" x14ac:dyDescent="0.2">
      <c r="A95" s="907" t="s">
        <v>140</v>
      </c>
      <c r="B95" s="907" t="s">
        <v>175</v>
      </c>
      <c r="C95" s="909">
        <v>1700</v>
      </c>
      <c r="D95" s="917" t="str">
        <f>'Revenues 9-14'!A82</f>
        <v>Total District/School Activity Income</v>
      </c>
      <c r="E95" s="905"/>
      <c r="F95" s="1786">
        <f>SUM('Revenues 9-14'!C82,'Revenues 9-14'!D82)</f>
        <v>185942</v>
      </c>
      <c r="G95" s="911"/>
    </row>
    <row r="96" spans="1:7" x14ac:dyDescent="0.2">
      <c r="A96" s="907" t="s">
        <v>459</v>
      </c>
      <c r="B96" s="907" t="s">
        <v>176</v>
      </c>
      <c r="C96" s="909">
        <f>'Revenues 9-14'!B84</f>
        <v>1811</v>
      </c>
      <c r="D96" s="910" t="str">
        <f>'Revenues 9-14'!A84</f>
        <v>Rentals - Regular Textbooks</v>
      </c>
      <c r="E96" s="905"/>
      <c r="F96" s="1786">
        <f>'Revenues 9-14'!C84</f>
        <v>808730</v>
      </c>
      <c r="G96" s="911"/>
    </row>
    <row r="97" spans="1:7" x14ac:dyDescent="0.2">
      <c r="A97" s="907" t="s">
        <v>459</v>
      </c>
      <c r="B97" s="907" t="s">
        <v>177</v>
      </c>
      <c r="C97" s="909">
        <f>'Revenues 9-14'!B87</f>
        <v>1819</v>
      </c>
      <c r="D97" s="910" t="str">
        <f>'Revenues 9-14'!A87</f>
        <v>Rentals - Other (Describe &amp; Itemize)</v>
      </c>
      <c r="E97" s="905"/>
      <c r="F97" s="1786">
        <f>'Revenues 9-14'!C87</f>
        <v>0</v>
      </c>
      <c r="G97" s="911"/>
    </row>
    <row r="98" spans="1:7" x14ac:dyDescent="0.2">
      <c r="A98" s="907" t="s">
        <v>459</v>
      </c>
      <c r="B98" s="907" t="s">
        <v>178</v>
      </c>
      <c r="C98" s="909">
        <f>'Revenues 9-14'!B88</f>
        <v>1821</v>
      </c>
      <c r="D98" s="910" t="str">
        <f>'Revenues 9-14'!A88</f>
        <v>Sales - Regular Textbooks</v>
      </c>
      <c r="E98" s="905"/>
      <c r="F98" s="1786">
        <f>'Revenues 9-14'!C88</f>
        <v>0</v>
      </c>
      <c r="G98" s="911"/>
    </row>
    <row r="99" spans="1:7" x14ac:dyDescent="0.2">
      <c r="A99" s="907" t="s">
        <v>459</v>
      </c>
      <c r="B99" s="907" t="s">
        <v>179</v>
      </c>
      <c r="C99" s="909">
        <f>'Revenues 9-14'!B91</f>
        <v>1829</v>
      </c>
      <c r="D99" s="910" t="str">
        <f>'Revenues 9-14'!A91</f>
        <v>Sales - Other (Describe &amp; Itemize)</v>
      </c>
      <c r="E99" s="905"/>
      <c r="F99" s="1786">
        <f>'Revenues 9-14'!C91</f>
        <v>0</v>
      </c>
      <c r="G99" s="911"/>
    </row>
    <row r="100" spans="1:7" x14ac:dyDescent="0.2">
      <c r="A100" s="907" t="s">
        <v>459</v>
      </c>
      <c r="B100" s="907" t="s">
        <v>180</v>
      </c>
      <c r="C100" s="909">
        <f>'Revenues 9-14'!B92</f>
        <v>1890</v>
      </c>
      <c r="D100" s="910" t="str">
        <f>'Revenues 9-14'!A92</f>
        <v>Other (Describe &amp; Itemize)</v>
      </c>
      <c r="E100" s="905"/>
      <c r="F100" s="1786">
        <f>'Revenues 9-14'!C92</f>
        <v>0</v>
      </c>
      <c r="G100" s="911"/>
    </row>
    <row r="101" spans="1:7" x14ac:dyDescent="0.2">
      <c r="A101" s="907" t="s">
        <v>140</v>
      </c>
      <c r="B101" s="907" t="s">
        <v>181</v>
      </c>
      <c r="C101" s="909">
        <f>'Revenues 9-14'!B95</f>
        <v>1910</v>
      </c>
      <c r="D101" s="910" t="str">
        <f>'Revenues 9-14'!A95</f>
        <v>Rentals</v>
      </c>
      <c r="E101" s="905"/>
      <c r="F101" s="1786">
        <f>SUM('Revenues 9-14'!C95:D95)</f>
        <v>71331</v>
      </c>
      <c r="G101" s="911"/>
    </row>
    <row r="102" spans="1:7" x14ac:dyDescent="0.2">
      <c r="A102" s="907" t="s">
        <v>503</v>
      </c>
      <c r="B102" s="907" t="s">
        <v>182</v>
      </c>
      <c r="C102" s="909">
        <f>'Revenues 9-14'!B98</f>
        <v>1940</v>
      </c>
      <c r="D102" s="910" t="str">
        <f>'Revenues 9-14'!A98</f>
        <v>Services Provided Other Districts</v>
      </c>
      <c r="E102" s="905"/>
      <c r="F102" s="1786">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6">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6">
        <f>('Revenues 9-14'!C106)</f>
        <v>60566</v>
      </c>
      <c r="G104" s="911"/>
    </row>
    <row r="105" spans="1:7" x14ac:dyDescent="0.2">
      <c r="A105" s="907" t="s">
        <v>503</v>
      </c>
      <c r="B105" s="907" t="s">
        <v>2000</v>
      </c>
      <c r="C105" s="912">
        <v>3100</v>
      </c>
      <c r="D105" s="918" t="str">
        <f>'Revenues 9-14'!A132</f>
        <v>Total Special Education</v>
      </c>
      <c r="E105" s="905"/>
      <c r="F105" s="1786">
        <f>SUM('Revenues 9-14'!C132:D132,'Revenues 9-14'!F132)</f>
        <v>304143</v>
      </c>
      <c r="G105" s="911"/>
    </row>
    <row r="106" spans="1:7" x14ac:dyDescent="0.2">
      <c r="A106" s="907" t="s">
        <v>673</v>
      </c>
      <c r="B106" s="907" t="s">
        <v>2001</v>
      </c>
      <c r="C106" s="919">
        <v>3200</v>
      </c>
      <c r="D106" s="910" t="str">
        <f>'Revenues 9-14'!A141</f>
        <v>Total Career and Technical Education</v>
      </c>
      <c r="E106" s="905"/>
      <c r="F106" s="1786">
        <f>SUM('Revenues 9-14'!C141,'Revenues 9-14'!D141,'Revenues 9-14'!G141)</f>
        <v>0</v>
      </c>
      <c r="G106" s="911"/>
    </row>
    <row r="107" spans="1:7" x14ac:dyDescent="0.2">
      <c r="A107" s="920" t="s">
        <v>664</v>
      </c>
      <c r="B107" s="907" t="s">
        <v>2002</v>
      </c>
      <c r="C107" s="919">
        <v>3300</v>
      </c>
      <c r="D107" s="910" t="str">
        <f>'Revenues 9-14'!A145</f>
        <v>Total Bilingual Ed</v>
      </c>
      <c r="E107" s="905"/>
      <c r="F107" s="1786">
        <f>SUM('Revenues 9-14'!C145,'Revenues 9-14'!G145)</f>
        <v>0</v>
      </c>
      <c r="G107" s="911"/>
    </row>
    <row r="108" spans="1:7" x14ac:dyDescent="0.2">
      <c r="A108" s="907" t="s">
        <v>459</v>
      </c>
      <c r="B108" s="907" t="s">
        <v>2003</v>
      </c>
      <c r="C108" s="919">
        <f>'Revenues 9-14'!B146</f>
        <v>3360</v>
      </c>
      <c r="D108" s="910" t="str">
        <f>'Revenues 9-14'!A146</f>
        <v>State Free Lunch &amp; Breakfast</v>
      </c>
      <c r="E108" s="905"/>
      <c r="F108" s="1786">
        <f>'Revenues 9-14'!C146</f>
        <v>8416</v>
      </c>
      <c r="G108" s="911"/>
    </row>
    <row r="109" spans="1:7" x14ac:dyDescent="0.2">
      <c r="A109" s="907" t="s">
        <v>673</v>
      </c>
      <c r="B109" s="907" t="s">
        <v>2004</v>
      </c>
      <c r="C109" s="919">
        <f>'Revenues 9-14'!B147</f>
        <v>3365</v>
      </c>
      <c r="D109" s="910" t="str">
        <f>'Revenues 9-14'!A147</f>
        <v>School Breakfast Initiative</v>
      </c>
      <c r="E109" s="905"/>
      <c r="F109" s="1786">
        <f>SUM('Revenues 9-14'!C147,'Revenues 9-14'!D147,'Revenues 9-14'!G147)</f>
        <v>0</v>
      </c>
      <c r="G109" s="911"/>
    </row>
    <row r="110" spans="1:7" x14ac:dyDescent="0.2">
      <c r="A110" s="907" t="s">
        <v>140</v>
      </c>
      <c r="B110" s="907" t="s">
        <v>2005</v>
      </c>
      <c r="C110" s="919">
        <f>'Revenues 9-14'!B148</f>
        <v>3370</v>
      </c>
      <c r="D110" s="910" t="str">
        <f>'Revenues 9-14'!A148</f>
        <v>Driver Education</v>
      </c>
      <c r="E110" s="905"/>
      <c r="F110" s="1786">
        <f>SUM('Revenues 9-14'!C148,'Revenues 9-14'!D148)</f>
        <v>0</v>
      </c>
      <c r="G110" s="911"/>
    </row>
    <row r="111" spans="1:7" x14ac:dyDescent="0.2">
      <c r="A111" s="907" t="s">
        <v>668</v>
      </c>
      <c r="B111" s="907" t="s">
        <v>2006</v>
      </c>
      <c r="C111" s="921">
        <v>3500</v>
      </c>
      <c r="D111" s="910" t="str">
        <f>'Revenues 9-14'!A155</f>
        <v>Total Transportation</v>
      </c>
      <c r="E111" s="905"/>
      <c r="F111" s="1786">
        <f>SUM('Revenues 9-14'!C155,'Revenues 9-14'!D155,'Revenues 9-14'!F155,'Revenues 9-14'!G155)</f>
        <v>1932222</v>
      </c>
      <c r="G111" s="911"/>
    </row>
    <row r="112" spans="1:7" x14ac:dyDescent="0.2">
      <c r="A112" s="907" t="s">
        <v>459</v>
      </c>
      <c r="B112" s="907" t="s">
        <v>2007</v>
      </c>
      <c r="C112" s="919">
        <f>'Revenues 9-14'!B156</f>
        <v>3610</v>
      </c>
      <c r="D112" s="910" t="str">
        <f>'Revenues 9-14'!A156</f>
        <v>Learning Improvement - Change Grants</v>
      </c>
      <c r="E112" s="905"/>
      <c r="F112" s="1786">
        <f>'Revenues 9-14'!C156</f>
        <v>0</v>
      </c>
      <c r="G112" s="911"/>
    </row>
    <row r="113" spans="1:7" x14ac:dyDescent="0.2">
      <c r="A113" s="907" t="s">
        <v>668</v>
      </c>
      <c r="B113" s="907" t="s">
        <v>2008</v>
      </c>
      <c r="C113" s="919">
        <f>'Revenues 9-14'!B157</f>
        <v>3660</v>
      </c>
      <c r="D113" s="910" t="str">
        <f>'Revenues 9-14'!A157</f>
        <v>Scientific Literacy</v>
      </c>
      <c r="E113" s="905"/>
      <c r="F113" s="1786">
        <f>SUM('Revenues 9-14'!C157,'Revenues 9-14'!D157,'Revenues 9-14'!F157,'Revenues 9-14'!G157)</f>
        <v>0</v>
      </c>
      <c r="G113" s="911"/>
    </row>
    <row r="114" spans="1:7" x14ac:dyDescent="0.2">
      <c r="A114" s="907" t="s">
        <v>5</v>
      </c>
      <c r="B114" s="907" t="s">
        <v>2009</v>
      </c>
      <c r="C114" s="919">
        <f>'Revenues 9-14'!B158</f>
        <v>3695</v>
      </c>
      <c r="D114" s="910" t="str">
        <f>'Revenues 9-14'!A158</f>
        <v>Truant Alternative/Optional Education</v>
      </c>
      <c r="E114" s="905"/>
      <c r="F114" s="1786">
        <f>SUM('Revenues 9-14'!C158,'Revenues 9-14'!F158,'Revenues 9-14'!G158)</f>
        <v>0</v>
      </c>
      <c r="G114" s="911"/>
    </row>
    <row r="115" spans="1:7" x14ac:dyDescent="0.2">
      <c r="A115" s="907" t="s">
        <v>668</v>
      </c>
      <c r="B115" s="907" t="s">
        <v>2010</v>
      </c>
      <c r="C115" s="919">
        <f>'Revenues 9-14'!B160</f>
        <v>3766</v>
      </c>
      <c r="D115" s="910" t="str">
        <f>'Revenues 9-14'!A160</f>
        <v>Chicago General Education Block Grant</v>
      </c>
      <c r="E115" s="905"/>
      <c r="F115" s="1786">
        <f>SUM('Revenues 9-14'!C160,'Revenues 9-14'!D160,'Revenues 9-14'!F160,'Revenues 9-14'!G160)</f>
        <v>0</v>
      </c>
      <c r="G115" s="911"/>
    </row>
    <row r="116" spans="1:7" x14ac:dyDescent="0.2">
      <c r="A116" s="907" t="s">
        <v>668</v>
      </c>
      <c r="B116" s="907" t="s">
        <v>2011</v>
      </c>
      <c r="C116" s="919">
        <f>'Revenues 9-14'!B161</f>
        <v>3767</v>
      </c>
      <c r="D116" s="910" t="str">
        <f>'Revenues 9-14'!A161</f>
        <v>Chicago Educational Services Block Grant</v>
      </c>
      <c r="E116" s="905"/>
      <c r="F116" s="1786">
        <f>SUM('Revenues 9-14'!C161,'Revenues 9-14'!D161,'Revenues 9-14'!F161,'Revenues 9-14'!G161)</f>
        <v>0</v>
      </c>
      <c r="G116" s="911"/>
    </row>
    <row r="117" spans="1:7" x14ac:dyDescent="0.2">
      <c r="A117" s="922" t="s">
        <v>1009</v>
      </c>
      <c r="B117" s="922" t="s">
        <v>2012</v>
      </c>
      <c r="C117" s="923">
        <f>'Revenues 9-14'!B162</f>
        <v>3775</v>
      </c>
      <c r="D117" s="924" t="str">
        <f>'Revenues 9-14'!A162</f>
        <v>School Safety &amp; Educational Improvement Block Grant</v>
      </c>
      <c r="E117" s="905"/>
      <c r="F117" s="1904">
        <f>SUM('Revenues 9-14'!C162,'Revenues 9-14'!D162,'Revenues 9-14'!E162,'Revenues 9-14'!F162,'Revenues 9-14'!G162)</f>
        <v>0</v>
      </c>
      <c r="G117" s="911"/>
    </row>
    <row r="118" spans="1:7" x14ac:dyDescent="0.2">
      <c r="A118" s="922" t="s">
        <v>1009</v>
      </c>
      <c r="B118" s="922" t="s">
        <v>2013</v>
      </c>
      <c r="C118" s="923">
        <f>'Revenues 9-14'!B163</f>
        <v>3780</v>
      </c>
      <c r="D118" s="924" t="str">
        <f>'Revenues 9-14'!A163</f>
        <v>Technology - Technology for Success</v>
      </c>
      <c r="E118" s="905"/>
      <c r="F118" s="1904">
        <f>SUM('Revenues 9-14'!C163:G163)</f>
        <v>0</v>
      </c>
      <c r="G118" s="911"/>
    </row>
    <row r="119" spans="1:7" x14ac:dyDescent="0.2">
      <c r="A119" s="922" t="s">
        <v>504</v>
      </c>
      <c r="B119" s="922" t="s">
        <v>2014</v>
      </c>
      <c r="C119" s="923">
        <f>'Revenues 9-14'!B164</f>
        <v>3815</v>
      </c>
      <c r="D119" s="924" t="str">
        <f>'Revenues 9-14'!A164</f>
        <v>State Charter Schools</v>
      </c>
      <c r="E119" s="905"/>
      <c r="F119" s="1904">
        <f>SUM('Revenues 9-14'!C164,'Revenues 9-14'!F164)</f>
        <v>0</v>
      </c>
      <c r="G119" s="911"/>
    </row>
    <row r="120" spans="1:7" x14ac:dyDescent="0.2">
      <c r="A120" s="926" t="s">
        <v>460</v>
      </c>
      <c r="B120" s="926" t="s">
        <v>2015</v>
      </c>
      <c r="C120" s="927">
        <f>'Revenues 9-14'!B167</f>
        <v>3925</v>
      </c>
      <c r="D120" s="928" t="str">
        <f>'Revenues 9-14'!A167</f>
        <v>School Infrastructure - Maintenance Projects</v>
      </c>
      <c r="E120" s="905"/>
      <c r="F120" s="1786">
        <f>'Revenues 9-14'!D167</f>
        <v>0</v>
      </c>
      <c r="G120" s="929"/>
    </row>
    <row r="121" spans="1:7" x14ac:dyDescent="0.2">
      <c r="A121" s="926" t="s">
        <v>500</v>
      </c>
      <c r="B121" s="926" t="s">
        <v>2016</v>
      </c>
      <c r="C121" s="927">
        <f>'Revenues 9-14'!B168</f>
        <v>3999</v>
      </c>
      <c r="D121" s="928" t="s">
        <v>543</v>
      </c>
      <c r="E121" s="930"/>
      <c r="F121" s="1786">
        <f>SUM('Revenues 9-14'!C168:G168,'Revenues 9-14'!J168)</f>
        <v>0</v>
      </c>
      <c r="G121" s="929"/>
    </row>
    <row r="122" spans="1:7" x14ac:dyDescent="0.2">
      <c r="A122" s="926" t="s">
        <v>459</v>
      </c>
      <c r="B122" s="926" t="s">
        <v>2017</v>
      </c>
      <c r="C122" s="931">
        <f>'Revenues 9-14'!B177</f>
        <v>4045</v>
      </c>
      <c r="D122" s="928" t="str">
        <f>'Revenues 9-14'!A177 &amp; " (Subtract)"</f>
        <v>Head Start (Subtract)</v>
      </c>
      <c r="E122" s="905"/>
      <c r="F122" s="1786">
        <f>SUM(-'Revenues 9-14'!C177)</f>
        <v>0</v>
      </c>
      <c r="G122" s="929"/>
    </row>
    <row r="123" spans="1:7" x14ac:dyDescent="0.2">
      <c r="A123" s="926" t="s">
        <v>668</v>
      </c>
      <c r="B123" s="926" t="s">
        <v>2018</v>
      </c>
      <c r="C123" s="931" t="s">
        <v>982</v>
      </c>
      <c r="D123" s="928" t="str">
        <f>('Revenues 9-14'!A181)</f>
        <v>Total Restricted Grants-In-Aid Received Directly from Federal Govt</v>
      </c>
      <c r="E123" s="905"/>
      <c r="F123" s="1786">
        <f>SUM('Revenues 9-14'!C181,'Revenues 9-14'!D181,'Revenues 9-14'!F181,'Revenues 9-14'!G181)</f>
        <v>0</v>
      </c>
      <c r="G123" s="929"/>
    </row>
    <row r="124" spans="1:7" x14ac:dyDescent="0.2">
      <c r="A124" s="926" t="s">
        <v>668</v>
      </c>
      <c r="B124" s="926" t="s">
        <v>2019</v>
      </c>
      <c r="C124" s="931">
        <v>4100</v>
      </c>
      <c r="D124" s="932" t="str">
        <f>'Revenues 9-14'!A188</f>
        <v>Total Title V</v>
      </c>
      <c r="E124" s="905"/>
      <c r="F124" s="1786">
        <f>SUM('Revenues 9-14'!C188,'Revenues 9-14'!D188,'Revenues 9-14'!F188,'Revenues 9-14'!G188)</f>
        <v>0</v>
      </c>
      <c r="G124" s="929"/>
    </row>
    <row r="125" spans="1:7" x14ac:dyDescent="0.2">
      <c r="A125" s="926" t="s">
        <v>664</v>
      </c>
      <c r="B125" s="926" t="s">
        <v>2020</v>
      </c>
      <c r="C125" s="931">
        <v>4200</v>
      </c>
      <c r="D125" s="928" t="str">
        <f>'Revenues 9-14'!A198</f>
        <v>Total Food Service</v>
      </c>
      <c r="E125" s="905"/>
      <c r="F125" s="1786">
        <f>SUM('Revenues 9-14'!C198,'Revenues 9-14'!G198)</f>
        <v>549693</v>
      </c>
      <c r="G125" s="929"/>
    </row>
    <row r="126" spans="1:7" x14ac:dyDescent="0.2">
      <c r="A126" s="926" t="s">
        <v>668</v>
      </c>
      <c r="B126" s="926" t="s">
        <v>2021</v>
      </c>
      <c r="C126" s="931">
        <v>4300</v>
      </c>
      <c r="D126" s="932" t="str">
        <f>'Revenues 9-14'!A204</f>
        <v>Total Title I</v>
      </c>
      <c r="E126" s="905"/>
      <c r="F126" s="1786">
        <f>SUM('Revenues 9-14'!C204,'Revenues 9-14'!D204,'Revenues 9-14'!F204,'Revenues 9-14'!G204)</f>
        <v>507672</v>
      </c>
      <c r="G126" s="929"/>
    </row>
    <row r="127" spans="1:7" x14ac:dyDescent="0.2">
      <c r="A127" s="926" t="s">
        <v>668</v>
      </c>
      <c r="B127" s="926" t="s">
        <v>2022</v>
      </c>
      <c r="C127" s="931">
        <v>4400</v>
      </c>
      <c r="D127" s="932" t="str">
        <f>'Revenues 9-14'!A209</f>
        <v>Total Title IV</v>
      </c>
      <c r="E127" s="905"/>
      <c r="F127" s="1786">
        <f>SUM('Revenues 9-14'!C209,'Revenues 9-14'!D209,'Revenues 9-14'!F209,'Revenues 9-14'!G209)</f>
        <v>31113</v>
      </c>
      <c r="G127" s="929"/>
    </row>
    <row r="128" spans="1:7" x14ac:dyDescent="0.2">
      <c r="A128" s="926" t="s">
        <v>668</v>
      </c>
      <c r="B128" s="926" t="s">
        <v>2023</v>
      </c>
      <c r="C128" s="931">
        <f>'Revenues 9-14'!B213</f>
        <v>4620</v>
      </c>
      <c r="D128" s="932" t="str">
        <f>'Revenues 9-14'!A213</f>
        <v>Fed - Spec Education - IDEA - Flow Through</v>
      </c>
      <c r="E128" s="905"/>
      <c r="F128" s="1786">
        <f>SUM('Revenues 9-14'!C213:D213,'Revenues 9-14'!F213:G213)</f>
        <v>755383</v>
      </c>
      <c r="G128" s="929"/>
    </row>
    <row r="129" spans="1:7" x14ac:dyDescent="0.2">
      <c r="A129" s="926" t="s">
        <v>668</v>
      </c>
      <c r="B129" s="926" t="s">
        <v>2024</v>
      </c>
      <c r="C129" s="931">
        <f>'Revenues 9-14'!B214</f>
        <v>4625</v>
      </c>
      <c r="D129" s="932" t="str">
        <f>'Revenues 9-14'!A214</f>
        <v>Fed - Spec Education - IDEA - Room &amp; Board</v>
      </c>
      <c r="E129" s="905"/>
      <c r="F129" s="1786">
        <f>SUM('Revenues 9-14'!C214,'Revenues 9-14'!D214,'Revenues 9-14'!F214,'Revenues 9-14'!G214)</f>
        <v>637145</v>
      </c>
      <c r="G129" s="929"/>
    </row>
    <row r="130" spans="1:7" x14ac:dyDescent="0.2">
      <c r="A130" s="926" t="s">
        <v>668</v>
      </c>
      <c r="B130" s="926" t="s">
        <v>2025</v>
      </c>
      <c r="C130" s="931">
        <f>'Revenues 9-14'!B215</f>
        <v>4630</v>
      </c>
      <c r="D130" s="932" t="str">
        <f>'Revenues 9-14'!A215</f>
        <v>Fed - Spec Education - IDEA - Discretionary</v>
      </c>
      <c r="E130" s="905"/>
      <c r="F130" s="1786">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6">
        <f>SUM('Revenues 9-14'!C216:D216,'Revenues 9-14'!F216:G216)</f>
        <v>0</v>
      </c>
      <c r="G131" s="929"/>
    </row>
    <row r="132" spans="1:7" x14ac:dyDescent="0.2">
      <c r="A132" s="926" t="s">
        <v>673</v>
      </c>
      <c r="B132" s="926" t="s">
        <v>2026</v>
      </c>
      <c r="C132" s="931">
        <v>4700</v>
      </c>
      <c r="D132" s="928" t="str">
        <f>'Revenues 9-14'!A221</f>
        <v>Total CTE - Perkins</v>
      </c>
      <c r="E132" s="905"/>
      <c r="F132" s="1786">
        <f>SUM('Revenues 9-14'!C221,'Revenues 9-14'!D221,'Revenues 9-14'!G221)</f>
        <v>0</v>
      </c>
      <c r="G132" s="929">
        <v>6303</v>
      </c>
    </row>
    <row r="133" spans="1:7" s="866" customFormat="1" hidden="1" x14ac:dyDescent="0.2">
      <c r="A133" s="933" t="s">
        <v>206</v>
      </c>
      <c r="B133" s="933" t="s">
        <v>2027</v>
      </c>
      <c r="C133" s="934" t="s">
        <v>207</v>
      </c>
      <c r="D133" s="935" t="str">
        <f>'Revenues 9-14'!A224</f>
        <v>ARRA - Title I - Low Income</v>
      </c>
      <c r="E133" s="936"/>
      <c r="F133" s="1904">
        <f>SUM('Revenues 9-14'!$C$224:$D$224,'Revenues 9-14'!$F$224:$G$224)</f>
        <v>0</v>
      </c>
      <c r="G133" s="904"/>
    </row>
    <row r="134" spans="1:7" s="866" customFormat="1" hidden="1" x14ac:dyDescent="0.2">
      <c r="A134" s="933" t="s">
        <v>206</v>
      </c>
      <c r="B134" s="933" t="s">
        <v>2028</v>
      </c>
      <c r="C134" s="934" t="s">
        <v>208</v>
      </c>
      <c r="D134" s="935" t="str">
        <f>'Revenues 9-14'!A225</f>
        <v>ARRA - Title I - Neglected, Private</v>
      </c>
      <c r="E134" s="936"/>
      <c r="F134" s="1786">
        <f>SUM('Revenues 9-14'!C225:G225,'Revenues 9-14'!J225)</f>
        <v>0</v>
      </c>
      <c r="G134" s="904"/>
    </row>
    <row r="135" spans="1:7" s="866" customFormat="1" hidden="1" x14ac:dyDescent="0.2">
      <c r="A135" s="933" t="s">
        <v>206</v>
      </c>
      <c r="B135" s="933" t="s">
        <v>2029</v>
      </c>
      <c r="C135" s="934" t="s">
        <v>209</v>
      </c>
      <c r="D135" s="935" t="str">
        <f>'Revenues 9-14'!A226</f>
        <v>ARRA - Title I - Delinquent, Private</v>
      </c>
      <c r="E135" s="936"/>
      <c r="F135" s="1786">
        <f>SUM('Revenues 9-14'!C226:G226,'Revenues 9-14'!J226)</f>
        <v>0</v>
      </c>
      <c r="G135" s="904"/>
    </row>
    <row r="136" spans="1:7" s="866" customFormat="1" hidden="1" x14ac:dyDescent="0.2">
      <c r="A136" s="933" t="s">
        <v>206</v>
      </c>
      <c r="B136" s="933" t="s">
        <v>2030</v>
      </c>
      <c r="C136" s="934" t="s">
        <v>210</v>
      </c>
      <c r="D136" s="935" t="str">
        <f>'Revenues 9-14'!A227</f>
        <v>ARRA - Title I - School Improvement (Part A)</v>
      </c>
      <c r="E136" s="936"/>
      <c r="F136" s="1786">
        <f>SUM('Revenues 9-14'!C227:G227,'Revenues 9-14'!J227)</f>
        <v>0</v>
      </c>
      <c r="G136" s="904"/>
    </row>
    <row r="137" spans="1:7" s="866" customFormat="1" hidden="1" x14ac:dyDescent="0.2">
      <c r="A137" s="933" t="s">
        <v>206</v>
      </c>
      <c r="B137" s="933" t="s">
        <v>2031</v>
      </c>
      <c r="C137" s="934" t="s">
        <v>211</v>
      </c>
      <c r="D137" s="935" t="str">
        <f>'Revenues 9-14'!A228</f>
        <v>ARRA - Title I - School Improvement (Section 1003g)</v>
      </c>
      <c r="E137" s="936"/>
      <c r="F137" s="1786">
        <f>SUM('Revenues 9-14'!C228:G228,'Revenues 9-14'!J228)</f>
        <v>0</v>
      </c>
      <c r="G137" s="904"/>
    </row>
    <row r="138" spans="1:7" s="866" customFormat="1" hidden="1" x14ac:dyDescent="0.2">
      <c r="A138" s="933" t="s">
        <v>206</v>
      </c>
      <c r="B138" s="933" t="s">
        <v>2032</v>
      </c>
      <c r="C138" s="934" t="s">
        <v>212</v>
      </c>
      <c r="D138" s="935" t="str">
        <f>'Revenues 9-14'!A229</f>
        <v>ARRA - IDEA - Part B - Preschool</v>
      </c>
      <c r="E138" s="936"/>
      <c r="F138" s="1786">
        <v>0</v>
      </c>
      <c r="G138" s="904"/>
    </row>
    <row r="139" spans="1:7" s="866" customFormat="1" hidden="1" x14ac:dyDescent="0.2">
      <c r="A139" s="933" t="s">
        <v>206</v>
      </c>
      <c r="B139" s="933" t="s">
        <v>2033</v>
      </c>
      <c r="C139" s="934" t="s">
        <v>213</v>
      </c>
      <c r="D139" s="935" t="str">
        <f>'Revenues 9-14'!A230</f>
        <v>ARRA - IDEA - Part B - Flow-Through</v>
      </c>
      <c r="E139" s="936"/>
      <c r="F139" s="1786">
        <f>SUM('Revenues 9-14'!C230:G230,'Revenues 9-14'!J230)</f>
        <v>0</v>
      </c>
      <c r="G139" s="904"/>
    </row>
    <row r="140" spans="1:7" s="866" customFormat="1" hidden="1" x14ac:dyDescent="0.2">
      <c r="A140" s="933" t="s">
        <v>206</v>
      </c>
      <c r="B140" s="933" t="s">
        <v>2034</v>
      </c>
      <c r="C140" s="934" t="s">
        <v>214</v>
      </c>
      <c r="D140" s="935" t="str">
        <f>'Revenues 9-14'!A231</f>
        <v>ARRA - Title IID - Technology-Formula</v>
      </c>
      <c r="E140" s="936"/>
      <c r="F140" s="1786">
        <f>SUM('Revenues 9-14'!C231:G231,'Revenues 9-14'!J231)</f>
        <v>0</v>
      </c>
      <c r="G140" s="904"/>
    </row>
    <row r="141" spans="1:7" s="866" customFormat="1" hidden="1" x14ac:dyDescent="0.2">
      <c r="A141" s="933" t="s">
        <v>206</v>
      </c>
      <c r="B141" s="933" t="s">
        <v>2035</v>
      </c>
      <c r="C141" s="934" t="s">
        <v>216</v>
      </c>
      <c r="D141" s="935" t="str">
        <f>'Revenues 9-14'!A232</f>
        <v>ARRA - Title IID - Technology-Competitive</v>
      </c>
      <c r="E141" s="936"/>
      <c r="F141" s="1786">
        <f>SUM('Revenues 9-14'!C232:G232,'Revenues 9-14'!J232)</f>
        <v>0</v>
      </c>
      <c r="G141" s="904"/>
    </row>
    <row r="142" spans="1:7" s="866" customFormat="1" hidden="1" x14ac:dyDescent="0.2">
      <c r="A142" s="933" t="s">
        <v>668</v>
      </c>
      <c r="B142" s="933" t="s">
        <v>2036</v>
      </c>
      <c r="C142" s="934" t="s">
        <v>217</v>
      </c>
      <c r="D142" s="935" t="str">
        <f>'Revenues 9-14'!A233</f>
        <v>ARRA - McKinney - Vento Homeless Education</v>
      </c>
      <c r="E142" s="936"/>
      <c r="F142" s="1786">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6">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6">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6">
        <f>SUM('Revenues 9-14'!C239:G239,'Revenues 9-14'!J239)</f>
        <v>0</v>
      </c>
      <c r="G145" s="904"/>
    </row>
    <row r="146" spans="1:7" s="866" customFormat="1" hidden="1" x14ac:dyDescent="0.2">
      <c r="A146" s="933" t="s">
        <v>206</v>
      </c>
      <c r="B146" s="933" t="s">
        <v>2037</v>
      </c>
      <c r="C146" s="934" t="s">
        <v>223</v>
      </c>
      <c r="D146" s="935" t="str">
        <f>'Revenues 9-14'!A240</f>
        <v>Build America Bond Interest Reimbursement</v>
      </c>
      <c r="E146" s="936"/>
      <c r="F146" s="1786">
        <f>SUM('Revenues 9-14'!C240:G240,'Revenues 9-14'!J240)</f>
        <v>0</v>
      </c>
      <c r="G146" s="904"/>
    </row>
    <row r="147" spans="1:7" s="866" customFormat="1" hidden="1" x14ac:dyDescent="0.2">
      <c r="A147" s="933" t="s">
        <v>206</v>
      </c>
      <c r="B147" s="933" t="s">
        <v>2038</v>
      </c>
      <c r="C147" s="934" t="s">
        <v>225</v>
      </c>
      <c r="D147" s="935" t="str">
        <f>'Revenues 9-14'!A242</f>
        <v>Other ARRA Funds - II</v>
      </c>
      <c r="E147" s="936"/>
      <c r="F147" s="1786">
        <f>SUM('Revenues 9-14'!C242:G242,'Revenues 9-14'!J242)</f>
        <v>0</v>
      </c>
      <c r="G147" s="904"/>
    </row>
    <row r="148" spans="1:7" s="866" customFormat="1" hidden="1" x14ac:dyDescent="0.2">
      <c r="A148" s="933" t="s">
        <v>206</v>
      </c>
      <c r="B148" s="933" t="s">
        <v>2039</v>
      </c>
      <c r="C148" s="934" t="s">
        <v>226</v>
      </c>
      <c r="D148" s="935" t="str">
        <f>'Revenues 9-14'!A243</f>
        <v>Other ARRA Funds - III</v>
      </c>
      <c r="E148" s="936"/>
      <c r="F148" s="1786">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6">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6">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6">
        <v>0</v>
      </c>
      <c r="G151" s="904"/>
    </row>
    <row r="152" spans="1:7" s="866" customFormat="1" hidden="1" x14ac:dyDescent="0.2">
      <c r="A152" s="933" t="s">
        <v>206</v>
      </c>
      <c r="B152" s="933" t="s">
        <v>1417</v>
      </c>
      <c r="C152" s="934" t="s">
        <v>233</v>
      </c>
      <c r="D152" s="935" t="str">
        <f>'Revenues 9-14'!A247</f>
        <v>Other ARRA Funds VII</v>
      </c>
      <c r="E152" s="936"/>
      <c r="F152" s="1786">
        <f>SUM('Revenues 9-14'!C247:G247,'Revenues 9-14'!J247)</f>
        <v>0</v>
      </c>
      <c r="G152" s="904"/>
    </row>
    <row r="153" spans="1:7" s="866" customFormat="1" hidden="1" x14ac:dyDescent="0.2">
      <c r="A153" s="933" t="s">
        <v>206</v>
      </c>
      <c r="B153" s="933" t="s">
        <v>2040</v>
      </c>
      <c r="C153" s="934" t="s">
        <v>234</v>
      </c>
      <c r="D153" s="935" t="str">
        <f>'Revenues 9-14'!A248</f>
        <v>Other ARRA Funds VIII</v>
      </c>
      <c r="E153" s="936"/>
      <c r="F153" s="1786">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6">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6">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6">
        <f>SUM('Revenues 9-14'!C251:G251,'Revenues 9-14'!J251)</f>
        <v>0</v>
      </c>
      <c r="G156" s="904"/>
    </row>
    <row r="157" spans="1:7" s="866" customFormat="1" x14ac:dyDescent="0.2">
      <c r="A157" s="937" t="s">
        <v>500</v>
      </c>
      <c r="B157" s="938" t="s">
        <v>2041</v>
      </c>
      <c r="C157" s="939" t="s">
        <v>841</v>
      </c>
      <c r="D157" s="940" t="s">
        <v>777</v>
      </c>
      <c r="E157" s="941"/>
      <c r="F157" s="1786">
        <f>SUM(F133:F156)</f>
        <v>0</v>
      </c>
      <c r="G157" s="904"/>
    </row>
    <row r="158" spans="1:7" s="866" customFormat="1" x14ac:dyDescent="0.2">
      <c r="A158" s="937" t="s">
        <v>459</v>
      </c>
      <c r="B158" s="938" t="s">
        <v>2042</v>
      </c>
      <c r="C158" s="939" t="s">
        <v>1427</v>
      </c>
      <c r="D158" s="940" t="s">
        <v>1428</v>
      </c>
      <c r="E158" s="941"/>
      <c r="F158" s="1786">
        <f>SUM('Revenues 9-14'!C253)</f>
        <v>0</v>
      </c>
      <c r="G158" s="904"/>
    </row>
    <row r="159" spans="1:7" s="866" customFormat="1" x14ac:dyDescent="0.2">
      <c r="A159" s="937" t="s">
        <v>500</v>
      </c>
      <c r="B159" s="938" t="s">
        <v>2043</v>
      </c>
      <c r="C159" s="939" t="s">
        <v>1466</v>
      </c>
      <c r="D159" s="940" t="s">
        <v>1467</v>
      </c>
      <c r="E159" s="941"/>
      <c r="F159" s="1786">
        <f>SUM('Revenues 9-14'!C254:H254,'Revenues 9-14'!J254:K254)</f>
        <v>0</v>
      </c>
      <c r="G159" s="904"/>
    </row>
    <row r="160" spans="1:7" x14ac:dyDescent="0.2">
      <c r="A160" s="926" t="s">
        <v>5</v>
      </c>
      <c r="B160" s="926" t="s">
        <v>2044</v>
      </c>
      <c r="C160" s="931">
        <f>'Revenues 9-14'!B255</f>
        <v>4905</v>
      </c>
      <c r="D160" s="928" t="str">
        <f>'Revenues 9-14'!A255</f>
        <v>Title III - Immigrant Education Program (IEP)</v>
      </c>
      <c r="E160" s="905"/>
      <c r="F160" s="1786">
        <f>SUM('Revenues 9-14'!C255,'Revenues 9-14'!F255,'Revenues 9-14'!G255)</f>
        <v>0</v>
      </c>
      <c r="G160" s="942">
        <v>6306</v>
      </c>
    </row>
    <row r="161" spans="1:7" x14ac:dyDescent="0.2">
      <c r="A161" s="926" t="s">
        <v>5</v>
      </c>
      <c r="B161" s="926" t="s">
        <v>2045</v>
      </c>
      <c r="C161" s="931">
        <f>'Revenues 9-14'!B256</f>
        <v>4909</v>
      </c>
      <c r="D161" s="928" t="str">
        <f>'Revenues 9-14'!A256</f>
        <v>Title III - Language Inst Program - Limited Eng (LIPLEP)</v>
      </c>
      <c r="E161" s="905"/>
      <c r="F161" s="1786">
        <f>SUM('Revenues 9-14'!C256,'Revenues 9-14'!F256,'Revenues 9-14'!G256)</f>
        <v>59228</v>
      </c>
      <c r="G161" s="942"/>
    </row>
    <row r="162" spans="1:7" x14ac:dyDescent="0.2">
      <c r="A162" s="926" t="s">
        <v>668</v>
      </c>
      <c r="B162" s="926" t="s">
        <v>2046</v>
      </c>
      <c r="C162" s="931">
        <f>'Revenues 9-14'!B257</f>
        <v>4920</v>
      </c>
      <c r="D162" s="928" t="str">
        <f>'Revenues 9-14'!A257</f>
        <v>McKinney Education for Homeless Children</v>
      </c>
      <c r="E162" s="905"/>
      <c r="F162" s="1786">
        <f>SUM('Revenues 9-14'!C257,'Revenues 9-14'!D257,'Revenues 9-14'!F257,'Revenues 9-14'!G257)</f>
        <v>0</v>
      </c>
      <c r="G162" s="929"/>
    </row>
    <row r="163" spans="1:7" x14ac:dyDescent="0.2">
      <c r="A163" s="943" t="s">
        <v>668</v>
      </c>
      <c r="B163" s="943" t="s">
        <v>2047</v>
      </c>
      <c r="C163" s="944">
        <f>'Revenues 9-14'!B258</f>
        <v>4930</v>
      </c>
      <c r="D163" s="945" t="str">
        <f>'Revenues 9-14'!A258</f>
        <v>Title II - Eisenhower Professional Development Formula</v>
      </c>
      <c r="E163" s="925"/>
      <c r="F163" s="1904">
        <f>SUM('Revenues 9-14'!C258:D258,'Revenues 9-14'!F258,'Revenues 9-14'!G258)</f>
        <v>0</v>
      </c>
      <c r="G163" s="929"/>
    </row>
    <row r="164" spans="1:7" x14ac:dyDescent="0.2">
      <c r="A164" s="926" t="s">
        <v>668</v>
      </c>
      <c r="B164" s="926" t="s">
        <v>2048</v>
      </c>
      <c r="C164" s="931">
        <f>'Revenues 9-14'!B259</f>
        <v>4932</v>
      </c>
      <c r="D164" s="932" t="str">
        <f>'Revenues 9-14'!A259</f>
        <v>Title II - Teacher Quality</v>
      </c>
      <c r="E164" s="905"/>
      <c r="F164" s="1904">
        <f>SUM('Revenues 9-14'!C259,'Revenues 9-14'!D259,'Revenues 9-14'!F259,'Revenues 9-14'!G259)</f>
        <v>118121</v>
      </c>
      <c r="G164" s="929"/>
    </row>
    <row r="165" spans="1:7" x14ac:dyDescent="0.2">
      <c r="A165" s="926" t="s">
        <v>668</v>
      </c>
      <c r="B165" s="926" t="s">
        <v>2049</v>
      </c>
      <c r="C165" s="931">
        <f>'Revenues 9-14'!B260</f>
        <v>4960</v>
      </c>
      <c r="D165" s="928" t="str">
        <f>'Revenues 9-14'!A260</f>
        <v>Federal Charter Schools</v>
      </c>
      <c r="E165" s="905"/>
      <c r="F165" s="1786">
        <f>SUM('Revenues 9-14'!C260:D260,'Revenues 9-14'!F260:G260)</f>
        <v>0</v>
      </c>
      <c r="G165" s="929"/>
    </row>
    <row r="166" spans="1:7" x14ac:dyDescent="0.2">
      <c r="A166" s="926" t="s">
        <v>668</v>
      </c>
      <c r="B166" s="926" t="s">
        <v>1994</v>
      </c>
      <c r="C166" s="931">
        <f>'Revenues 9-14'!B261</f>
        <v>4981</v>
      </c>
      <c r="D166" s="928" t="str">
        <f>'Revenues 9-14'!A261</f>
        <v>State Assessment Grants</v>
      </c>
      <c r="E166" s="905"/>
      <c r="F166" s="1786">
        <f>SUM('Revenues 9-14'!C261:D261,'Revenues 9-14'!F261:G261)</f>
        <v>0</v>
      </c>
      <c r="G166" s="929"/>
    </row>
    <row r="167" spans="1:7" x14ac:dyDescent="0.2">
      <c r="A167" s="926" t="s">
        <v>668</v>
      </c>
      <c r="B167" s="926" t="s">
        <v>1995</v>
      </c>
      <c r="C167" s="931">
        <f>'Revenues 9-14'!B262</f>
        <v>4982</v>
      </c>
      <c r="D167" s="928" t="str">
        <f>'Revenues 9-14'!A262</f>
        <v>Grant for State Assessments and Related Activities</v>
      </c>
      <c r="E167" s="905"/>
      <c r="F167" s="1786">
        <f>SUM('Revenues 9-14'!C262:D262,'Revenues 9-14'!F262:G262)</f>
        <v>0</v>
      </c>
      <c r="G167" s="929"/>
    </row>
    <row r="168" spans="1:7" x14ac:dyDescent="0.2">
      <c r="A168" s="926" t="s">
        <v>668</v>
      </c>
      <c r="B168" s="926" t="s">
        <v>2050</v>
      </c>
      <c r="C168" s="931">
        <f>'Revenues 9-14'!B263</f>
        <v>4991</v>
      </c>
      <c r="D168" s="932" t="str">
        <f>'Revenues 9-14'!A263</f>
        <v>Medicaid Matching Funds - Administrative Outreach</v>
      </c>
      <c r="E168" s="905"/>
      <c r="F168" s="1786">
        <f>SUM('Revenues 9-14'!C263:D263,'Revenues 9-14'!F263:G263)</f>
        <v>34800</v>
      </c>
      <c r="G168" s="946">
        <v>6320</v>
      </c>
    </row>
    <row r="169" spans="1:7" x14ac:dyDescent="0.2">
      <c r="A169" s="926" t="s">
        <v>668</v>
      </c>
      <c r="B169" s="926" t="s">
        <v>2051</v>
      </c>
      <c r="C169" s="931">
        <f>'Revenues 9-14'!B264</f>
        <v>4992</v>
      </c>
      <c r="D169" s="932" t="str">
        <f>'Revenues 9-14'!A264</f>
        <v>Medicaid Matching Funds - Fee-for-Service Program</v>
      </c>
      <c r="E169" s="905"/>
      <c r="F169" s="1786">
        <f>SUM('Revenues 9-14'!C264:D264,'Revenues 9-14'!F264:G264)</f>
        <v>202672</v>
      </c>
      <c r="G169" s="946"/>
    </row>
    <row r="170" spans="1:7" x14ac:dyDescent="0.2">
      <c r="A170" s="947" t="s">
        <v>668</v>
      </c>
      <c r="B170" s="943" t="s">
        <v>2052</v>
      </c>
      <c r="C170" s="944">
        <f>'Revenues 9-14'!B265</f>
        <v>4999</v>
      </c>
      <c r="D170" s="945" t="str">
        <f>'Revenues 9-14'!A265</f>
        <v>Other Restricted Revenue from Federal Sources (Describe &amp; Itemize)</v>
      </c>
      <c r="E170" s="905"/>
      <c r="F170" s="1786">
        <f>SUM('Revenues 9-14'!C265:D265,'Revenues 9-14'!F265:G265)</f>
        <v>0</v>
      </c>
      <c r="G170" s="926"/>
    </row>
    <row r="171" spans="1:7" x14ac:dyDescent="0.2">
      <c r="A171" s="1915" t="s">
        <v>5</v>
      </c>
      <c r="B171" s="1916" t="s">
        <v>1917</v>
      </c>
      <c r="C171" s="1917">
        <v>3100</v>
      </c>
      <c r="D171" s="1918" t="s">
        <v>1919</v>
      </c>
      <c r="E171" s="905"/>
      <c r="F171" s="1903">
        <v>1697176</v>
      </c>
      <c r="G171" s="926"/>
    </row>
    <row r="172" spans="1:7" x14ac:dyDescent="0.2">
      <c r="A172" s="1915" t="s">
        <v>664</v>
      </c>
      <c r="B172" s="1916" t="s">
        <v>1917</v>
      </c>
      <c r="C172" s="1917">
        <v>3300</v>
      </c>
      <c r="D172" s="1918" t="s">
        <v>1920</v>
      </c>
      <c r="E172" s="905"/>
      <c r="F172" s="1903">
        <v>194860</v>
      </c>
      <c r="G172" s="926"/>
    </row>
    <row r="173" spans="1:7" ht="6" customHeight="1" x14ac:dyDescent="0.2">
      <c r="A173" s="926"/>
      <c r="B173" s="926"/>
      <c r="C173" s="948"/>
      <c r="D173" s="926"/>
      <c r="E173" s="905"/>
      <c r="F173" s="949"/>
      <c r="G173" s="946"/>
    </row>
    <row r="174" spans="1:7" x14ac:dyDescent="0.2">
      <c r="A174" s="1767"/>
      <c r="B174" s="1781"/>
      <c r="C174" s="1782"/>
      <c r="D174" s="1783" t="s">
        <v>2053</v>
      </c>
      <c r="E174" s="1784" t="s">
        <v>958</v>
      </c>
      <c r="F174" s="1785">
        <f>SUM(F84:F132,F157:F172)</f>
        <v>9060844</v>
      </c>
    </row>
    <row r="175" spans="1:7" ht="12" customHeight="1" x14ac:dyDescent="0.2">
      <c r="A175" s="1767"/>
      <c r="B175" s="1781"/>
      <c r="C175" s="1782"/>
      <c r="D175" s="1783" t="s">
        <v>2054</v>
      </c>
      <c r="E175" s="1784"/>
      <c r="F175" s="1786">
        <f>'PCTC-OEPP 27-28'!F77-F174</f>
        <v>54415474</v>
      </c>
    </row>
    <row r="176" spans="1:7" ht="12" customHeight="1" x14ac:dyDescent="0.2">
      <c r="A176" s="1767"/>
      <c r="B176" s="1781"/>
      <c r="C176" s="1782"/>
      <c r="D176" s="1783" t="s">
        <v>1814</v>
      </c>
      <c r="E176" s="1784"/>
      <c r="F176" s="1786">
        <f>'Cap Outlay Deprec 26'!I18</f>
        <v>3245144</v>
      </c>
    </row>
    <row r="177" spans="1:7" ht="12" customHeight="1" x14ac:dyDescent="0.2">
      <c r="A177" s="1767"/>
      <c r="B177" s="1781"/>
      <c r="C177" s="1782"/>
      <c r="D177" s="1783" t="s">
        <v>2055</v>
      </c>
      <c r="E177" s="1784"/>
      <c r="F177" s="1786">
        <f>F175+F176</f>
        <v>57660618</v>
      </c>
    </row>
    <row r="178" spans="1:7" ht="12" customHeight="1" x14ac:dyDescent="0.2">
      <c r="A178" s="1767"/>
      <c r="B178" s="1787"/>
      <c r="C178" s="1782"/>
      <c r="D178" s="1783" t="str">
        <f>D78</f>
        <v>9 Month ADA from District Average Daily Attendance/Prior General State Aid Inquiry 2018-2019</v>
      </c>
      <c r="E178" s="1784"/>
      <c r="F178" s="1788">
        <f>'PCTC-OEPP 27-28'!F78</f>
        <v>4261</v>
      </c>
      <c r="G178" s="929"/>
    </row>
    <row r="179" spans="1:7" ht="12" customHeight="1" thickBot="1" x14ac:dyDescent="0.25">
      <c r="A179" s="1767"/>
      <c r="B179" s="1787"/>
      <c r="C179" s="1782"/>
      <c r="D179" s="1783" t="s">
        <v>2056</v>
      </c>
      <c r="E179" s="1784" t="s">
        <v>1545</v>
      </c>
      <c r="F179" s="1789">
        <f>F177/F178</f>
        <v>13532.17977000704</v>
      </c>
      <c r="G179" s="855">
        <v>6323</v>
      </c>
    </row>
    <row r="180" spans="1:7" ht="12" thickTop="1" x14ac:dyDescent="0.2">
      <c r="B180" s="929"/>
      <c r="C180" s="948"/>
      <c r="D180" s="929"/>
      <c r="E180" s="948"/>
      <c r="F180" s="929"/>
      <c r="G180" s="950">
        <v>6326</v>
      </c>
    </row>
    <row r="181" spans="1:7" ht="12.2" customHeight="1" x14ac:dyDescent="0.2">
      <c r="A181" s="929" t="s">
        <v>1918</v>
      </c>
      <c r="B181" s="929"/>
      <c r="C181" s="948"/>
      <c r="D181" s="929"/>
      <c r="E181" s="948"/>
      <c r="F181" s="929"/>
      <c r="G181" s="929"/>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8"/>
      <c r="D184" s="929"/>
      <c r="E184" s="948"/>
      <c r="F184" s="929"/>
      <c r="G184" s="929"/>
    </row>
    <row r="185" spans="1:7" x14ac:dyDescent="0.2">
      <c r="A185" s="1923" t="s">
        <v>1922</v>
      </c>
      <c r="B185" s="1924" t="s">
        <v>1921</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6" zoomScaleNormal="100" workbookViewId="0">
      <selection activeCell="B139" sqref="B13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4"/>
      <c r="B3" s="1544"/>
      <c r="C3" s="1544"/>
      <c r="D3" s="1544"/>
      <c r="E3" s="1544"/>
      <c r="F3" s="1544"/>
      <c r="G3" s="1544"/>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3" t="s">
        <v>1816</v>
      </c>
      <c r="B6" s="1534"/>
      <c r="C6" s="1534"/>
      <c r="D6" s="1534"/>
      <c r="E6" s="1534"/>
      <c r="F6" s="1534"/>
      <c r="G6" s="1535"/>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6" t="s">
        <v>1817</v>
      </c>
      <c r="B10" s="1537"/>
      <c r="C10" s="1537"/>
      <c r="D10" s="1537"/>
      <c r="E10" s="1537"/>
      <c r="F10" s="1537"/>
      <c r="G10" s="1538"/>
    </row>
    <row r="11" spans="1:7" ht="17.25" customHeight="1" x14ac:dyDescent="0.25">
      <c r="A11" s="2275" t="s">
        <v>1931</v>
      </c>
      <c r="B11" s="2276"/>
      <c r="C11" s="2276"/>
      <c r="D11" s="2276"/>
      <c r="E11" s="2276"/>
      <c r="F11" s="2276"/>
      <c r="G11" s="2277"/>
    </row>
    <row r="12" spans="1:7" ht="15" customHeight="1" x14ac:dyDescent="0.25">
      <c r="A12" s="1536" t="s">
        <v>1822</v>
      </c>
      <c r="B12" s="1537"/>
      <c r="C12" s="1537"/>
      <c r="D12" s="1537"/>
      <c r="E12" s="1537"/>
      <c r="F12" s="1537"/>
      <c r="G12" s="1538"/>
    </row>
    <row r="13" spans="1:7" ht="32.25" customHeight="1" x14ac:dyDescent="0.25">
      <c r="A13" s="2266" t="s">
        <v>1973</v>
      </c>
      <c r="B13" s="2267"/>
      <c r="C13" s="2267"/>
      <c r="D13" s="2267"/>
      <c r="E13" s="2267"/>
      <c r="F13" s="2267"/>
      <c r="G13" s="2268"/>
    </row>
    <row r="14" spans="1:7" x14ac:dyDescent="0.25">
      <c r="A14" s="1658" t="s">
        <v>1830</v>
      </c>
      <c r="B14" s="1659"/>
      <c r="C14" s="1659"/>
      <c r="D14" s="1659"/>
      <c r="E14" s="1659"/>
      <c r="F14" s="1659"/>
      <c r="G14" s="1660"/>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2160</v>
      </c>
      <c r="B17" s="1937" t="s">
        <v>2161</v>
      </c>
      <c r="C17" s="1938" t="s">
        <v>2162</v>
      </c>
      <c r="D17" s="1841">
        <v>2777319</v>
      </c>
      <c r="E17" s="1539">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2752319</v>
      </c>
      <c r="H17" s="1646"/>
    </row>
    <row r="18" spans="1:8" x14ac:dyDescent="0.25">
      <c r="A18" s="1936" t="s">
        <v>2163</v>
      </c>
      <c r="B18" s="1937" t="s">
        <v>2164</v>
      </c>
      <c r="C18" s="1938" t="s">
        <v>2165</v>
      </c>
      <c r="D18" s="1841">
        <v>350426</v>
      </c>
      <c r="E18" s="1539">
        <f t="shared" ref="E18:E140" si="2">IF(D18&lt;=25000,D18,IF(D18&gt;25000,25000,0))</f>
        <v>25000</v>
      </c>
      <c r="F18" s="1929">
        <f t="shared" si="1"/>
        <v>25000</v>
      </c>
      <c r="G18" s="1790">
        <f t="shared" ref="G18:G140" si="3">IF(F18=0,0,D18-F18)</f>
        <v>325426</v>
      </c>
    </row>
    <row r="19" spans="1:8" x14ac:dyDescent="0.25">
      <c r="A19" s="1936" t="s">
        <v>2166</v>
      </c>
      <c r="B19" s="1937" t="s">
        <v>1821</v>
      </c>
      <c r="C19" s="1938" t="s">
        <v>2167</v>
      </c>
      <c r="D19" s="1841">
        <v>98006</v>
      </c>
      <c r="E19" s="1539">
        <f t="shared" si="2"/>
        <v>25000</v>
      </c>
      <c r="F19" s="1929">
        <f t="shared" si="1"/>
        <v>25000</v>
      </c>
      <c r="G19" s="1790">
        <f t="shared" si="3"/>
        <v>73006</v>
      </c>
    </row>
    <row r="20" spans="1:8" ht="30" x14ac:dyDescent="0.25">
      <c r="A20" s="1936" t="s">
        <v>2168</v>
      </c>
      <c r="B20" s="1937" t="s">
        <v>2169</v>
      </c>
      <c r="C20" s="1938" t="s">
        <v>2170</v>
      </c>
      <c r="D20" s="1841">
        <v>44689</v>
      </c>
      <c r="E20" s="1539">
        <f t="shared" si="2"/>
        <v>25000</v>
      </c>
      <c r="F20" s="1929">
        <f t="shared" si="1"/>
        <v>25000</v>
      </c>
      <c r="G20" s="1790">
        <f t="shared" si="3"/>
        <v>19689</v>
      </c>
    </row>
    <row r="21" spans="1:8" x14ac:dyDescent="0.25">
      <c r="A21" s="1936" t="s">
        <v>2171</v>
      </c>
      <c r="B21" s="1937" t="s">
        <v>1821</v>
      </c>
      <c r="C21" s="1938" t="s">
        <v>2172</v>
      </c>
      <c r="D21" s="1841">
        <v>213610</v>
      </c>
      <c r="E21" s="1539">
        <f t="shared" si="2"/>
        <v>25000</v>
      </c>
      <c r="F21" s="1929">
        <f t="shared" si="1"/>
        <v>25000</v>
      </c>
      <c r="G21" s="1790">
        <f t="shared" si="3"/>
        <v>188610</v>
      </c>
    </row>
    <row r="22" spans="1:8" x14ac:dyDescent="0.25">
      <c r="A22" s="1936" t="s">
        <v>2173</v>
      </c>
      <c r="B22" s="1937" t="s">
        <v>2174</v>
      </c>
      <c r="C22" s="1938" t="s">
        <v>2175</v>
      </c>
      <c r="D22" s="1841">
        <v>27735</v>
      </c>
      <c r="E22" s="1539">
        <f t="shared" si="2"/>
        <v>25000</v>
      </c>
      <c r="F22" s="1929">
        <f t="shared" si="1"/>
        <v>25000</v>
      </c>
      <c r="G22" s="1790">
        <f t="shared" si="3"/>
        <v>2735</v>
      </c>
    </row>
    <row r="23" spans="1:8" x14ac:dyDescent="0.25">
      <c r="A23" s="1936" t="s">
        <v>2176</v>
      </c>
      <c r="B23" s="1937" t="s">
        <v>2177</v>
      </c>
      <c r="C23" s="1938" t="s">
        <v>2178</v>
      </c>
      <c r="D23" s="1841">
        <v>81910</v>
      </c>
      <c r="E23" s="1539">
        <f t="shared" si="2"/>
        <v>25000</v>
      </c>
      <c r="F23" s="1929">
        <f t="shared" si="1"/>
        <v>25000</v>
      </c>
      <c r="G23" s="1790">
        <f t="shared" si="3"/>
        <v>56910</v>
      </c>
    </row>
    <row r="24" spans="1:8" x14ac:dyDescent="0.25">
      <c r="A24" s="1936" t="s">
        <v>2179</v>
      </c>
      <c r="B24" s="1937" t="s">
        <v>2180</v>
      </c>
      <c r="C24" s="1938" t="s">
        <v>2181</v>
      </c>
      <c r="D24" s="1841">
        <v>69201</v>
      </c>
      <c r="E24" s="1539">
        <f t="shared" si="2"/>
        <v>25000</v>
      </c>
      <c r="F24" s="1929">
        <f t="shared" si="1"/>
        <v>25000</v>
      </c>
      <c r="G24" s="1790">
        <f t="shared" si="3"/>
        <v>44201</v>
      </c>
    </row>
    <row r="25" spans="1:8" x14ac:dyDescent="0.25">
      <c r="A25" s="1936" t="s">
        <v>2182</v>
      </c>
      <c r="B25" s="1937" t="s">
        <v>2174</v>
      </c>
      <c r="C25" s="1938" t="s">
        <v>2183</v>
      </c>
      <c r="D25" s="1841">
        <v>201283</v>
      </c>
      <c r="E25" s="1539">
        <f t="shared" si="2"/>
        <v>25000</v>
      </c>
      <c r="F25" s="1929">
        <f t="shared" si="1"/>
        <v>25000</v>
      </c>
      <c r="G25" s="1790">
        <f t="shared" si="3"/>
        <v>176283</v>
      </c>
    </row>
    <row r="26" spans="1:8" x14ac:dyDescent="0.25">
      <c r="A26" s="1936" t="s">
        <v>2184</v>
      </c>
      <c r="B26" s="1937" t="s">
        <v>2169</v>
      </c>
      <c r="C26" s="1938" t="s">
        <v>2185</v>
      </c>
      <c r="D26" s="1841">
        <v>80952</v>
      </c>
      <c r="E26" s="1539">
        <f t="shared" si="2"/>
        <v>25000</v>
      </c>
      <c r="F26" s="1929">
        <f t="shared" si="1"/>
        <v>25000</v>
      </c>
      <c r="G26" s="1790">
        <f t="shared" si="3"/>
        <v>55952</v>
      </c>
    </row>
    <row r="27" spans="1:8" x14ac:dyDescent="0.25">
      <c r="A27" s="1936" t="s">
        <v>2171</v>
      </c>
      <c r="B27" s="1937" t="s">
        <v>1821</v>
      </c>
      <c r="C27" s="1938" t="s">
        <v>2186</v>
      </c>
      <c r="D27" s="1841">
        <v>50464</v>
      </c>
      <c r="E27" s="1539">
        <f t="shared" si="2"/>
        <v>25000</v>
      </c>
      <c r="F27" s="1929">
        <f t="shared" si="1"/>
        <v>25000</v>
      </c>
      <c r="G27" s="1790">
        <f t="shared" si="3"/>
        <v>25464</v>
      </c>
    </row>
    <row r="28" spans="1:8" x14ac:dyDescent="0.25">
      <c r="A28" s="1936" t="s">
        <v>2187</v>
      </c>
      <c r="B28" s="1937" t="s">
        <v>2188</v>
      </c>
      <c r="C28" s="1938" t="s">
        <v>2189</v>
      </c>
      <c r="D28" s="1841">
        <v>31863</v>
      </c>
      <c r="E28" s="1539">
        <f t="shared" si="2"/>
        <v>25000</v>
      </c>
      <c r="F28" s="1929">
        <f t="shared" si="1"/>
        <v>25000</v>
      </c>
      <c r="G28" s="1790">
        <f t="shared" si="3"/>
        <v>6863</v>
      </c>
    </row>
    <row r="29" spans="1:8" x14ac:dyDescent="0.25">
      <c r="A29" s="1936" t="s">
        <v>2190</v>
      </c>
      <c r="B29" s="1937" t="s">
        <v>2191</v>
      </c>
      <c r="C29" s="1938" t="s">
        <v>2192</v>
      </c>
      <c r="D29" s="1841">
        <v>65097</v>
      </c>
      <c r="E29" s="1539">
        <f t="shared" si="2"/>
        <v>25000</v>
      </c>
      <c r="F29" s="1929">
        <f t="shared" si="1"/>
        <v>25000</v>
      </c>
      <c r="G29" s="1790">
        <f t="shared" si="3"/>
        <v>40097</v>
      </c>
    </row>
    <row r="30" spans="1:8" x14ac:dyDescent="0.25">
      <c r="A30" s="1936" t="s">
        <v>2224</v>
      </c>
      <c r="B30" s="1937" t="s">
        <v>2193</v>
      </c>
      <c r="C30" s="1938" t="s">
        <v>2194</v>
      </c>
      <c r="D30" s="1841">
        <v>25155</v>
      </c>
      <c r="E30" s="1539">
        <f t="shared" si="2"/>
        <v>25000</v>
      </c>
      <c r="F30" s="1929">
        <f t="shared" si="1"/>
        <v>25000</v>
      </c>
      <c r="G30" s="1790">
        <f t="shared" si="3"/>
        <v>155</v>
      </c>
    </row>
    <row r="31" spans="1:8" x14ac:dyDescent="0.25">
      <c r="A31" s="1936" t="s">
        <v>2208</v>
      </c>
      <c r="B31" s="1937" t="s">
        <v>2195</v>
      </c>
      <c r="C31" s="1938" t="s">
        <v>2196</v>
      </c>
      <c r="D31" s="1841">
        <v>88941</v>
      </c>
      <c r="E31" s="1539">
        <f t="shared" si="2"/>
        <v>25000</v>
      </c>
      <c r="F31" s="1929">
        <f t="shared" si="1"/>
        <v>25000</v>
      </c>
      <c r="G31" s="1790">
        <f t="shared" si="3"/>
        <v>63941</v>
      </c>
    </row>
    <row r="32" spans="1:8" x14ac:dyDescent="0.25">
      <c r="A32" s="1936" t="s">
        <v>2197</v>
      </c>
      <c r="B32" s="1937" t="s">
        <v>2169</v>
      </c>
      <c r="C32" s="1938" t="s">
        <v>2198</v>
      </c>
      <c r="D32" s="1841">
        <v>697227</v>
      </c>
      <c r="E32" s="1539">
        <f t="shared" si="2"/>
        <v>25000</v>
      </c>
      <c r="F32" s="1929">
        <f t="shared" si="1"/>
        <v>25000</v>
      </c>
      <c r="G32" s="1790">
        <f t="shared" si="3"/>
        <v>672227</v>
      </c>
    </row>
    <row r="33" spans="1:7" x14ac:dyDescent="0.25">
      <c r="A33" s="1936" t="s">
        <v>2199</v>
      </c>
      <c r="B33" s="1937" t="s">
        <v>2164</v>
      </c>
      <c r="C33" s="1938" t="s">
        <v>2200</v>
      </c>
      <c r="D33" s="1841">
        <v>62771</v>
      </c>
      <c r="E33" s="1539">
        <f t="shared" si="2"/>
        <v>25000</v>
      </c>
      <c r="F33" s="1929">
        <f t="shared" si="1"/>
        <v>25000</v>
      </c>
      <c r="G33" s="1790">
        <f t="shared" si="3"/>
        <v>37771</v>
      </c>
    </row>
    <row r="34" spans="1:7" x14ac:dyDescent="0.25">
      <c r="A34" s="1936" t="s">
        <v>2171</v>
      </c>
      <c r="B34" s="1937" t="s">
        <v>1821</v>
      </c>
      <c r="C34" s="1938" t="s">
        <v>2201</v>
      </c>
      <c r="D34" s="1841">
        <v>117114</v>
      </c>
      <c r="E34" s="1539">
        <f t="shared" si="2"/>
        <v>25000</v>
      </c>
      <c r="F34" s="1929">
        <f t="shared" si="1"/>
        <v>25000</v>
      </c>
      <c r="G34" s="1790">
        <f t="shared" si="3"/>
        <v>92114</v>
      </c>
    </row>
    <row r="35" spans="1:7" x14ac:dyDescent="0.25">
      <c r="A35" s="1936" t="s">
        <v>2202</v>
      </c>
      <c r="B35" s="1937" t="s">
        <v>2203</v>
      </c>
      <c r="C35" s="1938" t="s">
        <v>2204</v>
      </c>
      <c r="D35" s="1841">
        <v>65480</v>
      </c>
      <c r="E35" s="1539">
        <f t="shared" si="2"/>
        <v>25000</v>
      </c>
      <c r="F35" s="1929">
        <f t="shared" si="1"/>
        <v>25000</v>
      </c>
      <c r="G35" s="1790">
        <f t="shared" si="3"/>
        <v>40480</v>
      </c>
    </row>
    <row r="36" spans="1:7" x14ac:dyDescent="0.25">
      <c r="A36" s="1936" t="s">
        <v>2205</v>
      </c>
      <c r="B36" s="1937" t="s">
        <v>2191</v>
      </c>
      <c r="C36" s="1938" t="s">
        <v>2206</v>
      </c>
      <c r="D36" s="1841">
        <v>26364</v>
      </c>
      <c r="E36" s="1539">
        <f t="shared" si="2"/>
        <v>25000</v>
      </c>
      <c r="F36" s="1929">
        <f t="shared" si="1"/>
        <v>25000</v>
      </c>
      <c r="G36" s="1790">
        <f t="shared" si="3"/>
        <v>1364</v>
      </c>
    </row>
    <row r="37" spans="1:7" x14ac:dyDescent="0.25">
      <c r="A37" s="1936" t="s">
        <v>2207</v>
      </c>
      <c r="B37" s="1937" t="s">
        <v>2209</v>
      </c>
      <c r="C37" s="1938" t="s">
        <v>2210</v>
      </c>
      <c r="D37" s="1841">
        <v>68381</v>
      </c>
      <c r="E37" s="1539">
        <f t="shared" si="2"/>
        <v>25000</v>
      </c>
      <c r="F37" s="1929">
        <f t="shared" si="1"/>
        <v>25000</v>
      </c>
      <c r="G37" s="1790">
        <f t="shared" si="3"/>
        <v>43381</v>
      </c>
    </row>
    <row r="38" spans="1:7" x14ac:dyDescent="0.25">
      <c r="A38" s="1936" t="s">
        <v>2207</v>
      </c>
      <c r="B38" s="1939" t="s">
        <v>2209</v>
      </c>
      <c r="C38" s="1938" t="s">
        <v>2211</v>
      </c>
      <c r="D38" s="1841">
        <v>69751</v>
      </c>
      <c r="E38" s="1539">
        <f t="shared" si="2"/>
        <v>25000</v>
      </c>
      <c r="F38" s="1929">
        <f t="shared" si="1"/>
        <v>25000</v>
      </c>
      <c r="G38" s="1790">
        <f t="shared" si="3"/>
        <v>44751</v>
      </c>
    </row>
    <row r="39" spans="1:7" x14ac:dyDescent="0.25">
      <c r="A39" s="1936" t="s">
        <v>2212</v>
      </c>
      <c r="B39" s="1939" t="s">
        <v>2209</v>
      </c>
      <c r="C39" s="1938" t="s">
        <v>2213</v>
      </c>
      <c r="D39" s="1841">
        <v>489680</v>
      </c>
      <c r="E39" s="1539">
        <f t="shared" si="2"/>
        <v>25000</v>
      </c>
      <c r="F39" s="1929">
        <f t="shared" si="1"/>
        <v>25000</v>
      </c>
      <c r="G39" s="1790">
        <f t="shared" si="3"/>
        <v>464680</v>
      </c>
    </row>
    <row r="40" spans="1:7" x14ac:dyDescent="0.25">
      <c r="A40" s="1936" t="s">
        <v>2214</v>
      </c>
      <c r="B40" s="1939" t="s">
        <v>2164</v>
      </c>
      <c r="C40" s="1938" t="s">
        <v>2215</v>
      </c>
      <c r="D40" s="1841">
        <v>179769</v>
      </c>
      <c r="E40" s="1539">
        <f t="shared" si="2"/>
        <v>25000</v>
      </c>
      <c r="F40" s="1929">
        <f t="shared" si="1"/>
        <v>25000</v>
      </c>
      <c r="G40" s="1790">
        <f t="shared" si="3"/>
        <v>154769</v>
      </c>
    </row>
    <row r="41" spans="1:7" x14ac:dyDescent="0.25">
      <c r="A41" s="1936" t="s">
        <v>2218</v>
      </c>
      <c r="B41" s="1939" t="s">
        <v>2216</v>
      </c>
      <c r="C41" s="1938" t="s">
        <v>2217</v>
      </c>
      <c r="D41" s="1841">
        <v>87802</v>
      </c>
      <c r="E41" s="1539">
        <f t="shared" si="2"/>
        <v>25000</v>
      </c>
      <c r="F41" s="1929">
        <f t="shared" si="1"/>
        <v>25000</v>
      </c>
      <c r="G41" s="1790">
        <f t="shared" si="3"/>
        <v>62802</v>
      </c>
    </row>
    <row r="42" spans="1:7" x14ac:dyDescent="0.25">
      <c r="A42" s="1936" t="s">
        <v>2214</v>
      </c>
      <c r="B42" s="1939" t="s">
        <v>2164</v>
      </c>
      <c r="C42" s="1938" t="s">
        <v>2219</v>
      </c>
      <c r="D42" s="1841">
        <v>254753</v>
      </c>
      <c r="E42" s="1539">
        <f t="shared" si="2"/>
        <v>25000</v>
      </c>
      <c r="F42" s="1929">
        <f t="shared" si="1"/>
        <v>25000</v>
      </c>
      <c r="G42" s="1790">
        <f t="shared" si="3"/>
        <v>229753</v>
      </c>
    </row>
    <row r="43" spans="1:7" x14ac:dyDescent="0.25">
      <c r="A43" s="1936" t="s">
        <v>2220</v>
      </c>
      <c r="B43" s="1939" t="s">
        <v>1821</v>
      </c>
      <c r="C43" s="1938" t="s">
        <v>2221</v>
      </c>
      <c r="D43" s="1841">
        <v>127984</v>
      </c>
      <c r="E43" s="1539">
        <f t="shared" si="2"/>
        <v>25000</v>
      </c>
      <c r="F43" s="1929">
        <f t="shared" si="1"/>
        <v>25000</v>
      </c>
      <c r="G43" s="1790">
        <f t="shared" si="3"/>
        <v>102984</v>
      </c>
    </row>
    <row r="44" spans="1:7" x14ac:dyDescent="0.25">
      <c r="A44" s="1936" t="s">
        <v>2218</v>
      </c>
      <c r="B44" s="1939" t="s">
        <v>2216</v>
      </c>
      <c r="C44" s="1938" t="s">
        <v>2222</v>
      </c>
      <c r="D44" s="1841">
        <v>30096</v>
      </c>
      <c r="E44" s="1539">
        <f t="shared" si="2"/>
        <v>25000</v>
      </c>
      <c r="F44" s="1929">
        <f t="shared" si="1"/>
        <v>25000</v>
      </c>
      <c r="G44" s="1790">
        <f t="shared" si="3"/>
        <v>5096</v>
      </c>
    </row>
    <row r="45" spans="1:7" x14ac:dyDescent="0.25">
      <c r="A45" s="1652" t="s">
        <v>2214</v>
      </c>
      <c r="B45" s="1939" t="s">
        <v>2164</v>
      </c>
      <c r="C45" s="1938" t="s">
        <v>2223</v>
      </c>
      <c r="D45" s="1841">
        <v>66969</v>
      </c>
      <c r="E45" s="1539">
        <f t="shared" si="2"/>
        <v>25000</v>
      </c>
      <c r="F45" s="1929">
        <f t="shared" si="1"/>
        <v>25000</v>
      </c>
      <c r="G45" s="1790">
        <f t="shared" si="3"/>
        <v>41969</v>
      </c>
    </row>
    <row r="46" spans="1:7" x14ac:dyDescent="0.25">
      <c r="A46" s="1936" t="s">
        <v>2226</v>
      </c>
      <c r="B46" s="1939" t="s">
        <v>2225</v>
      </c>
      <c r="C46" s="1938" t="s">
        <v>2227</v>
      </c>
      <c r="D46" s="1841">
        <v>40940</v>
      </c>
      <c r="E46" s="1539">
        <f t="shared" si="2"/>
        <v>25000</v>
      </c>
      <c r="F46" s="1929">
        <f t="shared" si="1"/>
        <v>25000</v>
      </c>
      <c r="G46" s="1790">
        <f t="shared" si="3"/>
        <v>15940</v>
      </c>
    </row>
    <row r="47" spans="1:7" x14ac:dyDescent="0.25">
      <c r="A47" s="1936" t="s">
        <v>2197</v>
      </c>
      <c r="B47" s="1939" t="s">
        <v>2177</v>
      </c>
      <c r="C47" s="1938" t="s">
        <v>2228</v>
      </c>
      <c r="D47" s="1841">
        <v>39764</v>
      </c>
      <c r="E47" s="1539">
        <f t="shared" si="2"/>
        <v>25000</v>
      </c>
      <c r="F47" s="1929">
        <f t="shared" si="1"/>
        <v>25000</v>
      </c>
      <c r="G47" s="1790">
        <f t="shared" si="3"/>
        <v>14764</v>
      </c>
    </row>
    <row r="48" spans="1:7" x14ac:dyDescent="0.25">
      <c r="A48" s="1936" t="s">
        <v>2199</v>
      </c>
      <c r="B48" s="1937" t="s">
        <v>2164</v>
      </c>
      <c r="C48" s="1938" t="s">
        <v>2229</v>
      </c>
      <c r="D48" s="1841">
        <v>32599</v>
      </c>
      <c r="E48" s="1539">
        <f t="shared" si="2"/>
        <v>25000</v>
      </c>
      <c r="F48" s="1929">
        <f t="shared" si="1"/>
        <v>25000</v>
      </c>
      <c r="G48" s="1790">
        <f t="shared" si="3"/>
        <v>7599</v>
      </c>
    </row>
    <row r="49" spans="1:7" x14ac:dyDescent="0.25">
      <c r="A49" s="1936" t="s">
        <v>2218</v>
      </c>
      <c r="B49" s="1939" t="s">
        <v>2216</v>
      </c>
      <c r="C49" s="1938" t="s">
        <v>2230</v>
      </c>
      <c r="D49" s="1841">
        <v>51026</v>
      </c>
      <c r="E49" s="1539">
        <f t="shared" si="2"/>
        <v>25000</v>
      </c>
      <c r="F49" s="1929">
        <f t="shared" si="1"/>
        <v>25000</v>
      </c>
      <c r="G49" s="1790">
        <f t="shared" si="3"/>
        <v>26026</v>
      </c>
    </row>
    <row r="50" spans="1:7" x14ac:dyDescent="0.25">
      <c r="A50" s="1936" t="s">
        <v>2182</v>
      </c>
      <c r="B50" s="1937" t="s">
        <v>2174</v>
      </c>
      <c r="C50" s="1938" t="s">
        <v>2231</v>
      </c>
      <c r="D50" s="1841">
        <v>769285</v>
      </c>
      <c r="E50" s="1539">
        <f t="shared" si="2"/>
        <v>25000</v>
      </c>
      <c r="F50" s="1929">
        <f t="shared" si="1"/>
        <v>25000</v>
      </c>
      <c r="G50" s="1790">
        <f t="shared" si="3"/>
        <v>744285</v>
      </c>
    </row>
    <row r="51" spans="1:7" x14ac:dyDescent="0.25">
      <c r="A51" s="1936" t="s">
        <v>2224</v>
      </c>
      <c r="B51" s="1937" t="s">
        <v>2193</v>
      </c>
      <c r="C51" s="1938" t="s">
        <v>2232</v>
      </c>
      <c r="D51" s="1841">
        <v>93283</v>
      </c>
      <c r="E51" s="1539">
        <f t="shared" si="2"/>
        <v>25000</v>
      </c>
      <c r="F51" s="1929">
        <f t="shared" si="1"/>
        <v>25000</v>
      </c>
      <c r="G51" s="1790">
        <f t="shared" si="3"/>
        <v>68283</v>
      </c>
    </row>
    <row r="52" spans="1:7" x14ac:dyDescent="0.25">
      <c r="A52" s="1936" t="s">
        <v>2233</v>
      </c>
      <c r="B52" s="1939" t="s">
        <v>2225</v>
      </c>
      <c r="C52" s="1938" t="s">
        <v>2234</v>
      </c>
      <c r="D52" s="1841">
        <v>25388</v>
      </c>
      <c r="E52" s="1539">
        <f t="shared" si="2"/>
        <v>25000</v>
      </c>
      <c r="F52" s="1929">
        <f t="shared" si="1"/>
        <v>25000</v>
      </c>
      <c r="G52" s="1790">
        <f t="shared" si="3"/>
        <v>388</v>
      </c>
    </row>
    <row r="53" spans="1:7" x14ac:dyDescent="0.25">
      <c r="A53" s="1936" t="s">
        <v>2233</v>
      </c>
      <c r="B53" s="1939" t="s">
        <v>2225</v>
      </c>
      <c r="C53" s="1938" t="s">
        <v>2235</v>
      </c>
      <c r="D53" s="1841">
        <v>32189</v>
      </c>
      <c r="E53" s="1539">
        <f t="shared" si="2"/>
        <v>25000</v>
      </c>
      <c r="F53" s="1929">
        <f t="shared" si="1"/>
        <v>25000</v>
      </c>
      <c r="G53" s="1790">
        <f t="shared" si="3"/>
        <v>7189</v>
      </c>
    </row>
    <row r="54" spans="1:7" x14ac:dyDescent="0.25">
      <c r="A54" s="1936" t="s">
        <v>2171</v>
      </c>
      <c r="B54" s="1937" t="s">
        <v>1821</v>
      </c>
      <c r="C54" s="1938" t="s">
        <v>2236</v>
      </c>
      <c r="D54" s="1841">
        <v>34989</v>
      </c>
      <c r="E54" s="1539">
        <f t="shared" si="2"/>
        <v>25000</v>
      </c>
      <c r="F54" s="1929">
        <f t="shared" si="1"/>
        <v>25000</v>
      </c>
      <c r="G54" s="1790">
        <f t="shared" si="3"/>
        <v>9989</v>
      </c>
    </row>
    <row r="55" spans="1:7" x14ac:dyDescent="0.25">
      <c r="A55" s="1936" t="s">
        <v>2171</v>
      </c>
      <c r="B55" s="1937" t="s">
        <v>1821</v>
      </c>
      <c r="C55" s="1938" t="s">
        <v>2237</v>
      </c>
      <c r="D55" s="1841">
        <v>342443</v>
      </c>
      <c r="E55" s="1539">
        <f t="shared" si="2"/>
        <v>25000</v>
      </c>
      <c r="F55" s="1929">
        <f t="shared" si="1"/>
        <v>25000</v>
      </c>
      <c r="G55" s="1790">
        <f t="shared" si="3"/>
        <v>317443</v>
      </c>
    </row>
    <row r="56" spans="1:7" x14ac:dyDescent="0.25">
      <c r="A56" s="1936" t="s">
        <v>2199</v>
      </c>
      <c r="B56" s="1937" t="s">
        <v>2164</v>
      </c>
      <c r="C56" s="1938" t="s">
        <v>2238</v>
      </c>
      <c r="D56" s="1841">
        <v>31100</v>
      </c>
      <c r="E56" s="1539">
        <f t="shared" si="2"/>
        <v>25000</v>
      </c>
      <c r="F56" s="1929">
        <f t="shared" si="1"/>
        <v>25000</v>
      </c>
      <c r="G56" s="1790">
        <f t="shared" si="3"/>
        <v>6100</v>
      </c>
    </row>
    <row r="57" spans="1:7" x14ac:dyDescent="0.25">
      <c r="A57" s="1936" t="s">
        <v>2199</v>
      </c>
      <c r="B57" s="1937" t="s">
        <v>2164</v>
      </c>
      <c r="C57" s="1938" t="s">
        <v>2239</v>
      </c>
      <c r="D57" s="1841">
        <v>3591177</v>
      </c>
      <c r="E57" s="1539">
        <f t="shared" si="2"/>
        <v>25000</v>
      </c>
      <c r="F57" s="1929">
        <f t="shared" si="1"/>
        <v>25000</v>
      </c>
      <c r="G57" s="1790">
        <f t="shared" si="3"/>
        <v>3566177</v>
      </c>
    </row>
    <row r="58" spans="1:7" x14ac:dyDescent="0.25">
      <c r="A58" s="1936" t="s">
        <v>2171</v>
      </c>
      <c r="B58" s="1937" t="s">
        <v>1821</v>
      </c>
      <c r="C58" s="1938" t="s">
        <v>2240</v>
      </c>
      <c r="D58" s="1841">
        <v>95169</v>
      </c>
      <c r="E58" s="1539">
        <f t="shared" si="2"/>
        <v>25000</v>
      </c>
      <c r="F58" s="1929">
        <f t="shared" si="1"/>
        <v>25000</v>
      </c>
      <c r="G58" s="1790">
        <f t="shared" si="3"/>
        <v>70169</v>
      </c>
    </row>
    <row r="59" spans="1:7" x14ac:dyDescent="0.25">
      <c r="A59" s="1936" t="s">
        <v>2226</v>
      </c>
      <c r="B59" s="1939" t="s">
        <v>2225</v>
      </c>
      <c r="C59" s="1938" t="s">
        <v>2241</v>
      </c>
      <c r="D59" s="1841">
        <v>54838</v>
      </c>
      <c r="E59" s="1539">
        <f t="shared" si="2"/>
        <v>25000</v>
      </c>
      <c r="F59" s="1929">
        <f t="shared" si="1"/>
        <v>25000</v>
      </c>
      <c r="G59" s="1790">
        <f t="shared" si="3"/>
        <v>29838</v>
      </c>
    </row>
    <row r="60" spans="1:7" x14ac:dyDescent="0.25">
      <c r="A60" s="1936" t="s">
        <v>2171</v>
      </c>
      <c r="B60" s="1937" t="s">
        <v>1821</v>
      </c>
      <c r="C60" s="1938" t="s">
        <v>2242</v>
      </c>
      <c r="D60" s="1841">
        <v>168316</v>
      </c>
      <c r="E60" s="1539">
        <f t="shared" si="2"/>
        <v>25000</v>
      </c>
      <c r="F60" s="1929">
        <f t="shared" si="1"/>
        <v>25000</v>
      </c>
      <c r="G60" s="1790">
        <f t="shared" si="3"/>
        <v>143316</v>
      </c>
    </row>
    <row r="61" spans="1:7" x14ac:dyDescent="0.25">
      <c r="A61" s="1936" t="s">
        <v>2212</v>
      </c>
      <c r="B61" s="1939" t="s">
        <v>2209</v>
      </c>
      <c r="C61" s="1938" t="s">
        <v>2243</v>
      </c>
      <c r="D61" s="1841">
        <v>69154</v>
      </c>
      <c r="E61" s="1539">
        <f t="shared" si="2"/>
        <v>25000</v>
      </c>
      <c r="F61" s="1929">
        <f t="shared" si="1"/>
        <v>25000</v>
      </c>
      <c r="G61" s="1790">
        <f t="shared" si="3"/>
        <v>44154</v>
      </c>
    </row>
    <row r="62" spans="1:7" x14ac:dyDescent="0.25">
      <c r="A62" s="1936" t="s">
        <v>2197</v>
      </c>
      <c r="B62" s="1937" t="s">
        <v>2169</v>
      </c>
      <c r="C62" s="1938" t="s">
        <v>2244</v>
      </c>
      <c r="D62" s="1841">
        <v>111183</v>
      </c>
      <c r="E62" s="1539">
        <f t="shared" si="2"/>
        <v>25000</v>
      </c>
      <c r="F62" s="1929">
        <f t="shared" si="1"/>
        <v>25000</v>
      </c>
      <c r="G62" s="1790">
        <f t="shared" si="3"/>
        <v>86183</v>
      </c>
    </row>
    <row r="63" spans="1:7" x14ac:dyDescent="0.25">
      <c r="A63" s="1936" t="s">
        <v>2160</v>
      </c>
      <c r="B63" s="1937" t="s">
        <v>2161</v>
      </c>
      <c r="C63" s="1938" t="s">
        <v>2245</v>
      </c>
      <c r="D63" s="1841">
        <v>859204</v>
      </c>
      <c r="E63" s="1539">
        <f t="shared" si="2"/>
        <v>25000</v>
      </c>
      <c r="F63" s="1929">
        <f t="shared" si="1"/>
        <v>25000</v>
      </c>
      <c r="G63" s="1790">
        <f t="shared" si="3"/>
        <v>834204</v>
      </c>
    </row>
    <row r="64" spans="1:7" x14ac:dyDescent="0.25">
      <c r="A64" s="1936" t="s">
        <v>2218</v>
      </c>
      <c r="B64" s="1939" t="s">
        <v>2216</v>
      </c>
      <c r="C64" s="1938" t="s">
        <v>2246</v>
      </c>
      <c r="D64" s="1841">
        <v>57325</v>
      </c>
      <c r="E64" s="1539">
        <f t="shared" si="2"/>
        <v>25000</v>
      </c>
      <c r="F64" s="1929">
        <f t="shared" si="1"/>
        <v>25000</v>
      </c>
      <c r="G64" s="1790">
        <f t="shared" si="3"/>
        <v>32325</v>
      </c>
    </row>
    <row r="65" spans="1:7" x14ac:dyDescent="0.25">
      <c r="A65" s="1936" t="s">
        <v>2214</v>
      </c>
      <c r="B65" s="1939" t="s">
        <v>2164</v>
      </c>
      <c r="C65" s="1938" t="s">
        <v>2247</v>
      </c>
      <c r="D65" s="1841">
        <v>32682</v>
      </c>
      <c r="E65" s="1539">
        <f t="shared" si="2"/>
        <v>25000</v>
      </c>
      <c r="F65" s="1929">
        <f t="shared" si="1"/>
        <v>25000</v>
      </c>
      <c r="G65" s="1790">
        <f t="shared" si="3"/>
        <v>7682</v>
      </c>
    </row>
    <row r="66" spans="1:7" x14ac:dyDescent="0.25">
      <c r="A66" s="1936" t="s">
        <v>2171</v>
      </c>
      <c r="B66" s="1937" t="s">
        <v>1821</v>
      </c>
      <c r="C66" s="1938" t="s">
        <v>2248</v>
      </c>
      <c r="D66" s="1841">
        <v>93974</v>
      </c>
      <c r="E66" s="1539">
        <f t="shared" si="2"/>
        <v>25000</v>
      </c>
      <c r="F66" s="1929">
        <f t="shared" si="1"/>
        <v>25000</v>
      </c>
      <c r="G66" s="1790">
        <f t="shared" si="3"/>
        <v>68974</v>
      </c>
    </row>
    <row r="67" spans="1:7" x14ac:dyDescent="0.25">
      <c r="A67" s="1936" t="s">
        <v>2197</v>
      </c>
      <c r="B67" s="1937" t="s">
        <v>2169</v>
      </c>
      <c r="C67" s="1938" t="s">
        <v>2249</v>
      </c>
      <c r="D67" s="1841">
        <v>34893</v>
      </c>
      <c r="E67" s="1539">
        <f t="shared" si="2"/>
        <v>25000</v>
      </c>
      <c r="F67" s="1929">
        <f t="shared" si="1"/>
        <v>25000</v>
      </c>
      <c r="G67" s="1790">
        <f t="shared" si="3"/>
        <v>9893</v>
      </c>
    </row>
    <row r="68" spans="1:7" x14ac:dyDescent="0.25">
      <c r="A68" s="1652" t="s">
        <v>2214</v>
      </c>
      <c r="B68" s="1939" t="s">
        <v>2164</v>
      </c>
      <c r="C68" s="1938" t="s">
        <v>2250</v>
      </c>
      <c r="D68" s="1841">
        <v>178690</v>
      </c>
      <c r="E68" s="1539">
        <f t="shared" si="2"/>
        <v>25000</v>
      </c>
      <c r="F68" s="1929">
        <f t="shared" si="1"/>
        <v>25000</v>
      </c>
      <c r="G68" s="1790">
        <f t="shared" si="3"/>
        <v>153690</v>
      </c>
    </row>
    <row r="69" spans="1:7" x14ac:dyDescent="0.25">
      <c r="A69" s="1936" t="s">
        <v>2205</v>
      </c>
      <c r="B69" s="1937" t="s">
        <v>2191</v>
      </c>
      <c r="C69" s="1938" t="s">
        <v>2251</v>
      </c>
      <c r="D69" s="1841">
        <v>32632</v>
      </c>
      <c r="E69" s="1539">
        <f t="shared" si="2"/>
        <v>25000</v>
      </c>
      <c r="F69" s="1929">
        <f t="shared" si="1"/>
        <v>25000</v>
      </c>
      <c r="G69" s="1790">
        <f t="shared" si="3"/>
        <v>7632</v>
      </c>
    </row>
    <row r="70" spans="1:7" x14ac:dyDescent="0.25">
      <c r="A70" s="1936" t="s">
        <v>2182</v>
      </c>
      <c r="B70" s="1937" t="s">
        <v>2174</v>
      </c>
      <c r="C70" s="1938" t="s">
        <v>2252</v>
      </c>
      <c r="D70" s="1841">
        <v>86008</v>
      </c>
      <c r="E70" s="1539">
        <f t="shared" si="2"/>
        <v>25000</v>
      </c>
      <c r="F70" s="1929">
        <f t="shared" si="1"/>
        <v>25000</v>
      </c>
      <c r="G70" s="1790">
        <f t="shared" si="3"/>
        <v>61008</v>
      </c>
    </row>
    <row r="71" spans="1:7" x14ac:dyDescent="0.25">
      <c r="A71" s="1936" t="s">
        <v>2179</v>
      </c>
      <c r="B71" s="1937" t="s">
        <v>2180</v>
      </c>
      <c r="C71" s="1938" t="s">
        <v>2253</v>
      </c>
      <c r="D71" s="1841">
        <v>35000</v>
      </c>
      <c r="E71" s="1539">
        <f t="shared" si="2"/>
        <v>25000</v>
      </c>
      <c r="F71" s="1929">
        <f t="shared" si="1"/>
        <v>25000</v>
      </c>
      <c r="G71" s="1790">
        <f t="shared" si="3"/>
        <v>10000</v>
      </c>
    </row>
    <row r="72" spans="1:7" x14ac:dyDescent="0.25">
      <c r="A72" s="1652"/>
      <c r="B72" s="1664"/>
      <c r="C72" s="1653"/>
      <c r="D72" s="1841"/>
      <c r="E72" s="1539">
        <f t="shared" si="2"/>
        <v>0</v>
      </c>
      <c r="F72" s="1929">
        <f t="shared" si="1"/>
        <v>0</v>
      </c>
      <c r="G72" s="1790">
        <f t="shared" si="3"/>
        <v>0</v>
      </c>
    </row>
    <row r="73" spans="1:7" x14ac:dyDescent="0.25">
      <c r="A73" s="1652"/>
      <c r="B73" s="1664"/>
      <c r="C73" s="1653"/>
      <c r="D73" s="1841"/>
      <c r="E73" s="1539">
        <f t="shared" ref="E73:E84" si="4">IF(D73&lt;=25000,D73,IF(D73&gt;25000,25000,0))</f>
        <v>0</v>
      </c>
      <c r="F73" s="1929">
        <f t="shared" si="1"/>
        <v>0</v>
      </c>
      <c r="G73" s="1790">
        <f t="shared" ref="G73:G84" si="5">IF(F73=0,0,D73-F73)</f>
        <v>0</v>
      </c>
    </row>
    <row r="74" spans="1:7" x14ac:dyDescent="0.25">
      <c r="A74" s="1652"/>
      <c r="B74" s="1664"/>
      <c r="C74" s="1653"/>
      <c r="D74" s="1841"/>
      <c r="E74" s="1539">
        <f t="shared" si="4"/>
        <v>0</v>
      </c>
      <c r="F74" s="1929">
        <f t="shared" si="1"/>
        <v>0</v>
      </c>
      <c r="G74" s="1790">
        <f t="shared" si="5"/>
        <v>0</v>
      </c>
    </row>
    <row r="75" spans="1:7" x14ac:dyDescent="0.25">
      <c r="A75" s="1652"/>
      <c r="B75" s="1664"/>
      <c r="C75" s="1653"/>
      <c r="D75" s="1841"/>
      <c r="E75" s="1539">
        <f t="shared" si="4"/>
        <v>0</v>
      </c>
      <c r="F75" s="1929">
        <f t="shared" si="1"/>
        <v>0</v>
      </c>
      <c r="G75" s="1790">
        <f t="shared" si="5"/>
        <v>0</v>
      </c>
    </row>
    <row r="76" spans="1:7" x14ac:dyDescent="0.25">
      <c r="A76" s="1652"/>
      <c r="B76" s="1664"/>
      <c r="C76" s="1653"/>
      <c r="D76" s="1841"/>
      <c r="E76" s="1539">
        <f t="shared" si="4"/>
        <v>0</v>
      </c>
      <c r="F76" s="1929">
        <f t="shared" si="1"/>
        <v>0</v>
      </c>
      <c r="G76" s="1790">
        <f t="shared" si="5"/>
        <v>0</v>
      </c>
    </row>
    <row r="77" spans="1:7" x14ac:dyDescent="0.25">
      <c r="A77" s="1652"/>
      <c r="B77" s="1664"/>
      <c r="C77" s="1653"/>
      <c r="D77" s="1841"/>
      <c r="E77" s="1539">
        <f t="shared" si="4"/>
        <v>0</v>
      </c>
      <c r="F77" s="1929">
        <f t="shared" si="1"/>
        <v>0</v>
      </c>
      <c r="G77" s="1790">
        <f t="shared" si="5"/>
        <v>0</v>
      </c>
    </row>
    <row r="78" spans="1:7" x14ac:dyDescent="0.25">
      <c r="A78" s="1652"/>
      <c r="B78" s="1664"/>
      <c r="C78" s="1653"/>
      <c r="D78" s="1841"/>
      <c r="E78" s="1539">
        <f t="shared" si="4"/>
        <v>0</v>
      </c>
      <c r="F78" s="1929">
        <f t="shared" si="1"/>
        <v>0</v>
      </c>
      <c r="G78" s="1790">
        <f t="shared" si="5"/>
        <v>0</v>
      </c>
    </row>
    <row r="79" spans="1:7" x14ac:dyDescent="0.25">
      <c r="A79" s="1652"/>
      <c r="B79" s="1664"/>
      <c r="C79" s="1653"/>
      <c r="D79" s="1841"/>
      <c r="E79" s="1539">
        <f t="shared" si="4"/>
        <v>0</v>
      </c>
      <c r="F79" s="1929">
        <f t="shared" si="1"/>
        <v>0</v>
      </c>
      <c r="G79" s="1790">
        <f t="shared" si="5"/>
        <v>0</v>
      </c>
    </row>
    <row r="80" spans="1:7" x14ac:dyDescent="0.25">
      <c r="A80" s="1652"/>
      <c r="B80" s="1664"/>
      <c r="C80" s="1653"/>
      <c r="D80" s="1841"/>
      <c r="E80" s="1539">
        <f t="shared" si="4"/>
        <v>0</v>
      </c>
      <c r="F80" s="1929">
        <f t="shared" si="1"/>
        <v>0</v>
      </c>
      <c r="G80" s="1790">
        <f t="shared" si="5"/>
        <v>0</v>
      </c>
    </row>
    <row r="81" spans="1:7" x14ac:dyDescent="0.25">
      <c r="A81" s="1652"/>
      <c r="B81" s="1664"/>
      <c r="C81" s="1653"/>
      <c r="D81" s="1841"/>
      <c r="E81" s="1539">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2"/>
      <c r="B82" s="1664"/>
      <c r="C82" s="1653"/>
      <c r="D82" s="1841"/>
      <c r="E82" s="1539">
        <f t="shared" si="4"/>
        <v>0</v>
      </c>
      <c r="F82" s="1929">
        <f t="shared" si="6"/>
        <v>0</v>
      </c>
      <c r="G82" s="1790">
        <f t="shared" si="5"/>
        <v>0</v>
      </c>
    </row>
    <row r="83" spans="1:7" x14ac:dyDescent="0.25">
      <c r="A83" s="1652"/>
      <c r="B83" s="1664"/>
      <c r="C83" s="1653"/>
      <c r="D83" s="1841"/>
      <c r="E83" s="1539">
        <f t="shared" si="4"/>
        <v>0</v>
      </c>
      <c r="F83" s="1929">
        <f t="shared" si="6"/>
        <v>0</v>
      </c>
      <c r="G83" s="1790">
        <f t="shared" si="5"/>
        <v>0</v>
      </c>
    </row>
    <row r="84" spans="1:7" x14ac:dyDescent="0.25">
      <c r="A84" s="1652"/>
      <c r="B84" s="1664"/>
      <c r="C84" s="1653"/>
      <c r="D84" s="1841"/>
      <c r="E84" s="1539">
        <f t="shared" si="4"/>
        <v>0</v>
      </c>
      <c r="F84" s="1929">
        <f t="shared" si="6"/>
        <v>0</v>
      </c>
      <c r="G84" s="1790">
        <f t="shared" si="5"/>
        <v>0</v>
      </c>
    </row>
    <row r="85" spans="1:7" x14ac:dyDescent="0.25">
      <c r="A85" s="1652"/>
      <c r="B85" s="1664"/>
      <c r="C85" s="1653"/>
      <c r="D85" s="1841"/>
      <c r="E85" s="1539">
        <f t="shared" si="2"/>
        <v>0</v>
      </c>
      <c r="F85" s="1929">
        <f t="shared" si="6"/>
        <v>0</v>
      </c>
      <c r="G85" s="1790">
        <f t="shared" si="3"/>
        <v>0</v>
      </c>
    </row>
    <row r="86" spans="1:7" x14ac:dyDescent="0.25">
      <c r="A86" s="1652"/>
      <c r="B86" s="1664"/>
      <c r="C86" s="1653"/>
      <c r="D86" s="1841"/>
      <c r="E86" s="1539">
        <f t="shared" si="2"/>
        <v>0</v>
      </c>
      <c r="F86" s="1929">
        <f t="shared" si="6"/>
        <v>0</v>
      </c>
      <c r="G86" s="1790">
        <f t="shared" si="3"/>
        <v>0</v>
      </c>
    </row>
    <row r="87" spans="1:7" x14ac:dyDescent="0.25">
      <c r="A87" s="1652"/>
      <c r="B87" s="1664"/>
      <c r="C87" s="1653"/>
      <c r="D87" s="1841"/>
      <c r="E87" s="1539">
        <f t="shared" si="2"/>
        <v>0</v>
      </c>
      <c r="F87" s="1929">
        <f t="shared" si="6"/>
        <v>0</v>
      </c>
      <c r="G87" s="1790">
        <f t="shared" si="3"/>
        <v>0</v>
      </c>
    </row>
    <row r="88" spans="1:7" x14ac:dyDescent="0.25">
      <c r="A88" s="1652"/>
      <c r="B88" s="1664"/>
      <c r="C88" s="1653"/>
      <c r="D88" s="1841"/>
      <c r="E88" s="1539">
        <f t="shared" si="2"/>
        <v>0</v>
      </c>
      <c r="F88" s="1929">
        <f t="shared" si="6"/>
        <v>0</v>
      </c>
      <c r="G88" s="1790">
        <f t="shared" si="3"/>
        <v>0</v>
      </c>
    </row>
    <row r="89" spans="1:7" x14ac:dyDescent="0.25">
      <c r="A89" s="1652"/>
      <c r="B89" s="1664"/>
      <c r="C89" s="1653"/>
      <c r="D89" s="1841"/>
      <c r="E89" s="1539">
        <f t="shared" si="2"/>
        <v>0</v>
      </c>
      <c r="F89" s="1929">
        <f t="shared" si="6"/>
        <v>0</v>
      </c>
      <c r="G89" s="1790">
        <f t="shared" si="3"/>
        <v>0</v>
      </c>
    </row>
    <row r="90" spans="1:7" x14ac:dyDescent="0.25">
      <c r="A90" s="1652"/>
      <c r="B90" s="1664"/>
      <c r="C90" s="1653"/>
      <c r="D90" s="1841"/>
      <c r="E90" s="1539">
        <f t="shared" si="2"/>
        <v>0</v>
      </c>
      <c r="F90" s="1929">
        <f t="shared" si="6"/>
        <v>0</v>
      </c>
      <c r="G90" s="1790">
        <f t="shared" si="3"/>
        <v>0</v>
      </c>
    </row>
    <row r="91" spans="1:7" x14ac:dyDescent="0.25">
      <c r="A91" s="1652"/>
      <c r="B91" s="1664"/>
      <c r="C91" s="1653"/>
      <c r="D91" s="1841"/>
      <c r="E91" s="1539">
        <f t="shared" si="2"/>
        <v>0</v>
      </c>
      <c r="F91" s="1929">
        <f t="shared" si="6"/>
        <v>0</v>
      </c>
      <c r="G91" s="1790">
        <f t="shared" si="3"/>
        <v>0</v>
      </c>
    </row>
    <row r="92" spans="1:7" x14ac:dyDescent="0.25">
      <c r="A92" s="1652"/>
      <c r="B92" s="1664"/>
      <c r="C92" s="1653"/>
      <c r="D92" s="1841"/>
      <c r="E92" s="1539">
        <f t="shared" si="2"/>
        <v>0</v>
      </c>
      <c r="F92" s="1929">
        <f t="shared" si="6"/>
        <v>0</v>
      </c>
      <c r="G92" s="1790">
        <f t="shared" si="3"/>
        <v>0</v>
      </c>
    </row>
    <row r="93" spans="1:7" x14ac:dyDescent="0.25">
      <c r="A93" s="1652"/>
      <c r="B93" s="1664"/>
      <c r="C93" s="1653"/>
      <c r="D93" s="1841"/>
      <c r="E93" s="1539">
        <f t="shared" ref="E93" si="7">IF(D93&lt;=25000,D93,IF(D93&gt;25000,25000,0))</f>
        <v>0</v>
      </c>
      <c r="F93" s="1929">
        <f t="shared" si="6"/>
        <v>0</v>
      </c>
      <c r="G93" s="1790">
        <f t="shared" ref="G93" si="8">IF(F93=0,0,D93-F93)</f>
        <v>0</v>
      </c>
    </row>
    <row r="94" spans="1:7" x14ac:dyDescent="0.25">
      <c r="A94" s="1652"/>
      <c r="B94" s="1664"/>
      <c r="C94" s="1653"/>
      <c r="D94" s="1841"/>
      <c r="E94" s="1539">
        <f t="shared" si="2"/>
        <v>0</v>
      </c>
      <c r="F94" s="1929">
        <f t="shared" si="6"/>
        <v>0</v>
      </c>
      <c r="G94" s="1790">
        <f t="shared" si="3"/>
        <v>0</v>
      </c>
    </row>
    <row r="95" spans="1:7" x14ac:dyDescent="0.25">
      <c r="A95" s="1652"/>
      <c r="B95" s="1664"/>
      <c r="C95" s="1653"/>
      <c r="D95" s="1841"/>
      <c r="E95" s="1539">
        <f t="shared" ref="E95:E98" si="9">IF(D95&lt;=25000,D95,IF(D95&gt;25000,25000,0))</f>
        <v>0</v>
      </c>
      <c r="F95" s="1929">
        <f t="shared" si="6"/>
        <v>0</v>
      </c>
      <c r="G95" s="1790">
        <f t="shared" ref="G95:G98" si="10">IF(F95=0,0,D95-F95)</f>
        <v>0</v>
      </c>
    </row>
    <row r="96" spans="1:7" x14ac:dyDescent="0.25">
      <c r="A96" s="1652"/>
      <c r="B96" s="1664"/>
      <c r="C96" s="1653"/>
      <c r="D96" s="1841"/>
      <c r="E96" s="1539">
        <f t="shared" si="9"/>
        <v>0</v>
      </c>
      <c r="F96" s="1929">
        <f t="shared" si="6"/>
        <v>0</v>
      </c>
      <c r="G96" s="1790">
        <f t="shared" si="10"/>
        <v>0</v>
      </c>
    </row>
    <row r="97" spans="1:7" x14ac:dyDescent="0.25">
      <c r="A97" s="1652"/>
      <c r="B97" s="1664"/>
      <c r="C97" s="1653"/>
      <c r="D97" s="1841"/>
      <c r="E97" s="1539">
        <f t="shared" si="9"/>
        <v>0</v>
      </c>
      <c r="F97" s="1929">
        <f t="shared" si="6"/>
        <v>0</v>
      </c>
      <c r="G97" s="1790">
        <f t="shared" si="10"/>
        <v>0</v>
      </c>
    </row>
    <row r="98" spans="1:7" x14ac:dyDescent="0.25">
      <c r="A98" s="1652"/>
      <c r="B98" s="1664"/>
      <c r="C98" s="1653"/>
      <c r="D98" s="1841"/>
      <c r="E98" s="1539">
        <f t="shared" si="9"/>
        <v>0</v>
      </c>
      <c r="F98" s="1929">
        <f t="shared" si="6"/>
        <v>0</v>
      </c>
      <c r="G98" s="1790">
        <f t="shared" si="10"/>
        <v>0</v>
      </c>
    </row>
    <row r="99" spans="1:7" x14ac:dyDescent="0.25">
      <c r="A99" s="1652"/>
      <c r="B99" s="1664"/>
      <c r="C99" s="1653"/>
      <c r="D99" s="1841"/>
      <c r="E99" s="1539">
        <f t="shared" ref="E99" si="11">IF(D99&lt;=25000,D99,IF(D99&gt;25000,25000,0))</f>
        <v>0</v>
      </c>
      <c r="F99" s="1929">
        <f t="shared" si="6"/>
        <v>0</v>
      </c>
      <c r="G99" s="1790">
        <f t="shared" ref="G99" si="12">IF(F99=0,0,D99-F99)</f>
        <v>0</v>
      </c>
    </row>
    <row r="100" spans="1:7" x14ac:dyDescent="0.25">
      <c r="A100" s="1652"/>
      <c r="B100" s="1664"/>
      <c r="C100" s="1653"/>
      <c r="D100" s="1841"/>
      <c r="E100" s="1539">
        <f t="shared" ref="E100:E112" si="13">IF(D100&lt;=25000,D100,IF(D100&gt;25000,25000,0))</f>
        <v>0</v>
      </c>
      <c r="F100" s="1929">
        <f t="shared" si="6"/>
        <v>0</v>
      </c>
      <c r="G100" s="1790">
        <f t="shared" ref="G100:G112" si="14">IF(F100=0,0,D100-F100)</f>
        <v>0</v>
      </c>
    </row>
    <row r="101" spans="1:7" x14ac:dyDescent="0.25">
      <c r="A101" s="1652"/>
      <c r="B101" s="1664"/>
      <c r="C101" s="1653"/>
      <c r="D101" s="1841"/>
      <c r="E101" s="1539">
        <f t="shared" si="13"/>
        <v>0</v>
      </c>
      <c r="F101" s="1929">
        <f t="shared" si="6"/>
        <v>0</v>
      </c>
      <c r="G101" s="1790">
        <f t="shared" si="14"/>
        <v>0</v>
      </c>
    </row>
    <row r="102" spans="1:7" x14ac:dyDescent="0.25">
      <c r="A102" s="1652"/>
      <c r="B102" s="1664"/>
      <c r="C102" s="1653"/>
      <c r="D102" s="1841"/>
      <c r="E102" s="1539">
        <f t="shared" si="13"/>
        <v>0</v>
      </c>
      <c r="F102" s="1929">
        <f t="shared" si="6"/>
        <v>0</v>
      </c>
      <c r="G102" s="1790">
        <f t="shared" si="14"/>
        <v>0</v>
      </c>
    </row>
    <row r="103" spans="1:7" x14ac:dyDescent="0.25">
      <c r="A103" s="1652"/>
      <c r="B103" s="1664"/>
      <c r="C103" s="1653"/>
      <c r="D103" s="1841"/>
      <c r="E103" s="1539">
        <f t="shared" si="13"/>
        <v>0</v>
      </c>
      <c r="F103" s="1929">
        <f t="shared" si="6"/>
        <v>0</v>
      </c>
      <c r="G103" s="1790">
        <f t="shared" si="14"/>
        <v>0</v>
      </c>
    </row>
    <row r="104" spans="1:7" x14ac:dyDescent="0.25">
      <c r="A104" s="1652"/>
      <c r="B104" s="1664"/>
      <c r="C104" s="1653"/>
      <c r="D104" s="1841"/>
      <c r="E104" s="1539">
        <f t="shared" si="13"/>
        <v>0</v>
      </c>
      <c r="F104" s="1929">
        <f t="shared" si="6"/>
        <v>0</v>
      </c>
      <c r="G104" s="1790">
        <f t="shared" si="14"/>
        <v>0</v>
      </c>
    </row>
    <row r="105" spans="1:7" x14ac:dyDescent="0.25">
      <c r="A105" s="1652"/>
      <c r="B105" s="1664"/>
      <c r="C105" s="1653"/>
      <c r="D105" s="1841"/>
      <c r="E105" s="1539">
        <f t="shared" si="13"/>
        <v>0</v>
      </c>
      <c r="F105" s="1929">
        <f t="shared" si="6"/>
        <v>0</v>
      </c>
      <c r="G105" s="1790">
        <f t="shared" si="14"/>
        <v>0</v>
      </c>
    </row>
    <row r="106" spans="1:7" x14ac:dyDescent="0.25">
      <c r="A106" s="1652"/>
      <c r="B106" s="1664"/>
      <c r="C106" s="1653"/>
      <c r="D106" s="1841"/>
      <c r="E106" s="1539">
        <f t="shared" si="13"/>
        <v>0</v>
      </c>
      <c r="F106" s="1929">
        <f t="shared" si="6"/>
        <v>0</v>
      </c>
      <c r="G106" s="1790">
        <f t="shared" si="14"/>
        <v>0</v>
      </c>
    </row>
    <row r="107" spans="1:7" x14ac:dyDescent="0.25">
      <c r="A107" s="1652"/>
      <c r="B107" s="1664"/>
      <c r="C107" s="1653"/>
      <c r="D107" s="1841"/>
      <c r="E107" s="1539">
        <f t="shared" si="13"/>
        <v>0</v>
      </c>
      <c r="F107" s="1929">
        <f t="shared" si="6"/>
        <v>0</v>
      </c>
      <c r="G107" s="1790">
        <f t="shared" si="14"/>
        <v>0</v>
      </c>
    </row>
    <row r="108" spans="1:7" x14ac:dyDescent="0.25">
      <c r="A108" s="1652"/>
      <c r="B108" s="1664"/>
      <c r="C108" s="1653"/>
      <c r="D108" s="1841"/>
      <c r="E108" s="1539">
        <f t="shared" si="13"/>
        <v>0</v>
      </c>
      <c r="F108" s="1929">
        <f t="shared" si="6"/>
        <v>0</v>
      </c>
      <c r="G108" s="1790">
        <f t="shared" si="14"/>
        <v>0</v>
      </c>
    </row>
    <row r="109" spans="1:7" x14ac:dyDescent="0.25">
      <c r="A109" s="1652"/>
      <c r="B109" s="1664"/>
      <c r="C109" s="1653"/>
      <c r="D109" s="1841"/>
      <c r="E109" s="1539">
        <f t="shared" si="13"/>
        <v>0</v>
      </c>
      <c r="F109" s="1929">
        <f t="shared" si="6"/>
        <v>0</v>
      </c>
      <c r="G109" s="1790">
        <f t="shared" si="14"/>
        <v>0</v>
      </c>
    </row>
    <row r="110" spans="1:7" x14ac:dyDescent="0.25">
      <c r="A110" s="1652"/>
      <c r="B110" s="1664"/>
      <c r="C110" s="1653"/>
      <c r="D110" s="1841"/>
      <c r="E110" s="1539">
        <f t="shared" si="13"/>
        <v>0</v>
      </c>
      <c r="F110" s="1929">
        <f t="shared" si="6"/>
        <v>0</v>
      </c>
      <c r="G110" s="1790">
        <f t="shared" si="14"/>
        <v>0</v>
      </c>
    </row>
    <row r="111" spans="1:7" x14ac:dyDescent="0.25">
      <c r="A111" s="1652"/>
      <c r="B111" s="1664"/>
      <c r="C111" s="1653"/>
      <c r="D111" s="1841"/>
      <c r="E111" s="1539">
        <f t="shared" si="13"/>
        <v>0</v>
      </c>
      <c r="F111" s="1929">
        <f t="shared" si="6"/>
        <v>0</v>
      </c>
      <c r="G111" s="1790">
        <f t="shared" si="14"/>
        <v>0</v>
      </c>
    </row>
    <row r="112" spans="1:7" x14ac:dyDescent="0.25">
      <c r="A112" s="1652"/>
      <c r="B112" s="1664"/>
      <c r="C112" s="1653"/>
      <c r="D112" s="1841"/>
      <c r="E112" s="1539">
        <f t="shared" si="13"/>
        <v>0</v>
      </c>
      <c r="F112" s="1929">
        <f t="shared" si="6"/>
        <v>0</v>
      </c>
      <c r="G112" s="1790">
        <f t="shared" si="14"/>
        <v>0</v>
      </c>
    </row>
    <row r="113" spans="1:7" x14ac:dyDescent="0.25">
      <c r="A113" s="1652"/>
      <c r="B113" s="1664"/>
      <c r="C113" s="1653"/>
      <c r="D113" s="1841"/>
      <c r="E113" s="1539">
        <f t="shared" ref="E113:E125" si="15">IF(D113&lt;=25000,D113,IF(D113&gt;25000,25000,0))</f>
        <v>0</v>
      </c>
      <c r="F113" s="1929">
        <f t="shared" si="6"/>
        <v>0</v>
      </c>
      <c r="G113" s="1790">
        <f t="shared" ref="G113:G125" si="16">IF(F113=0,0,D113-F113)</f>
        <v>0</v>
      </c>
    </row>
    <row r="114" spans="1:7" x14ac:dyDescent="0.25">
      <c r="A114" s="1652"/>
      <c r="B114" s="1664"/>
      <c r="C114" s="1653"/>
      <c r="D114" s="1841"/>
      <c r="E114" s="1539">
        <f t="shared" si="15"/>
        <v>0</v>
      </c>
      <c r="F114" s="1929">
        <f t="shared" si="6"/>
        <v>0</v>
      </c>
      <c r="G114" s="1790">
        <f t="shared" si="16"/>
        <v>0</v>
      </c>
    </row>
    <row r="115" spans="1:7" x14ac:dyDescent="0.25">
      <c r="A115" s="1652"/>
      <c r="B115" s="1664"/>
      <c r="C115" s="1653"/>
      <c r="D115" s="1841"/>
      <c r="E115" s="1539">
        <f t="shared" si="15"/>
        <v>0</v>
      </c>
      <c r="F115" s="1929">
        <f t="shared" si="6"/>
        <v>0</v>
      </c>
      <c r="G115" s="1790">
        <f t="shared" si="16"/>
        <v>0</v>
      </c>
    </row>
    <row r="116" spans="1:7" x14ac:dyDescent="0.25">
      <c r="A116" s="1652"/>
      <c r="B116" s="1664"/>
      <c r="C116" s="1653"/>
      <c r="D116" s="1841"/>
      <c r="E116" s="1539">
        <f t="shared" si="15"/>
        <v>0</v>
      </c>
      <c r="F116" s="1929">
        <f t="shared" si="6"/>
        <v>0</v>
      </c>
      <c r="G116" s="1790">
        <f t="shared" si="16"/>
        <v>0</v>
      </c>
    </row>
    <row r="117" spans="1:7" x14ac:dyDescent="0.25">
      <c r="A117" s="1652"/>
      <c r="B117" s="1664"/>
      <c r="C117" s="1653"/>
      <c r="D117" s="1841"/>
      <c r="E117" s="1539">
        <f t="shared" si="15"/>
        <v>0</v>
      </c>
      <c r="F117" s="1929">
        <f t="shared" si="6"/>
        <v>0</v>
      </c>
      <c r="G117" s="1790">
        <f t="shared" si="16"/>
        <v>0</v>
      </c>
    </row>
    <row r="118" spans="1:7" x14ac:dyDescent="0.25">
      <c r="A118" s="1652"/>
      <c r="B118" s="1664"/>
      <c r="C118" s="1653"/>
      <c r="D118" s="1841"/>
      <c r="E118" s="1539">
        <f t="shared" si="15"/>
        <v>0</v>
      </c>
      <c r="F118" s="1929">
        <f t="shared" si="6"/>
        <v>0</v>
      </c>
      <c r="G118" s="1790">
        <f t="shared" si="16"/>
        <v>0</v>
      </c>
    </row>
    <row r="119" spans="1:7" x14ac:dyDescent="0.25">
      <c r="A119" s="1652"/>
      <c r="B119" s="1664"/>
      <c r="C119" s="1653"/>
      <c r="D119" s="1841"/>
      <c r="E119" s="1539">
        <f t="shared" si="15"/>
        <v>0</v>
      </c>
      <c r="F119" s="1929">
        <f t="shared" si="6"/>
        <v>0</v>
      </c>
      <c r="G119" s="1790">
        <f t="shared" si="16"/>
        <v>0</v>
      </c>
    </row>
    <row r="120" spans="1:7" x14ac:dyDescent="0.25">
      <c r="A120" s="1652"/>
      <c r="B120" s="1664"/>
      <c r="C120" s="1653"/>
      <c r="D120" s="1841"/>
      <c r="E120" s="1539">
        <f t="shared" si="15"/>
        <v>0</v>
      </c>
      <c r="F120" s="1929">
        <f t="shared" si="6"/>
        <v>0</v>
      </c>
      <c r="G120" s="1790">
        <f t="shared" si="16"/>
        <v>0</v>
      </c>
    </row>
    <row r="121" spans="1:7" x14ac:dyDescent="0.25">
      <c r="A121" s="1652"/>
      <c r="B121" s="1664"/>
      <c r="C121" s="1653"/>
      <c r="D121" s="1841"/>
      <c r="E121" s="1539">
        <f t="shared" si="15"/>
        <v>0</v>
      </c>
      <c r="F121" s="1929">
        <f t="shared" si="6"/>
        <v>0</v>
      </c>
      <c r="G121" s="1790">
        <f t="shared" si="16"/>
        <v>0</v>
      </c>
    </row>
    <row r="122" spans="1:7" x14ac:dyDescent="0.25">
      <c r="A122" s="1652"/>
      <c r="B122" s="1664"/>
      <c r="C122" s="1653"/>
      <c r="D122" s="1841"/>
      <c r="E122" s="1539">
        <f t="shared" si="15"/>
        <v>0</v>
      </c>
      <c r="F122" s="1929">
        <f t="shared" si="6"/>
        <v>0</v>
      </c>
      <c r="G122" s="1790">
        <f t="shared" si="16"/>
        <v>0</v>
      </c>
    </row>
    <row r="123" spans="1:7" x14ac:dyDescent="0.25">
      <c r="A123" s="1652"/>
      <c r="B123" s="1664"/>
      <c r="C123" s="1653"/>
      <c r="D123" s="1841"/>
      <c r="E123" s="1539">
        <f t="shared" si="15"/>
        <v>0</v>
      </c>
      <c r="F123" s="1929">
        <f t="shared" si="6"/>
        <v>0</v>
      </c>
      <c r="G123" s="1790">
        <f t="shared" si="16"/>
        <v>0</v>
      </c>
    </row>
    <row r="124" spans="1:7" x14ac:dyDescent="0.25">
      <c r="A124" s="1652"/>
      <c r="B124" s="1664"/>
      <c r="C124" s="1653"/>
      <c r="D124" s="1841"/>
      <c r="E124" s="1539">
        <f t="shared" si="15"/>
        <v>0</v>
      </c>
      <c r="F124" s="1929">
        <f t="shared" si="6"/>
        <v>0</v>
      </c>
      <c r="G124" s="1790">
        <f t="shared" si="16"/>
        <v>0</v>
      </c>
    </row>
    <row r="125" spans="1:7" x14ac:dyDescent="0.25">
      <c r="A125" s="1652"/>
      <c r="B125" s="1664"/>
      <c r="C125" s="1653"/>
      <c r="D125" s="1841"/>
      <c r="E125" s="1539">
        <f t="shared" si="15"/>
        <v>0</v>
      </c>
      <c r="F125" s="1929">
        <f t="shared" si="6"/>
        <v>0</v>
      </c>
      <c r="G125" s="1790">
        <f t="shared" si="16"/>
        <v>0</v>
      </c>
    </row>
    <row r="126" spans="1:7" x14ac:dyDescent="0.25">
      <c r="A126" s="1652"/>
      <c r="B126" s="1664"/>
      <c r="C126" s="1653"/>
      <c r="D126" s="1841"/>
      <c r="E126" s="1539">
        <f t="shared" ref="E126:E134" si="17">IF(D126&lt;=25000,D126,IF(D126&gt;25000,25000,0))</f>
        <v>0</v>
      </c>
      <c r="F126" s="1929">
        <f t="shared" si="6"/>
        <v>0</v>
      </c>
      <c r="G126" s="1790">
        <f t="shared" ref="G126:G134" si="18">IF(F126=0,0,D126-F126)</f>
        <v>0</v>
      </c>
    </row>
    <row r="127" spans="1:7" x14ac:dyDescent="0.25">
      <c r="A127" s="1652"/>
      <c r="B127" s="1664"/>
      <c r="C127" s="1653"/>
      <c r="D127" s="1841"/>
      <c r="E127" s="1539">
        <f t="shared" si="17"/>
        <v>0</v>
      </c>
      <c r="F127" s="1929">
        <f t="shared" si="6"/>
        <v>0</v>
      </c>
      <c r="G127" s="1790">
        <f t="shared" si="18"/>
        <v>0</v>
      </c>
    </row>
    <row r="128" spans="1:7" x14ac:dyDescent="0.25">
      <c r="A128" s="1652"/>
      <c r="B128" s="1664"/>
      <c r="C128" s="1653"/>
      <c r="D128" s="1841"/>
      <c r="E128" s="1539">
        <f t="shared" si="17"/>
        <v>0</v>
      </c>
      <c r="F128" s="1929">
        <f t="shared" si="6"/>
        <v>0</v>
      </c>
      <c r="G128" s="1790">
        <f t="shared" si="18"/>
        <v>0</v>
      </c>
    </row>
    <row r="129" spans="1:7" x14ac:dyDescent="0.25">
      <c r="A129" s="1652"/>
      <c r="B129" s="1664"/>
      <c r="C129" s="1653"/>
      <c r="D129" s="1841"/>
      <c r="E129" s="1539">
        <f t="shared" si="17"/>
        <v>0</v>
      </c>
      <c r="F129" s="1929">
        <f t="shared" si="6"/>
        <v>0</v>
      </c>
      <c r="G129" s="1790">
        <f t="shared" si="18"/>
        <v>0</v>
      </c>
    </row>
    <row r="130" spans="1:7" x14ac:dyDescent="0.25">
      <c r="A130" s="1652"/>
      <c r="B130" s="1664"/>
      <c r="C130" s="1653"/>
      <c r="D130" s="1841"/>
      <c r="E130" s="1539">
        <f t="shared" si="17"/>
        <v>0</v>
      </c>
      <c r="F130" s="1929">
        <f t="shared" si="6"/>
        <v>0</v>
      </c>
      <c r="G130" s="1790">
        <f t="shared" si="18"/>
        <v>0</v>
      </c>
    </row>
    <row r="131" spans="1:7" x14ac:dyDescent="0.25">
      <c r="A131" s="1652"/>
      <c r="B131" s="1834"/>
      <c r="C131" s="1653"/>
      <c r="D131" s="1841"/>
      <c r="E131" s="1539">
        <f t="shared" si="17"/>
        <v>0</v>
      </c>
      <c r="F131" s="1929">
        <f t="shared" si="6"/>
        <v>0</v>
      </c>
      <c r="G131" s="1790">
        <f t="shared" si="18"/>
        <v>0</v>
      </c>
    </row>
    <row r="132" spans="1:7" x14ac:dyDescent="0.25">
      <c r="A132" s="1652"/>
      <c r="B132" s="1834"/>
      <c r="C132" s="1653"/>
      <c r="D132" s="1841"/>
      <c r="E132" s="1539">
        <f t="shared" si="17"/>
        <v>0</v>
      </c>
      <c r="F132" s="1929">
        <f t="shared" si="6"/>
        <v>0</v>
      </c>
      <c r="G132" s="1790">
        <f t="shared" si="18"/>
        <v>0</v>
      </c>
    </row>
    <row r="133" spans="1:7" x14ac:dyDescent="0.25">
      <c r="A133" s="1652"/>
      <c r="B133" s="1664"/>
      <c r="C133" s="1653"/>
      <c r="D133" s="1841"/>
      <c r="E133" s="1539">
        <f t="shared" si="17"/>
        <v>0</v>
      </c>
      <c r="F133" s="1929">
        <f t="shared" si="6"/>
        <v>0</v>
      </c>
      <c r="G133" s="1790">
        <f t="shared" si="18"/>
        <v>0</v>
      </c>
    </row>
    <row r="134" spans="1:7" x14ac:dyDescent="0.25">
      <c r="A134" s="1652"/>
      <c r="B134" s="1664"/>
      <c r="C134" s="1653"/>
      <c r="D134" s="1841"/>
      <c r="E134" s="1539">
        <f t="shared" si="17"/>
        <v>0</v>
      </c>
      <c r="F134" s="1929">
        <f t="shared" si="6"/>
        <v>0</v>
      </c>
      <c r="G134" s="1790">
        <f t="shared" si="18"/>
        <v>0</v>
      </c>
    </row>
    <row r="135" spans="1:7" x14ac:dyDescent="0.25">
      <c r="A135" s="1652"/>
      <c r="B135" s="1664"/>
      <c r="C135" s="1653"/>
      <c r="D135" s="1841"/>
      <c r="E135" s="1539">
        <f t="shared" ref="E135:E139" si="19">IF(D135&lt;=25000,D135,IF(D135&gt;25000,25000,0))</f>
        <v>0</v>
      </c>
      <c r="F135" s="1929">
        <f t="shared" si="6"/>
        <v>0</v>
      </c>
      <c r="G135" s="1790">
        <f t="shared" ref="G135:G139" si="20">IF(F135=0,0,D135-F135)</f>
        <v>0</v>
      </c>
    </row>
    <row r="136" spans="1:7" x14ac:dyDescent="0.25">
      <c r="A136" s="1652"/>
      <c r="B136" s="1664"/>
      <c r="C136" s="1653"/>
      <c r="D136" s="1841"/>
      <c r="E136" s="1539">
        <f t="shared" si="19"/>
        <v>0</v>
      </c>
      <c r="F136" s="1929">
        <f t="shared" si="6"/>
        <v>0</v>
      </c>
      <c r="G136" s="1790">
        <f t="shared" si="20"/>
        <v>0</v>
      </c>
    </row>
    <row r="137" spans="1:7" x14ac:dyDescent="0.25">
      <c r="A137" s="1652"/>
      <c r="B137" s="1664"/>
      <c r="C137" s="1653"/>
      <c r="D137" s="1841"/>
      <c r="E137" s="1539">
        <f t="shared" si="19"/>
        <v>0</v>
      </c>
      <c r="F137" s="1929">
        <f t="shared" si="6"/>
        <v>0</v>
      </c>
      <c r="G137" s="1790">
        <f t="shared" si="20"/>
        <v>0</v>
      </c>
    </row>
    <row r="138" spans="1:7" x14ac:dyDescent="0.25">
      <c r="A138" s="1652"/>
      <c r="B138" s="1664"/>
      <c r="C138" s="1653"/>
      <c r="D138" s="1841"/>
      <c r="E138" s="1539">
        <f t="shared" si="19"/>
        <v>0</v>
      </c>
      <c r="F138" s="1929">
        <f t="shared" si="6"/>
        <v>0</v>
      </c>
      <c r="G138" s="1790">
        <f t="shared" si="20"/>
        <v>0</v>
      </c>
    </row>
    <row r="139" spans="1:7" x14ac:dyDescent="0.25">
      <c r="A139" s="1652"/>
      <c r="B139" s="1664"/>
      <c r="C139" s="1653"/>
      <c r="D139" s="1841"/>
      <c r="E139" s="1539">
        <f t="shared" si="19"/>
        <v>0</v>
      </c>
      <c r="F139" s="1929">
        <f t="shared" si="6"/>
        <v>0</v>
      </c>
      <c r="G139" s="1790">
        <f t="shared" si="20"/>
        <v>0</v>
      </c>
    </row>
    <row r="140" spans="1:7" x14ac:dyDescent="0.25">
      <c r="A140" s="1652"/>
      <c r="B140" s="1663"/>
      <c r="C140" s="1653"/>
      <c r="D140" s="1841"/>
      <c r="E140" s="1539">
        <f t="shared" si="2"/>
        <v>0</v>
      </c>
      <c r="F140" s="1929">
        <f t="shared" si="6"/>
        <v>0</v>
      </c>
      <c r="G140" s="1790">
        <f t="shared" si="3"/>
        <v>0</v>
      </c>
    </row>
    <row r="141" spans="1:7" x14ac:dyDescent="0.25">
      <c r="A141" s="1793" t="s">
        <v>156</v>
      </c>
      <c r="B141" s="1794"/>
      <c r="C141" s="1795"/>
      <c r="D141" s="1791">
        <f>SUM(D17:D140)</f>
        <v>13544043</v>
      </c>
      <c r="E141" s="1540">
        <f t="shared" si="0"/>
        <v>25000</v>
      </c>
      <c r="F141" s="1930">
        <f>SUM(F17:F140)</f>
        <v>1375000</v>
      </c>
      <c r="G141" s="1792">
        <f>SUM(G17:G140)</f>
        <v>12169043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N7" sqref="N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908</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1930</v>
      </c>
      <c r="B10" s="970"/>
      <c r="C10" s="975"/>
      <c r="D10" s="971"/>
      <c r="E10" s="972">
        <v>552884</v>
      </c>
      <c r="F10" s="973"/>
      <c r="G10" s="974"/>
      <c r="H10" s="162"/>
      <c r="I10" s="162"/>
    </row>
    <row r="11" spans="1:9" s="668" customFormat="1" ht="22.5" customHeight="1" x14ac:dyDescent="0.2">
      <c r="A11" s="2286" t="s">
        <v>1974</v>
      </c>
      <c r="B11" s="2287"/>
      <c r="C11" s="2287"/>
      <c r="D11" s="2288"/>
      <c r="E11" s="976">
        <v>99497</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371</v>
      </c>
      <c r="B15" s="966"/>
      <c r="C15" s="966"/>
      <c r="D15" s="966"/>
      <c r="E15" s="966"/>
      <c r="F15" s="966"/>
      <c r="G15" s="980"/>
      <c r="H15" s="162"/>
      <c r="I15" s="162"/>
    </row>
    <row r="16" spans="1:9" s="668" customFormat="1" x14ac:dyDescent="0.2">
      <c r="A16" s="981" t="s">
        <v>1376</v>
      </c>
      <c r="B16" s="982"/>
      <c r="C16" s="983"/>
      <c r="D16" s="962"/>
      <c r="E16" s="957"/>
      <c r="F16" s="957"/>
      <c r="G16" s="958"/>
      <c r="H16" s="162"/>
      <c r="I16" s="162"/>
    </row>
    <row r="17" spans="1:9" s="668" customFormat="1" ht="12" customHeight="1" x14ac:dyDescent="0.2">
      <c r="A17" s="984"/>
      <c r="B17" s="985"/>
      <c r="C17" s="329"/>
      <c r="D17" s="1637" t="s">
        <v>532</v>
      </c>
      <c r="E17" s="1638"/>
      <c r="F17" s="1637" t="s">
        <v>433</v>
      </c>
      <c r="G17" s="1639"/>
      <c r="H17" s="162"/>
      <c r="I17" s="162"/>
    </row>
    <row r="18" spans="1:9" s="259" customFormat="1" ht="11.25" x14ac:dyDescent="0.2">
      <c r="A18" s="987"/>
      <c r="C18" s="988" t="s">
        <v>434</v>
      </c>
      <c r="D18" s="1640" t="s">
        <v>435</v>
      </c>
      <c r="E18" s="1640" t="s">
        <v>53</v>
      </c>
      <c r="F18" s="1640" t="s">
        <v>435</v>
      </c>
      <c r="G18" s="1640" t="s">
        <v>53</v>
      </c>
      <c r="H18" s="178"/>
      <c r="I18" s="178"/>
    </row>
    <row r="19" spans="1:9" s="668" customFormat="1" ht="12" customHeight="1" x14ac:dyDescent="0.2">
      <c r="A19" s="989" t="s">
        <v>456</v>
      </c>
      <c r="B19" s="990"/>
      <c r="C19" s="991" t="s">
        <v>570</v>
      </c>
      <c r="D19" s="1796"/>
      <c r="E19" s="1797">
        <f>'Expenditures 15-22'!K33-SUM('Expenditures 15-22'!G33,'Expenditures 15-22'!I33)+'Expenditures 15-22'!D229</f>
        <v>40243076</v>
      </c>
      <c r="F19" s="1796"/>
      <c r="G19" s="1798">
        <f>'Expenditures 15-22'!K33-SUM('Expenditures 15-22'!G33,'Expenditures 15-22'!I33)+'Expenditures 15-22'!D229</f>
        <v>40243076</v>
      </c>
      <c r="H19" s="986"/>
      <c r="I19" s="162"/>
    </row>
    <row r="20" spans="1:9" s="668" customFormat="1" ht="12" customHeight="1" x14ac:dyDescent="0.2">
      <c r="A20" s="989" t="s">
        <v>54</v>
      </c>
      <c r="B20" s="990"/>
      <c r="C20" s="992"/>
      <c r="D20" s="1799"/>
      <c r="E20" s="1799"/>
      <c r="F20" s="1799"/>
      <c r="G20" s="1800"/>
      <c r="H20" s="986"/>
      <c r="I20" s="162"/>
    </row>
    <row r="21" spans="1:9" s="668" customFormat="1" ht="12" customHeight="1" x14ac:dyDescent="0.2">
      <c r="A21" s="993" t="s">
        <v>401</v>
      </c>
      <c r="B21" s="994"/>
      <c r="C21" s="992">
        <v>2100</v>
      </c>
      <c r="D21" s="1799"/>
      <c r="E21" s="1801">
        <f>'Expenditures 15-22'!K42-SUM('Expenditures 15-22'!G42,'Expenditures 15-22'!I42)+'Expenditures 15-22'!K120-SUM('Expenditures 15-22'!G120,'Expenditures 15-22'!I120)+'Expenditures 15-22'!K180-SUM('Expenditures 15-22'!G180,'Expenditures 15-22'!I180)+'Expenditures 15-22'!D238</f>
        <v>5311769</v>
      </c>
      <c r="F21" s="1799"/>
      <c r="G21" s="1802">
        <f>'Expenditures 15-22'!K42-SUM('Expenditures 15-22'!G42,'Expenditures 15-22'!I42)+'Expenditures 15-22'!K120-SUM('Expenditures 15-22'!G120,'Expenditures 15-22'!I120)+'Expenditures 15-22'!K180-SUM('Expenditures 15-22'!G180,'Expenditures 15-22'!I180)+'Expenditures 15-22'!D238</f>
        <v>5311769</v>
      </c>
      <c r="H21" s="986"/>
      <c r="I21" s="162"/>
    </row>
    <row r="22" spans="1:9" s="668" customFormat="1" ht="12" customHeight="1" x14ac:dyDescent="0.2">
      <c r="A22" s="993" t="s">
        <v>564</v>
      </c>
      <c r="B22" s="994"/>
      <c r="C22" s="992">
        <v>2200</v>
      </c>
      <c r="D22" s="1799"/>
      <c r="E22" s="1801">
        <f>'Expenditures 15-22'!K47-SUM('Expenditures 15-22'!G47,'Expenditures 15-22'!I47)+'Expenditures 15-22'!D243</f>
        <v>4554442</v>
      </c>
      <c r="F22" s="1799"/>
      <c r="G22" s="1802">
        <f>'Expenditures 15-22'!K47-SUM('Expenditures 15-22'!G47,'Expenditures 15-22'!I47)+'Expenditures 15-22'!D243</f>
        <v>4554442</v>
      </c>
      <c r="H22" s="986"/>
      <c r="I22" s="162"/>
    </row>
    <row r="23" spans="1:9" s="668" customFormat="1" ht="12" customHeight="1" x14ac:dyDescent="0.2">
      <c r="A23" s="993" t="s">
        <v>565</v>
      </c>
      <c r="B23" s="994"/>
      <c r="C23" s="992">
        <v>2300</v>
      </c>
      <c r="D23" s="1799"/>
      <c r="E23" s="1801">
        <f>'Expenditures 15-22'!K53-SUM('Expenditures 15-22'!G53,'Expenditures 15-22'!I53)+'Expenditures 15-22'!D257+'Expenditures 15-22'!K330-SUM('Expenditures 15-22'!G330,'Expenditures 15-22'!I330)</f>
        <v>1365271</v>
      </c>
      <c r="F23" s="1799"/>
      <c r="G23" s="1801">
        <f>'Expenditures 15-22'!K53-SUM('Expenditures 15-22'!G53,'Expenditures 15-22'!I53)+'Expenditures 15-22'!D257+'Expenditures 15-22'!K330-SUM('Expenditures 15-22'!G330,'Expenditures 15-22'!I330)</f>
        <v>1365271</v>
      </c>
      <c r="H23" s="986"/>
      <c r="I23" s="162"/>
    </row>
    <row r="24" spans="1:9" s="668" customFormat="1" ht="12" customHeight="1" x14ac:dyDescent="0.2">
      <c r="A24" s="993" t="s">
        <v>566</v>
      </c>
      <c r="B24" s="994"/>
      <c r="C24" s="992">
        <v>2400</v>
      </c>
      <c r="D24" s="1799"/>
      <c r="E24" s="1801">
        <f>'Expenditures 15-22'!K57-SUM('Expenditures 15-22'!G57,'Expenditures 15-22'!I57)+'Expenditures 15-22'!D261</f>
        <v>2678888</v>
      </c>
      <c r="F24" s="1799"/>
      <c r="G24" s="1802">
        <f>'Expenditures 15-22'!K57-SUM('Expenditures 15-22'!G57,'Expenditures 15-22'!I57)+'Expenditures 15-22'!D261</f>
        <v>2678888</v>
      </c>
      <c r="H24" s="986"/>
      <c r="I24" s="162"/>
    </row>
    <row r="25" spans="1:9" s="668" customFormat="1" ht="12" customHeight="1" x14ac:dyDescent="0.2">
      <c r="A25" s="989" t="s">
        <v>567</v>
      </c>
      <c r="B25" s="995"/>
      <c r="C25" s="992"/>
      <c r="D25" s="1799"/>
      <c r="E25" s="1801"/>
      <c r="F25" s="1799"/>
      <c r="G25" s="1802"/>
      <c r="H25" s="986"/>
      <c r="I25" s="162"/>
    </row>
    <row r="26" spans="1:9" s="668" customFormat="1" ht="12" customHeight="1" x14ac:dyDescent="0.2">
      <c r="A26" s="993" t="s">
        <v>515</v>
      </c>
      <c r="B26" s="996"/>
      <c r="C26" s="992">
        <v>2510</v>
      </c>
      <c r="D26" s="1801">
        <f>'Expenditures 15-22'!K59-SUM('Expenditures 15-22'!G59,'Expenditures 15-22'!I59)+'Expenditures 15-22'!D263-E7</f>
        <v>345866</v>
      </c>
      <c r="E26" s="1801">
        <f>'Expenditures 15-22'!K122-SUM('Expenditures 15-22'!G122,'Expenditures 15-22'!I122)+E7</f>
        <v>0</v>
      </c>
      <c r="F26" s="1801">
        <f>'Expenditures 15-22'!K59-SUM('Expenditures 15-22'!G59,'Expenditures 15-22'!I59)+'Expenditures 15-22'!D263-E7</f>
        <v>345866</v>
      </c>
      <c r="G26" s="1802">
        <f>'Expenditures 15-22'!K122-SUM('Expenditures 15-22'!G122,'Expenditures 15-22'!I122)+E7</f>
        <v>0</v>
      </c>
      <c r="H26" s="986"/>
      <c r="I26" s="162"/>
    </row>
    <row r="27" spans="1:9" s="668" customFormat="1" ht="12" customHeight="1" x14ac:dyDescent="0.2">
      <c r="A27" s="993" t="s">
        <v>463</v>
      </c>
      <c r="B27" s="996"/>
      <c r="C27" s="992">
        <v>2520</v>
      </c>
      <c r="D27" s="1801">
        <f>'Expenditures 15-22'!K60-SUM('Expenditures 15-22'!G60,'Expenditures 15-22'!I60)+'Expenditures 15-22'!D264-E8</f>
        <v>464476</v>
      </c>
      <c r="E27" s="1801">
        <f>E8</f>
        <v>0</v>
      </c>
      <c r="F27" s="1801">
        <f>'Expenditures 15-22'!K60-SUM('Expenditures 15-22'!G60,'Expenditures 15-22'!I60)+'Expenditures 15-22'!D264-E8</f>
        <v>464476</v>
      </c>
      <c r="G27" s="1802">
        <f>E8</f>
        <v>0</v>
      </c>
      <c r="H27" s="986"/>
      <c r="I27" s="162"/>
    </row>
    <row r="28" spans="1:9" s="668" customFormat="1" ht="12" customHeight="1" x14ac:dyDescent="0.2">
      <c r="A28" s="993" t="s">
        <v>516</v>
      </c>
      <c r="B28" s="996"/>
      <c r="C28" s="992">
        <v>2540</v>
      </c>
      <c r="D28" s="1803"/>
      <c r="E28" s="1801">
        <f>'Expenditures 15-22'!K61-SUM('Expenditures 15-22'!G61,'Expenditures 15-22'!I61)+'Expenditures 15-22'!K124-SUM('Expenditures 15-22'!G124,'Expenditures 15-22'!I124)+'Expenditures 15-22'!D266</f>
        <v>4524737</v>
      </c>
      <c r="F28" s="1803">
        <f>'Expenditures 15-22'!K61-SUM('Expenditures 15-22'!G61,'Expenditures 15-22'!I61)+'Expenditures 15-22'!K124-SUM('Expenditures 15-22'!G124,'Expenditures 15-22'!I124)+'Expenditures 15-22'!D266-E9</f>
        <v>4524737</v>
      </c>
      <c r="G28" s="1802">
        <f>E9</f>
        <v>0</v>
      </c>
      <c r="H28" s="986"/>
      <c r="I28" s="162"/>
    </row>
    <row r="29" spans="1:9" ht="12" customHeight="1" x14ac:dyDescent="0.2">
      <c r="A29" s="993" t="s">
        <v>517</v>
      </c>
      <c r="B29" s="996"/>
      <c r="C29" s="992">
        <v>2550</v>
      </c>
      <c r="D29" s="1799"/>
      <c r="E29" s="1801">
        <f>'Expenditures 15-22'!K62-SUM('Expenditures 15-22'!G62,'Expenditures 15-22'!I62)+'Expenditures 15-22'!K125-SUM('Expenditures 15-22'!G125,'Expenditures 15-22'!I125)+'Expenditures 15-22'!K182-SUM('Expenditures 15-22'!G182,'Expenditures 15-22'!I182)+'Expenditures 15-22'!D267</f>
        <v>3745941</v>
      </c>
      <c r="F29" s="1799"/>
      <c r="G29" s="1802">
        <f>'Expenditures 15-22'!K62-SUM('Expenditures 15-22'!G62,'Expenditures 15-22'!I62)+'Expenditures 15-22'!K125-SUM('Expenditures 15-22'!G125,'Expenditures 15-22'!I125)+'Expenditures 15-22'!K182-SUM('Expenditures 15-22'!G182,'Expenditures 15-22'!I182)+'Expenditures 15-22'!D267</f>
        <v>3745941</v>
      </c>
      <c r="H29" s="984"/>
    </row>
    <row r="30" spans="1:9" ht="12" customHeight="1" x14ac:dyDescent="0.2">
      <c r="A30" s="993" t="s">
        <v>100</v>
      </c>
      <c r="B30" s="996"/>
      <c r="C30" s="992">
        <v>2560</v>
      </c>
      <c r="D30" s="1799"/>
      <c r="E30" s="1801">
        <f>'Expenditures 15-22'!K63-SUM('Expenditures 15-22'!G63,'Expenditures 15-22'!I63)+'Expenditures 15-22'!D268-E10</f>
        <v>1019436</v>
      </c>
      <c r="F30" s="1799"/>
      <c r="G30" s="1801">
        <f>'Expenditures 15-22'!K63-SUM('Expenditures 15-22'!G63,'Expenditures 15-22'!I63)+'Expenditures 15-22'!D268-E10</f>
        <v>1019436</v>
      </c>
    </row>
    <row r="31" spans="1:9" ht="12" customHeight="1" x14ac:dyDescent="0.2">
      <c r="A31" s="993" t="s">
        <v>101</v>
      </c>
      <c r="B31" s="996"/>
      <c r="C31" s="992">
        <v>2570</v>
      </c>
      <c r="D31" s="1801">
        <f>'Expenditures 15-22'!K64-SUM('Expenditures 15-22'!G64,'Expenditures 15-22'!I64)+'Expenditures 15-22'!D269-E12</f>
        <v>151332</v>
      </c>
      <c r="E31" s="1801">
        <f>E12</f>
        <v>0</v>
      </c>
      <c r="F31" s="1801">
        <f>'Expenditures 15-22'!K64-SUM('Expenditures 15-22'!G64,'Expenditures 15-22'!I64)+'Expenditures 15-22'!D269-E12</f>
        <v>151332</v>
      </c>
      <c r="G31" s="1801">
        <f>E12</f>
        <v>0</v>
      </c>
    </row>
    <row r="32" spans="1:9" ht="12" customHeight="1" x14ac:dyDescent="0.2">
      <c r="A32" s="989" t="s">
        <v>518</v>
      </c>
      <c r="B32" s="995"/>
      <c r="C32" s="992"/>
      <c r="D32" s="1799"/>
      <c r="E32" s="1799"/>
      <c r="F32" s="1799"/>
      <c r="G32" s="1799"/>
    </row>
    <row r="33" spans="1:7" ht="12" customHeight="1" x14ac:dyDescent="0.2">
      <c r="A33" s="993" t="s">
        <v>519</v>
      </c>
      <c r="B33" s="996"/>
      <c r="C33" s="992">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3" t="s">
        <v>520</v>
      </c>
      <c r="B34" s="996"/>
      <c r="C34" s="992">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3" t="s">
        <v>1061</v>
      </c>
      <c r="B35" s="996"/>
      <c r="C35" s="992">
        <v>2630</v>
      </c>
      <c r="D35" s="1799"/>
      <c r="E35" s="1801">
        <f>'Expenditures 15-22'!K69-SUM('Expenditures 15-22'!G69,'Expenditures 15-22'!I69)+'Expenditures 15-22'!D274</f>
        <v>245333</v>
      </c>
      <c r="F35" s="1799"/>
      <c r="G35" s="1801">
        <f>'Expenditures 15-22'!K69-SUM('Expenditures 15-22'!G69,'Expenditures 15-22'!I69)+'Expenditures 15-22'!D274</f>
        <v>245333</v>
      </c>
    </row>
    <row r="36" spans="1:7" ht="12" customHeight="1" x14ac:dyDescent="0.2">
      <c r="A36" s="993" t="s">
        <v>403</v>
      </c>
      <c r="B36" s="996"/>
      <c r="C36" s="992">
        <v>2640</v>
      </c>
      <c r="D36" s="1801">
        <f>'Expenditures 15-22'!K70-SUM('Expenditures 15-22'!G70,'Expenditures 15-22'!I70)+'Expenditures 15-22'!D275-E13</f>
        <v>591258</v>
      </c>
      <c r="E36" s="1801">
        <f>E13</f>
        <v>0</v>
      </c>
      <c r="F36" s="1801">
        <f>'Expenditures 15-22'!K70-SUM('Expenditures 15-22'!G70,'Expenditures 15-22'!I70)+'Expenditures 15-22'!D275-E13</f>
        <v>591258</v>
      </c>
      <c r="G36" s="1801">
        <f>E13</f>
        <v>0</v>
      </c>
    </row>
    <row r="37" spans="1:7" ht="12" customHeight="1" x14ac:dyDescent="0.2">
      <c r="A37" s="993" t="s">
        <v>404</v>
      </c>
      <c r="B37" s="996"/>
      <c r="C37" s="992">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9" t="s">
        <v>521</v>
      </c>
      <c r="B38" s="990"/>
      <c r="C38" s="992">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799"/>
      <c r="E39" s="1801">
        <f>'Expenditures 15-22'!K75-SUM('Expenditures 15-22'!G75,'Expenditures 15-22'!I75)+'Expenditures 15-22'!K130-SUM('Expenditures 15-22'!G130,'Expenditures 15-22'!I130)+'Expenditures 15-22'!K185-SUM('Expenditures 15-22'!G185,'Expenditures 15-22'!I185)+'Expenditures 15-22'!D280</f>
        <v>29023</v>
      </c>
      <c r="F39" s="1799"/>
      <c r="G39" s="1801">
        <f>'Expenditures 15-22'!K75-SUM('Expenditures 15-22'!G75,'Expenditures 15-22'!I75)+'Expenditures 15-22'!K130-SUM('Expenditures 15-22'!G130,'Expenditures 15-22'!I130)+'Expenditures 15-22'!K185-SUM('Expenditures 15-22'!G185,'Expenditures 15-22'!I185)+'Expenditures 15-22'!D280</f>
        <v>29023</v>
      </c>
    </row>
    <row r="40" spans="1:7" ht="12" customHeight="1" x14ac:dyDescent="0.2">
      <c r="A40" s="989" t="s">
        <v>1820</v>
      </c>
      <c r="B40" s="990"/>
      <c r="C40" s="992"/>
      <c r="D40" s="1799"/>
      <c r="E40" s="1803">
        <f>-'Contracts Paid in CY 29'!G141</f>
        <v>-12169043</v>
      </c>
      <c r="F40" s="1799"/>
      <c r="G40" s="1803">
        <f>-'Contracts Paid in CY 29'!G141</f>
        <v>-12169043</v>
      </c>
    </row>
    <row r="41" spans="1:7" ht="12" customHeight="1" x14ac:dyDescent="0.2">
      <c r="A41" s="997" t="s">
        <v>156</v>
      </c>
      <c r="B41" s="998"/>
      <c r="C41" s="999"/>
      <c r="D41" s="1803">
        <f>SUM(D19:D39)</f>
        <v>1552932</v>
      </c>
      <c r="E41" s="1803">
        <f>SUM(E19:E40)</f>
        <v>51548873</v>
      </c>
      <c r="F41" s="1803">
        <f>SUM(F19:F39)</f>
        <v>6077669</v>
      </c>
      <c r="G41" s="1803">
        <f>SUM(G19:G40)</f>
        <v>47024136</v>
      </c>
    </row>
    <row r="42" spans="1:7" x14ac:dyDescent="0.2">
      <c r="A42" s="986"/>
      <c r="B42" s="162"/>
      <c r="C42" s="1000"/>
      <c r="D42" s="2284" t="s">
        <v>522</v>
      </c>
      <c r="E42" s="2285"/>
      <c r="F42" s="1001" t="s">
        <v>523</v>
      </c>
      <c r="G42" s="1002"/>
    </row>
    <row r="43" spans="1:7" ht="12" customHeight="1" x14ac:dyDescent="0.2">
      <c r="A43" s="986"/>
      <c r="B43" s="162"/>
      <c r="C43" s="1000"/>
      <c r="D43" s="1804" t="s">
        <v>473</v>
      </c>
      <c r="E43" s="1805">
        <f>D41</f>
        <v>1552932</v>
      </c>
      <c r="F43" s="1804" t="s">
        <v>473</v>
      </c>
      <c r="G43" s="1805">
        <f>F41</f>
        <v>6077669</v>
      </c>
    </row>
    <row r="44" spans="1:7" ht="12" customHeight="1" x14ac:dyDescent="0.2">
      <c r="A44" s="986"/>
      <c r="B44" s="162"/>
      <c r="C44" s="1000"/>
      <c r="D44" s="1804" t="s">
        <v>474</v>
      </c>
      <c r="E44" s="1805">
        <f>E41</f>
        <v>51548873</v>
      </c>
      <c r="F44" s="1804" t="s">
        <v>474</v>
      </c>
      <c r="G44" s="1805">
        <f>G41</f>
        <v>47024136</v>
      </c>
    </row>
    <row r="45" spans="1:7" ht="12" customHeight="1" x14ac:dyDescent="0.2">
      <c r="A45" s="986"/>
      <c r="B45" s="162"/>
      <c r="C45" s="162"/>
      <c r="D45" s="1806" t="s">
        <v>1006</v>
      </c>
      <c r="E45" s="1807">
        <f>(E43/E44)</f>
        <v>3.0125430676243882E-2</v>
      </c>
      <c r="F45" s="1806" t="s">
        <v>1006</v>
      </c>
      <c r="G45" s="1807">
        <f>(G43/G44)</f>
        <v>0.1292457345734114</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2" sqref="F22"/>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Glenview CCSD 34</v>
      </c>
      <c r="D6" s="2307"/>
      <c r="E6" s="2307"/>
      <c r="F6" s="1849"/>
    </row>
    <row r="7" spans="1:10" ht="11.25" customHeight="1" thickBot="1" x14ac:dyDescent="0.3">
      <c r="A7" s="1847"/>
      <c r="B7" s="1848"/>
      <c r="C7" s="2308">
        <f>COVER!A13</f>
        <v>5016034004</v>
      </c>
      <c r="D7" s="2308"/>
      <c r="E7" s="2308"/>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2061</v>
      </c>
      <c r="D19" s="1862" t="s">
        <v>2061</v>
      </c>
      <c r="E19" s="1865"/>
      <c r="F19" s="1864" t="s">
        <v>2084</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2061</v>
      </c>
      <c r="D26" s="1862" t="s">
        <v>2061</v>
      </c>
      <c r="E26" s="1865"/>
      <c r="F26" s="1864" t="s">
        <v>2085</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0</v>
      </c>
      <c r="K34" s="1875">
        <f>SUM(H34:J34)</f>
        <v>20</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c r="B41" s="2301"/>
      <c r="C41" s="2301"/>
      <c r="D41" s="2301"/>
      <c r="E41" s="2301"/>
      <c r="F41" s="2302"/>
      <c r="H41" s="1876"/>
      <c r="I41" s="1876"/>
      <c r="J41" s="1876"/>
      <c r="K41" s="1876"/>
    </row>
    <row r="42" spans="1:11" s="1867" customFormat="1" ht="12" customHeight="1" x14ac:dyDescent="0.25">
      <c r="A42" s="2300"/>
      <c r="B42" s="2301"/>
      <c r="C42" s="2301"/>
      <c r="D42" s="2301"/>
      <c r="E42" s="2301"/>
      <c r="F42" s="2302"/>
      <c r="H42" s="1876"/>
      <c r="I42" s="1876"/>
      <c r="J42" s="1876"/>
      <c r="K42" s="1876"/>
    </row>
    <row r="43" spans="1:11" s="1867" customFormat="1" ht="15" x14ac:dyDescent="0.25">
      <c r="A43" s="2289"/>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1" t="s">
        <v>672</v>
      </c>
      <c r="B6" s="1641"/>
      <c r="C6" s="1641"/>
      <c r="D6" s="1641"/>
      <c r="E6" s="1642"/>
      <c r="F6" s="1014"/>
      <c r="G6" s="1008"/>
      <c r="H6" s="1015" t="s">
        <v>1028</v>
      </c>
      <c r="I6" s="2316" t="str">
        <f>COVER!A17</f>
        <v>Glenview CCSD 34</v>
      </c>
      <c r="J6" s="2317"/>
      <c r="Q6" s="1661"/>
    </row>
    <row r="7" spans="1:17" x14ac:dyDescent="0.2">
      <c r="A7" s="2318" t="s">
        <v>869</v>
      </c>
      <c r="B7" s="2319"/>
      <c r="C7" s="2319"/>
      <c r="D7" s="2319"/>
      <c r="E7" s="2320"/>
      <c r="F7" s="1016"/>
      <c r="G7" s="1008"/>
      <c r="H7" s="1015" t="s">
        <v>372</v>
      </c>
      <c r="I7" s="2321">
        <f>COVER!A13</f>
        <v>5016034004</v>
      </c>
      <c r="J7" s="2321"/>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2" t="s">
        <v>1976</v>
      </c>
      <c r="F9" s="1022"/>
      <c r="G9" s="1022"/>
      <c r="H9" s="1893" t="s">
        <v>1977</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2" t="s">
        <v>481</v>
      </c>
      <c r="B11" s="2323"/>
      <c r="C11" s="2324"/>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08">
        <f>'Expenditures 15-22'!K50</f>
        <v>518185</v>
      </c>
      <c r="F12" s="1038"/>
      <c r="G12" s="1808">
        <f t="shared" ref="G12:G18" si="0">SUM(E12:F12)</f>
        <v>518185</v>
      </c>
      <c r="H12" s="1039">
        <v>549477</v>
      </c>
      <c r="I12" s="1038"/>
      <c r="J12" s="1808">
        <f t="shared" ref="J12:J18" si="1">SUM(H12:I12)</f>
        <v>549477</v>
      </c>
    </row>
    <row r="13" spans="1:17" ht="15" customHeight="1" x14ac:dyDescent="0.2">
      <c r="A13" s="1034">
        <v>2</v>
      </c>
      <c r="B13" s="1035" t="s">
        <v>42</v>
      </c>
      <c r="C13" s="1036"/>
      <c r="D13" s="1037">
        <v>2330</v>
      </c>
      <c r="E13" s="1808">
        <f>'Expenditures 15-22'!K51</f>
        <v>7573</v>
      </c>
      <c r="F13" s="1038"/>
      <c r="G13" s="1808">
        <f t="shared" si="0"/>
        <v>7573</v>
      </c>
      <c r="H13" s="1039">
        <v>10319</v>
      </c>
      <c r="I13" s="1038"/>
      <c r="J13" s="1808">
        <f t="shared" si="1"/>
        <v>10319</v>
      </c>
    </row>
    <row r="14" spans="1:17" ht="15" customHeight="1" x14ac:dyDescent="0.2">
      <c r="A14" s="1034">
        <v>3</v>
      </c>
      <c r="B14" s="1035" t="s">
        <v>43</v>
      </c>
      <c r="C14" s="1036"/>
      <c r="D14" s="1040">
        <v>2490</v>
      </c>
      <c r="E14" s="1808">
        <f>'Expenditures 15-22'!K56</f>
        <v>0</v>
      </c>
      <c r="F14" s="1038"/>
      <c r="G14" s="1808">
        <f t="shared" si="0"/>
        <v>0</v>
      </c>
      <c r="H14" s="1039"/>
      <c r="I14" s="1038"/>
      <c r="J14" s="1808">
        <f t="shared" si="1"/>
        <v>0</v>
      </c>
    </row>
    <row r="15" spans="1:17" ht="15" customHeight="1" x14ac:dyDescent="0.2">
      <c r="A15" s="1034">
        <v>4</v>
      </c>
      <c r="B15" s="1035" t="s">
        <v>1068</v>
      </c>
      <c r="C15" s="1036"/>
      <c r="D15" s="1037">
        <v>2510</v>
      </c>
      <c r="E15" s="1808">
        <f>'Expenditures 15-22'!K59</f>
        <v>331934</v>
      </c>
      <c r="F15" s="1808">
        <f>'Expenditures 15-22'!K122</f>
        <v>0</v>
      </c>
      <c r="G15" s="1808">
        <f t="shared" si="0"/>
        <v>331934</v>
      </c>
      <c r="H15" s="1039">
        <v>379578</v>
      </c>
      <c r="I15" s="1039"/>
      <c r="J15" s="1808">
        <f t="shared" si="1"/>
        <v>379578</v>
      </c>
    </row>
    <row r="16" spans="1:17" ht="15" customHeight="1" x14ac:dyDescent="0.2">
      <c r="A16" s="1034">
        <v>5</v>
      </c>
      <c r="B16" s="1035" t="s">
        <v>101</v>
      </c>
      <c r="C16" s="1036"/>
      <c r="D16" s="1037">
        <v>2570</v>
      </c>
      <c r="E16" s="1808">
        <f>'Expenditures 15-22'!K64</f>
        <v>151332</v>
      </c>
      <c r="F16" s="1038"/>
      <c r="G16" s="1808">
        <f t="shared" si="0"/>
        <v>151332</v>
      </c>
      <c r="H16" s="1039">
        <v>120000</v>
      </c>
      <c r="I16" s="1038"/>
      <c r="J16" s="1808">
        <f t="shared" si="1"/>
        <v>120000</v>
      </c>
    </row>
    <row r="17" spans="1:10" ht="15" customHeight="1" x14ac:dyDescent="0.2">
      <c r="A17" s="1034">
        <v>6</v>
      </c>
      <c r="B17" s="1035" t="s">
        <v>1060</v>
      </c>
      <c r="C17" s="1036"/>
      <c r="D17" s="1037">
        <v>2610</v>
      </c>
      <c r="E17" s="1808">
        <f>'Expenditures 15-22'!K67</f>
        <v>0</v>
      </c>
      <c r="F17" s="1038"/>
      <c r="G17" s="1808">
        <f t="shared" si="0"/>
        <v>0</v>
      </c>
      <c r="H17" s="1039"/>
      <c r="I17" s="1038"/>
      <c r="J17" s="1808">
        <f t="shared" si="1"/>
        <v>0</v>
      </c>
    </row>
    <row r="18" spans="1:10" ht="22.5" customHeight="1" x14ac:dyDescent="0.2">
      <c r="A18" s="1041">
        <v>7</v>
      </c>
      <c r="B18" s="2325" t="s">
        <v>7</v>
      </c>
      <c r="C18" s="2326"/>
      <c r="D18" s="2327"/>
      <c r="E18" s="1042"/>
      <c r="F18" s="1042"/>
      <c r="G18" s="1809">
        <f t="shared" si="0"/>
        <v>0</v>
      </c>
      <c r="H18" s="1039"/>
      <c r="I18" s="1039"/>
      <c r="J18" s="1808">
        <f t="shared" si="1"/>
        <v>0</v>
      </c>
    </row>
    <row r="19" spans="1:10" ht="12.75" customHeight="1" thickBot="1" x14ac:dyDescent="0.25">
      <c r="A19" s="1034">
        <v>8</v>
      </c>
      <c r="B19" s="1043" t="s">
        <v>1161</v>
      </c>
      <c r="D19" s="1044"/>
      <c r="E19" s="1810">
        <f t="shared" ref="E19:J19" si="2">SUM(E12:E17)-E18</f>
        <v>1009024</v>
      </c>
      <c r="F19" s="1810">
        <f t="shared" si="2"/>
        <v>0</v>
      </c>
      <c r="G19" s="1810">
        <f t="shared" si="2"/>
        <v>1009024</v>
      </c>
      <c r="H19" s="1810">
        <f t="shared" si="2"/>
        <v>1059374</v>
      </c>
      <c r="I19" s="1810">
        <f t="shared" si="2"/>
        <v>0</v>
      </c>
      <c r="J19" s="1810">
        <f t="shared" si="2"/>
        <v>1059374</v>
      </c>
    </row>
    <row r="20" spans="1:10" ht="13.5" thickTop="1" x14ac:dyDescent="0.2">
      <c r="A20" s="1034">
        <v>9</v>
      </c>
      <c r="B20" s="2328" t="s">
        <v>1978</v>
      </c>
      <c r="C20" s="2328"/>
      <c r="D20" s="2329"/>
      <c r="E20" s="1045"/>
      <c r="F20" s="1045"/>
      <c r="G20" s="1045"/>
      <c r="H20" s="1045"/>
      <c r="I20" s="1045"/>
      <c r="J20" s="1811">
        <f>IF(AND(G19&gt;0,J19&gt;0),(((J19-G19)/G19)),"Enter Budget Data")</f>
        <v>4.9899705061524802E-2</v>
      </c>
    </row>
    <row r="21" spans="1:10" ht="9" customHeight="1" x14ac:dyDescent="0.2">
      <c r="B21" s="1046"/>
    </row>
    <row r="22" spans="1:10" x14ac:dyDescent="0.2">
      <c r="A22" s="1047" t="s">
        <v>133</v>
      </c>
      <c r="B22" s="1046"/>
    </row>
    <row r="23" spans="1:10" x14ac:dyDescent="0.2">
      <c r="A23" s="1010" t="s">
        <v>1979</v>
      </c>
      <c r="B23" s="1046"/>
    </row>
    <row r="24" spans="1:10" x14ac:dyDescent="0.2">
      <c r="A24" s="1010" t="s">
        <v>1992</v>
      </c>
      <c r="B24" s="1046"/>
    </row>
    <row r="25" spans="1:10" x14ac:dyDescent="0.2">
      <c r="A25" s="1048"/>
      <c r="B25" s="1046"/>
    </row>
    <row r="26" spans="1:10" ht="20.100000000000001" customHeight="1" x14ac:dyDescent="0.2">
      <c r="B26" s="1046"/>
      <c r="C26" s="2334"/>
      <c r="D26" s="2334"/>
      <c r="E26" s="1049"/>
      <c r="F26" s="2333"/>
      <c r="G26" s="2333"/>
    </row>
    <row r="27" spans="1:10" x14ac:dyDescent="0.2">
      <c r="B27" s="1046"/>
      <c r="C27" s="1050" t="s">
        <v>1033</v>
      </c>
      <c r="D27" s="1051"/>
      <c r="E27" s="1052"/>
      <c r="F27" s="2330" t="s">
        <v>1509</v>
      </c>
      <c r="G27" s="2330"/>
    </row>
    <row r="28" spans="1:10" ht="28.5" customHeight="1" x14ac:dyDescent="0.2">
      <c r="B28" s="1046"/>
      <c r="C28" s="2332"/>
      <c r="D28" s="2332"/>
      <c r="E28" s="1053"/>
      <c r="F28" s="2332"/>
      <c r="G28" s="2332"/>
    </row>
    <row r="29" spans="1:10" x14ac:dyDescent="0.2">
      <c r="B29" s="1046"/>
      <c r="C29" s="1054" t="s">
        <v>1561</v>
      </c>
      <c r="E29" s="1055"/>
      <c r="F29" s="2331" t="s">
        <v>1510</v>
      </c>
      <c r="G29" s="2331"/>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1"/>
    </row>
    <row r="36" spans="1:10" ht="13.5" customHeight="1" x14ac:dyDescent="0.2">
      <c r="B36" s="1060"/>
      <c r="C36" s="2315" t="s">
        <v>1980</v>
      </c>
      <c r="D36" s="2314"/>
      <c r="E36" s="2314"/>
      <c r="F36" s="2314"/>
      <c r="G36" s="2314"/>
      <c r="H36" s="2314"/>
      <c r="I36" s="2314"/>
      <c r="J36" s="1062"/>
    </row>
    <row r="37" spans="1:10" ht="22.5" customHeight="1" x14ac:dyDescent="0.2">
      <c r="C37" s="2314"/>
      <c r="D37" s="2314"/>
      <c r="E37" s="2314"/>
      <c r="F37" s="2314"/>
      <c r="G37" s="2314"/>
      <c r="H37" s="2314"/>
      <c r="I37" s="2314"/>
      <c r="J37" s="1062"/>
    </row>
    <row r="38" spans="1:10" ht="7.5" customHeight="1" x14ac:dyDescent="0.2">
      <c r="C38" s="1061"/>
      <c r="D38" s="1063"/>
      <c r="E38" s="1064"/>
      <c r="F38" s="1065"/>
      <c r="G38" s="1064"/>
    </row>
    <row r="39" spans="1:10" ht="13.5" customHeight="1" x14ac:dyDescent="0.2">
      <c r="B39" s="1060"/>
      <c r="C39" s="2311" t="s">
        <v>882</v>
      </c>
      <c r="D39" s="2312"/>
      <c r="E39" s="2312"/>
      <c r="F39" s="2312"/>
      <c r="G39" s="2312"/>
      <c r="H39" s="2312"/>
      <c r="I39" s="2312"/>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v>1</v>
      </c>
      <c r="B5" s="1935" t="s">
        <v>2152</v>
      </c>
    </row>
    <row r="6" spans="1:2" x14ac:dyDescent="0.2">
      <c r="A6" s="1067"/>
      <c r="B6" s="329" t="s">
        <v>2155</v>
      </c>
    </row>
    <row r="7" spans="1:2" x14ac:dyDescent="0.2">
      <c r="A7" s="1067"/>
    </row>
    <row r="8" spans="1:2" x14ac:dyDescent="0.2">
      <c r="A8" s="1067"/>
      <c r="B8" s="329" t="s">
        <v>2159</v>
      </c>
    </row>
    <row r="9" spans="1:2" x14ac:dyDescent="0.2">
      <c r="A9" s="1067"/>
    </row>
    <row r="10" spans="1:2" x14ac:dyDescent="0.2">
      <c r="A10" s="1067"/>
      <c r="B10" s="329" t="s">
        <v>2157</v>
      </c>
    </row>
    <row r="11" spans="1:2" x14ac:dyDescent="0.2">
      <c r="A11" s="1067"/>
      <c r="B11" s="329" t="s">
        <v>2156</v>
      </c>
    </row>
    <row r="12" spans="1:2" x14ac:dyDescent="0.2">
      <c r="A12" s="1067"/>
    </row>
    <row r="13" spans="1:2" x14ac:dyDescent="0.2">
      <c r="A13" s="1067"/>
    </row>
    <row r="14" spans="1:2" x14ac:dyDescent="0.2">
      <c r="A14" s="1067">
        <v>2</v>
      </c>
      <c r="B14" s="1935" t="s">
        <v>2153</v>
      </c>
    </row>
    <row r="15" spans="1:2" x14ac:dyDescent="0.2">
      <c r="A15" s="1067"/>
      <c r="B15" s="329" t="s">
        <v>2158</v>
      </c>
    </row>
    <row r="16" spans="1:2" x14ac:dyDescent="0.2">
      <c r="A16" s="1067"/>
    </row>
    <row r="17" spans="1:2" x14ac:dyDescent="0.2">
      <c r="A17" s="1067"/>
    </row>
    <row r="18" spans="1:2" x14ac:dyDescent="0.2">
      <c r="A18" s="1067"/>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v>3</v>
      </c>
      <c r="B25" s="1935" t="s">
        <v>2154</v>
      </c>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v>4</v>
      </c>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1" x14ac:dyDescent="0.2">
      <c r="A49" s="1068"/>
    </row>
    <row r="50" spans="1:1" x14ac:dyDescent="0.2">
      <c r="A50" s="1068"/>
    </row>
    <row r="51" spans="1:1" x14ac:dyDescent="0.2">
      <c r="A51" s="1068"/>
    </row>
    <row r="52" spans="1:1" x14ac:dyDescent="0.2">
      <c r="A52" s="1068"/>
    </row>
    <row r="53" spans="1:1" x14ac:dyDescent="0.2">
      <c r="A53" s="1068"/>
    </row>
    <row r="54" spans="1:1" x14ac:dyDescent="0.2">
      <c r="A54" s="1068"/>
    </row>
    <row r="55" spans="1:1" x14ac:dyDescent="0.2">
      <c r="A55" s="1068"/>
    </row>
    <row r="56" spans="1:1" x14ac:dyDescent="0.2">
      <c r="A56" s="1068"/>
    </row>
    <row r="57" spans="1:1" x14ac:dyDescent="0.2">
      <c r="A57" s="1068"/>
    </row>
    <row r="58" spans="1:1" x14ac:dyDescent="0.2">
      <c r="A58" s="1068"/>
    </row>
    <row r="59" spans="1:1" x14ac:dyDescent="0.2">
      <c r="A59" s="1068"/>
    </row>
    <row r="60" spans="1:1" x14ac:dyDescent="0.2">
      <c r="A60" s="1068"/>
    </row>
    <row r="61" spans="1:1" x14ac:dyDescent="0.2">
      <c r="A61" s="1068"/>
    </row>
    <row r="62" spans="1:1" x14ac:dyDescent="0.2">
      <c r="A62" s="1068"/>
    </row>
    <row r="63" spans="1:1" x14ac:dyDescent="0.2">
      <c r="A63" s="1068"/>
    </row>
    <row r="64" spans="1:1" x14ac:dyDescent="0.2">
      <c r="A64" s="1068"/>
    </row>
    <row r="65" spans="1:2" x14ac:dyDescent="0.2">
      <c r="A65" s="1068"/>
      <c r="B65" s="258" t="str">
        <f>COVER!A17</f>
        <v>Glenview CCSD 34</v>
      </c>
    </row>
    <row r="66" spans="1:2" x14ac:dyDescent="0.2">
      <c r="B66" s="1069">
        <f>COVER!A13</f>
        <v>5016034004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914400</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3"/>
      <c r="H2" s="1073"/>
    </row>
    <row r="3" spans="1:8" ht="57" customHeight="1" x14ac:dyDescent="0.2">
      <c r="A3" s="2349" t="s">
        <v>1686</v>
      </c>
      <c r="B3" s="2350"/>
      <c r="C3" s="2350"/>
      <c r="D3" s="2350"/>
      <c r="E3" s="2350"/>
      <c r="F3" s="2351"/>
      <c r="G3" s="1073"/>
      <c r="H3" s="1073"/>
    </row>
    <row r="4" spans="1:8" ht="14.25" customHeight="1" x14ac:dyDescent="0.2">
      <c r="A4" s="2355" t="s">
        <v>1985</v>
      </c>
      <c r="B4" s="2356"/>
      <c r="C4" s="2356"/>
      <c r="D4" s="2356"/>
      <c r="E4" s="2356"/>
      <c r="F4" s="2357"/>
      <c r="G4" s="1073"/>
      <c r="H4" s="1073"/>
    </row>
    <row r="5" spans="1:8" ht="14.25" customHeight="1" x14ac:dyDescent="0.2">
      <c r="A5" s="2358" t="s">
        <v>1981</v>
      </c>
      <c r="B5" s="2359"/>
      <c r="C5" s="2359"/>
      <c r="D5" s="2359"/>
      <c r="E5" s="2359"/>
      <c r="F5" s="2360"/>
      <c r="G5" s="1073"/>
      <c r="H5" s="1073"/>
    </row>
    <row r="6" spans="1:8" s="1074" customFormat="1" ht="41.25" customHeight="1" x14ac:dyDescent="0.2">
      <c r="A6" s="2352" t="s">
        <v>1691</v>
      </c>
      <c r="B6" s="2353"/>
      <c r="C6" s="2353"/>
      <c r="D6" s="2353"/>
      <c r="E6" s="2353"/>
      <c r="F6" s="2354"/>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2">
        <f>'Acct Summary 7-8'!C8</f>
        <v>58024540</v>
      </c>
      <c r="C8" s="1812">
        <f>'Acct Summary 7-8'!D8</f>
        <v>4813251</v>
      </c>
      <c r="D8" s="1812">
        <f>'Acct Summary 7-8'!F8</f>
        <v>4888917</v>
      </c>
      <c r="E8" s="1812">
        <f>'Acct Summary 7-8'!I8</f>
        <v>34287</v>
      </c>
      <c r="F8" s="1812">
        <f>SUM(B8:E8)</f>
        <v>67760995</v>
      </c>
    </row>
    <row r="9" spans="1:8" s="1078" customFormat="1" ht="14.25" customHeight="1" thickBot="1" x14ac:dyDescent="0.25">
      <c r="A9" s="1077" t="s">
        <v>1369</v>
      </c>
      <c r="B9" s="1813">
        <f>'Acct Summary 7-8'!C17</f>
        <v>57868798</v>
      </c>
      <c r="C9" s="1813">
        <f>'Acct Summary 7-8'!D17</f>
        <v>4389767</v>
      </c>
      <c r="D9" s="1813">
        <f>'Acct Summary 7-8'!F17</f>
        <v>3709079</v>
      </c>
      <c r="E9" s="1812"/>
      <c r="F9" s="1812">
        <f>SUM(B9:E9)</f>
        <v>65967644</v>
      </c>
    </row>
    <row r="10" spans="1:8" s="1078" customFormat="1" ht="14.25" thickTop="1" thickBot="1" x14ac:dyDescent="0.25">
      <c r="A10" s="1079" t="s">
        <v>1370</v>
      </c>
      <c r="B10" s="1814">
        <f>(B8-B9)</f>
        <v>155742</v>
      </c>
      <c r="C10" s="1814">
        <f>(C8-C9)</f>
        <v>423484</v>
      </c>
      <c r="D10" s="1814">
        <f>(D8-D9)</f>
        <v>1179838</v>
      </c>
      <c r="E10" s="1813">
        <f>(E8-E9)</f>
        <v>34287</v>
      </c>
      <c r="F10" s="1815">
        <f>SUM(F8-F9)</f>
        <v>1793351</v>
      </c>
    </row>
    <row r="11" spans="1:8" s="1078" customFormat="1" ht="14.25" thickTop="1" thickBot="1" x14ac:dyDescent="0.25">
      <c r="A11" s="1080" t="s">
        <v>1982</v>
      </c>
      <c r="B11" s="1816">
        <f>'Acct Summary 7-8'!C81</f>
        <v>41695664</v>
      </c>
      <c r="C11" s="1816">
        <f>'Acct Summary 7-8'!D81</f>
        <v>3292781</v>
      </c>
      <c r="D11" s="1816">
        <f>'Acct Summary 7-8'!F81</f>
        <v>3453770</v>
      </c>
      <c r="E11" s="1816">
        <f>'Acct Summary 7-8'!I81</f>
        <v>1976512</v>
      </c>
      <c r="F11" s="1817">
        <f>SUM(B11:E11)</f>
        <v>50418727</v>
      </c>
    </row>
    <row r="12" spans="1:8" ht="16.5" customHeight="1" thickTop="1" x14ac:dyDescent="0.2">
      <c r="A12" s="1081"/>
      <c r="B12" s="1082"/>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3"/>
      <c r="B13" s="1084"/>
      <c r="C13" s="2340"/>
      <c r="D13" s="2341"/>
      <c r="E13" s="2341"/>
      <c r="F13" s="2342"/>
      <c r="H13" s="1073"/>
    </row>
    <row r="14" spans="1:8" ht="19.5" customHeight="1" x14ac:dyDescent="0.2">
      <c r="A14" s="1083"/>
      <c r="B14" s="1084"/>
      <c r="C14" s="2340"/>
      <c r="D14" s="2341"/>
      <c r="E14" s="2341"/>
      <c r="F14" s="2342"/>
      <c r="H14" s="1073"/>
    </row>
    <row r="15" spans="1:8" ht="17.25" customHeight="1" x14ac:dyDescent="0.2">
      <c r="A15" s="1083"/>
      <c r="B15" s="1084"/>
      <c r="C15" s="2343"/>
      <c r="D15" s="2344"/>
      <c r="E15" s="2344"/>
      <c r="F15" s="2345"/>
      <c r="H15" s="1073"/>
    </row>
    <row r="16" spans="1:8" s="310" customFormat="1" ht="51.75" hidden="1" customHeight="1" x14ac:dyDescent="0.2">
      <c r="A16" s="2339" t="s">
        <v>1687</v>
      </c>
      <c r="B16" s="2339"/>
      <c r="C16" s="2339"/>
      <c r="D16" s="2339"/>
      <c r="E16" s="2339"/>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G8" sqref="G8"/>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4"/>
      <c r="B2" s="1895"/>
      <c r="C2" s="1896"/>
      <c r="D2" s="1897"/>
    </row>
    <row r="3" spans="1:4" ht="36" customHeight="1" x14ac:dyDescent="0.2">
      <c r="A3" s="2361" t="s">
        <v>665</v>
      </c>
      <c r="B3" s="2362"/>
      <c r="C3" s="2362"/>
      <c r="D3" s="2363"/>
    </row>
    <row r="4" spans="1:4" x14ac:dyDescent="0.2">
      <c r="A4" s="1151" t="s">
        <v>1692</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2" t="s">
        <v>1504</v>
      </c>
      <c r="D7" s="2373"/>
    </row>
    <row r="8" spans="1:4" s="668" customFormat="1" ht="12.75" x14ac:dyDescent="0.2">
      <c r="A8" s="1137"/>
      <c r="B8" s="1092"/>
      <c r="C8" s="1095" t="s">
        <v>1503</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6" t="s">
        <v>314</v>
      </c>
      <c r="D21" s="2377"/>
    </row>
    <row r="22" spans="1:10" ht="12.75" x14ac:dyDescent="0.2">
      <c r="A22" s="1138"/>
      <c r="B22" s="1139">
        <v>2</v>
      </c>
      <c r="C22" s="2374" t="s">
        <v>1524</v>
      </c>
      <c r="D22" s="2375"/>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8" t="s">
        <v>536</v>
      </c>
      <c r="D43" s="2379"/>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0" t="s">
        <v>784</v>
      </c>
      <c r="D56" s="2371"/>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370" t="s">
        <v>1696</v>
      </c>
      <c r="D70" s="2371"/>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5016034004</v>
      </c>
    </row>
    <row r="3" spans="1:2" x14ac:dyDescent="0.2">
      <c r="A3" t="s">
        <v>956</v>
      </c>
      <c r="B3" s="138" t="str">
        <f>COVER!A15</f>
        <v>COOK</v>
      </c>
    </row>
    <row r="4" spans="1:2" x14ac:dyDescent="0.2">
      <c r="A4" t="s">
        <v>1007</v>
      </c>
      <c r="B4" s="138" t="str">
        <f>COVER!A17</f>
        <v>Glenview CCSD 34</v>
      </c>
    </row>
    <row r="5" spans="1:2" x14ac:dyDescent="0.2">
      <c r="A5" t="s">
        <v>704</v>
      </c>
      <c r="B5" s="138" t="str">
        <f>COVER!A38</f>
        <v>Dr. Dane Delli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John D. Aceto, Jr., CPA</v>
      </c>
    </row>
    <row r="18" spans="1:2" x14ac:dyDescent="0.2">
      <c r="A18" t="s">
        <v>1150</v>
      </c>
      <c r="B18" s="138" t="str">
        <f>COVER!T17</f>
        <v>2122 Yeoman Street</v>
      </c>
    </row>
    <row r="19" spans="1:2" x14ac:dyDescent="0.2">
      <c r="A19" t="s">
        <v>886</v>
      </c>
      <c r="B19" s="138">
        <f>COVER!T25</f>
        <v>0</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41872633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176969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176969</v>
      </c>
      <c r="C91" s="2" t="s">
        <v>573</v>
      </c>
      <c r="D91" s="2" t="str">
        <f t="shared" si="0"/>
        <v>Error?</v>
      </c>
    </row>
    <row r="92" spans="1:4" x14ac:dyDescent="0.2">
      <c r="A92" s="5">
        <v>31</v>
      </c>
      <c r="B92" s="138">
        <f>'Assets-Liab 5-6'!C39</f>
        <v>41695664</v>
      </c>
      <c r="D92" s="2" t="str">
        <f t="shared" si="0"/>
        <v>Error?</v>
      </c>
    </row>
    <row r="93" spans="1:4" x14ac:dyDescent="0.2">
      <c r="A93" s="5">
        <v>32</v>
      </c>
      <c r="B93" s="138">
        <f>'Assets-Liab 5-6'!C41</f>
        <v>41872633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3295491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2710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2710</v>
      </c>
      <c r="C122" s="2" t="s">
        <v>573</v>
      </c>
      <c r="D122" s="2" t="str">
        <f t="shared" si="0"/>
        <v>Error?</v>
      </c>
    </row>
    <row r="123" spans="1:4" x14ac:dyDescent="0.2">
      <c r="A123" s="5">
        <v>62</v>
      </c>
      <c r="B123" s="138">
        <f>'Assets-Liab 5-6'!D39</f>
        <v>3292781</v>
      </c>
      <c r="D123" s="2" t="str">
        <f t="shared" si="0"/>
        <v>Error?</v>
      </c>
    </row>
    <row r="124" spans="1:4" x14ac:dyDescent="0.2">
      <c r="A124" s="5">
        <v>63</v>
      </c>
      <c r="B124" s="138">
        <f>'Assets-Liab 5-6'!D41</f>
        <v>3295491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1185173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1185173</v>
      </c>
      <c r="D140" s="2" t="str">
        <f t="shared" si="1"/>
        <v>Error?</v>
      </c>
    </row>
    <row r="141" spans="1:4" x14ac:dyDescent="0.2">
      <c r="A141" s="5">
        <v>80</v>
      </c>
      <c r="B141" s="138">
        <f>'Assets-Liab 5-6'!E41</f>
        <v>1185173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3453770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3453770</v>
      </c>
      <c r="D170" s="2" t="str">
        <f t="shared" si="1"/>
        <v>Error?</v>
      </c>
    </row>
    <row r="171" spans="1:4" x14ac:dyDescent="0.2">
      <c r="A171" s="5">
        <v>110</v>
      </c>
      <c r="B171" s="138">
        <f>'Assets-Liab 5-6'!F41</f>
        <v>3453770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1829749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1829749</v>
      </c>
      <c r="D189" s="2" t="str">
        <f t="shared" si="1"/>
        <v>Error?</v>
      </c>
    </row>
    <row r="190" spans="1:4" x14ac:dyDescent="0.2">
      <c r="A190" s="5">
        <v>129</v>
      </c>
      <c r="B190" s="138">
        <f>'Assets-Liab 5-6'!G41</f>
        <v>1829749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9332120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9332120</v>
      </c>
      <c r="D212" s="2" t="str">
        <f t="shared" si="2"/>
        <v>Error?</v>
      </c>
    </row>
    <row r="213" spans="1:4" x14ac:dyDescent="0.2">
      <c r="A213" s="12">
        <v>152</v>
      </c>
      <c r="B213" s="138">
        <f>'Assets-Liab 5-6'!H41</f>
        <v>9332120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194077</v>
      </c>
      <c r="D273" s="2" t="str">
        <f t="shared" si="3"/>
        <v>Error?</v>
      </c>
    </row>
    <row r="274" spans="1:4" x14ac:dyDescent="0.2">
      <c r="A274" s="5">
        <v>213</v>
      </c>
      <c r="B274" s="138">
        <f>'Assets-Liab 5-6'!M17</f>
        <v>108807076</v>
      </c>
      <c r="D274" s="2" t="str">
        <f t="shared" si="3"/>
        <v>Error?</v>
      </c>
    </row>
    <row r="275" spans="1:4" x14ac:dyDescent="0.2">
      <c r="A275" s="5">
        <v>214</v>
      </c>
      <c r="B275" s="138">
        <f>'Assets-Liab 5-6'!M18</f>
        <v>3857706</v>
      </c>
      <c r="D275" s="2" t="str">
        <f t="shared" si="3"/>
        <v>Error?</v>
      </c>
    </row>
    <row r="276" spans="1:4" x14ac:dyDescent="0.2">
      <c r="A276" s="5">
        <v>215</v>
      </c>
      <c r="B276" s="138">
        <f>'Assets-Liab 5-6'!M19</f>
        <v>30926708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143785567</v>
      </c>
      <c r="C279" s="2" t="s">
        <v>573</v>
      </c>
      <c r="D279" s="2" t="str">
        <f t="shared" si="3"/>
        <v>Error?</v>
      </c>
    </row>
    <row r="280" spans="1:4" x14ac:dyDescent="0.2">
      <c r="A280" s="5">
        <v>219</v>
      </c>
      <c r="B280" s="138">
        <f>'Assets-Liab 5-6'!M40</f>
        <v>143785567</v>
      </c>
      <c r="D280" s="2" t="str">
        <f t="shared" si="3"/>
        <v>Error?</v>
      </c>
    </row>
    <row r="281" spans="1:4" x14ac:dyDescent="0.2">
      <c r="A281" s="5">
        <v>220</v>
      </c>
      <c r="B281" s="138">
        <f>'Assets-Liab 5-6'!M41</f>
        <v>143785567</v>
      </c>
      <c r="C281" s="2" t="s">
        <v>573</v>
      </c>
      <c r="D281" s="2" t="str">
        <f t="shared" si="3"/>
        <v>Error?</v>
      </c>
    </row>
    <row r="282" spans="1:4" x14ac:dyDescent="0.2">
      <c r="A282" s="5">
        <v>221</v>
      </c>
      <c r="B282" s="138">
        <f>'Assets-Liab 5-6'!N21</f>
        <v>1185173</v>
      </c>
      <c r="D282" s="2" t="str">
        <f t="shared" si="3"/>
        <v>Error?</v>
      </c>
    </row>
    <row r="283" spans="1:4" x14ac:dyDescent="0.2">
      <c r="A283" s="5">
        <v>222</v>
      </c>
      <c r="B283" s="138">
        <f>'Assets-Liab 5-6'!N22</f>
        <v>20119827</v>
      </c>
      <c r="D283" s="2" t="str">
        <f t="shared" si="3"/>
        <v>Error?</v>
      </c>
    </row>
    <row r="284" spans="1:4" x14ac:dyDescent="0.2">
      <c r="A284" s="5">
        <v>223</v>
      </c>
      <c r="B284" s="138">
        <f>'Assets-Liab 5-6'!N23</f>
        <v>21305000</v>
      </c>
      <c r="C284" s="2" t="s">
        <v>573</v>
      </c>
      <c r="D284" s="2" t="str">
        <f t="shared" si="3"/>
        <v>Error?</v>
      </c>
    </row>
    <row r="285" spans="1:4" x14ac:dyDescent="0.2">
      <c r="A285" s="5">
        <v>224</v>
      </c>
      <c r="B285" s="138">
        <f>'Assets-Liab 5-6'!N36</f>
        <v>21305000</v>
      </c>
      <c r="D285" s="2" t="str">
        <f t="shared" si="3"/>
        <v>Error?</v>
      </c>
    </row>
    <row r="286" spans="1:4" x14ac:dyDescent="0.2">
      <c r="A286" s="10">
        <v>225</v>
      </c>
      <c r="D286" s="2" t="str">
        <f t="shared" si="3"/>
        <v>OK</v>
      </c>
    </row>
    <row r="287" spans="1:4" x14ac:dyDescent="0.2">
      <c r="A287" s="5">
        <v>226</v>
      </c>
      <c r="B287" s="138">
        <f>'Assets-Liab 5-6'!N37</f>
        <v>21305000</v>
      </c>
      <c r="C287" s="2" t="s">
        <v>573</v>
      </c>
      <c r="D287" s="2" t="str">
        <f t="shared" si="3"/>
        <v>Error?</v>
      </c>
    </row>
    <row r="288" spans="1:4" x14ac:dyDescent="0.2">
      <c r="A288" s="5">
        <v>227</v>
      </c>
      <c r="B288" s="138">
        <f>'Assets-Liab 5-6'!N41</f>
        <v>21305000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9025000</v>
      </c>
      <c r="D651" s="2" t="str">
        <f t="shared" si="9"/>
        <v>Error?</v>
      </c>
    </row>
    <row r="652" spans="1:4" x14ac:dyDescent="0.2">
      <c r="A652" s="5">
        <v>591</v>
      </c>
      <c r="B652" s="138">
        <f>'Acct Summary 7-8'!I34</f>
        <v>782076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19865059</v>
      </c>
      <c r="D705" s="2" t="str">
        <f t="shared" si="10"/>
        <v>Error?</v>
      </c>
    </row>
    <row r="706" spans="1:4" x14ac:dyDescent="0.2">
      <c r="A706" s="5">
        <v>645</v>
      </c>
      <c r="B706" s="138">
        <f>'Expenditures 15-22'!C16</f>
        <v>773151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2777932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50</v>
      </c>
      <c r="D718" s="2" t="str">
        <f t="shared" si="10"/>
        <v>Error?</v>
      </c>
    </row>
    <row r="719" spans="1:4" x14ac:dyDescent="0.2">
      <c r="A719" s="5">
        <v>658</v>
      </c>
      <c r="B719" s="138">
        <f>'Expenditures 15-22'!C15</f>
        <v>206545</v>
      </c>
      <c r="D719" s="2" t="str">
        <f t="shared" si="10"/>
        <v>Error?</v>
      </c>
    </row>
    <row r="720" spans="1:4" x14ac:dyDescent="0.2">
      <c r="A720" s="5">
        <v>659</v>
      </c>
      <c r="B720" s="138">
        <f>'Expenditures 15-22'!C33</f>
        <v>28882597</v>
      </c>
      <c r="C720" s="2" t="s">
        <v>573</v>
      </c>
      <c r="D720" s="2" t="str">
        <f t="shared" si="10"/>
        <v>Error?</v>
      </c>
    </row>
    <row r="721" spans="1:4" x14ac:dyDescent="0.2">
      <c r="A721" s="5">
        <v>660</v>
      </c>
      <c r="B721" s="138">
        <f>'Expenditures 15-22'!C36</f>
        <v>1770836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453123</v>
      </c>
      <c r="D723" s="2" t="str">
        <f t="shared" si="10"/>
        <v>Error?</v>
      </c>
    </row>
    <row r="724" spans="1:4" x14ac:dyDescent="0.2">
      <c r="A724" s="5">
        <v>663</v>
      </c>
      <c r="B724" s="138">
        <f>'Expenditures 15-22'!C39</f>
        <v>663393</v>
      </c>
      <c r="D724" s="2" t="str">
        <f t="shared" si="10"/>
        <v>Error?</v>
      </c>
    </row>
    <row r="725" spans="1:4" x14ac:dyDescent="0.2">
      <c r="A725" s="5">
        <v>664</v>
      </c>
      <c r="B725" s="138">
        <f>'Expenditures 15-22'!C40</f>
        <v>1581742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4469094</v>
      </c>
      <c r="C727" s="2" t="s">
        <v>573</v>
      </c>
      <c r="D727" s="2" t="str">
        <f t="shared" si="10"/>
        <v>Error?</v>
      </c>
    </row>
    <row r="728" spans="1:4" x14ac:dyDescent="0.2">
      <c r="A728" s="5">
        <v>667</v>
      </c>
      <c r="B728" s="138">
        <f>'Expenditures 15-22'!C44</f>
        <v>983691</v>
      </c>
      <c r="D728" s="2" t="str">
        <f t="shared" si="10"/>
        <v>Error?</v>
      </c>
    </row>
    <row r="729" spans="1:4" x14ac:dyDescent="0.2">
      <c r="A729" s="5">
        <v>668</v>
      </c>
      <c r="B729" s="138">
        <f>'Expenditures 15-22'!C45</f>
        <v>2184962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3168653</v>
      </c>
      <c r="C731" s="2" t="s">
        <v>573</v>
      </c>
      <c r="D731" s="2" t="str">
        <f t="shared" si="10"/>
        <v>Error?</v>
      </c>
    </row>
    <row r="732" spans="1:4" x14ac:dyDescent="0.2">
      <c r="A732" s="5">
        <v>671</v>
      </c>
      <c r="B732" s="138">
        <f>'Expenditures 15-22'!C49</f>
        <v>42000</v>
      </c>
      <c r="D732" s="2" t="str">
        <f t="shared" si="10"/>
        <v>Error?</v>
      </c>
    </row>
    <row r="733" spans="1:4" x14ac:dyDescent="0.2">
      <c r="A733" s="5">
        <v>672</v>
      </c>
      <c r="B733" s="138">
        <f>'Expenditures 15-22'!C50</f>
        <v>388606</v>
      </c>
      <c r="D733" s="2" t="str">
        <f t="shared" si="10"/>
        <v>Error?</v>
      </c>
    </row>
    <row r="734" spans="1:4" x14ac:dyDescent="0.2">
      <c r="A734" s="5">
        <v>673</v>
      </c>
      <c r="B734" s="138">
        <f>'Expenditures 15-22'!C53</f>
        <v>437879</v>
      </c>
      <c r="C734" s="2" t="s">
        <v>573</v>
      </c>
      <c r="D734" s="2" t="str">
        <f t="shared" si="10"/>
        <v>Error?</v>
      </c>
    </row>
    <row r="735" spans="1:4" x14ac:dyDescent="0.2">
      <c r="A735" s="5">
        <v>674</v>
      </c>
      <c r="B735" s="138">
        <f>'Expenditures 15-22'!C55</f>
        <v>2103627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2103627</v>
      </c>
      <c r="C737" s="2" t="s">
        <v>573</v>
      </c>
      <c r="D737" s="2" t="str">
        <f t="shared" si="10"/>
        <v>Error?</v>
      </c>
    </row>
    <row r="738" spans="1:4" x14ac:dyDescent="0.2">
      <c r="A738" s="5">
        <v>677</v>
      </c>
      <c r="B738" s="138">
        <f>'Expenditures 15-22'!C59</f>
        <v>195797</v>
      </c>
      <c r="D738" s="2" t="str">
        <f t="shared" si="10"/>
        <v>Error?</v>
      </c>
    </row>
    <row r="739" spans="1:4" x14ac:dyDescent="0.2">
      <c r="A739" s="5">
        <v>678</v>
      </c>
      <c r="B739" s="138">
        <f>'Expenditures 15-22'!C60</f>
        <v>344906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618819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1159522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139594</v>
      </c>
      <c r="D748" s="2" t="str">
        <f t="shared" si="10"/>
        <v>Error?</v>
      </c>
    </row>
    <row r="749" spans="1:4" x14ac:dyDescent="0.2">
      <c r="A749" s="5">
        <v>688</v>
      </c>
      <c r="B749" s="138">
        <f>'Expenditures 15-22'!C70</f>
        <v>349810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489404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11828179</v>
      </c>
      <c r="C755" s="2" t="s">
        <v>573</v>
      </c>
      <c r="D755" s="2" t="str">
        <f t="shared" si="10"/>
        <v>Error?</v>
      </c>
    </row>
    <row r="756" spans="1:4" x14ac:dyDescent="0.2">
      <c r="A756" s="5">
        <v>695</v>
      </c>
      <c r="B756" s="138">
        <f>'Expenditures 15-22'!C75</f>
        <v>6586</v>
      </c>
      <c r="D756" s="2" t="str">
        <f t="shared" si="10"/>
        <v>Error?</v>
      </c>
    </row>
    <row r="757" spans="1:4" x14ac:dyDescent="0.2">
      <c r="A757" s="5">
        <v>696</v>
      </c>
      <c r="B757" s="138">
        <f>'Expenditures 15-22'!C114</f>
        <v>40717362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3550162</v>
      </c>
      <c r="D763" s="2" t="str">
        <f t="shared" si="10"/>
        <v>Error?</v>
      </c>
    </row>
    <row r="764" spans="1:4" x14ac:dyDescent="0.2">
      <c r="A764" s="5">
        <v>703</v>
      </c>
      <c r="B764" s="138">
        <f>'Expenditures 15-22'!D16</f>
        <v>105793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456010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v>
      </c>
      <c r="D776" s="2" t="str">
        <f t="shared" si="11"/>
        <v>Error?</v>
      </c>
    </row>
    <row r="777" spans="1:4" x14ac:dyDescent="0.2">
      <c r="A777" s="5">
        <v>716</v>
      </c>
      <c r="B777" s="138">
        <f>'Expenditures 15-22'!D15</f>
        <v>2194</v>
      </c>
      <c r="D777" s="2" t="str">
        <f t="shared" si="11"/>
        <v>Error?</v>
      </c>
    </row>
    <row r="778" spans="1:4" x14ac:dyDescent="0.2">
      <c r="A778" s="5">
        <v>717</v>
      </c>
      <c r="B778" s="138">
        <f>'Expenditures 15-22'!D33</f>
        <v>5349816</v>
      </c>
      <c r="C778" s="2" t="s">
        <v>573</v>
      </c>
      <c r="D778" s="2" t="str">
        <f t="shared" si="11"/>
        <v>Error?</v>
      </c>
    </row>
    <row r="779" spans="1:4" x14ac:dyDescent="0.2">
      <c r="A779" s="5">
        <v>718</v>
      </c>
      <c r="B779" s="138">
        <f>'Expenditures 15-22'!D36</f>
        <v>291040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97090</v>
      </c>
      <c r="D781" s="2" t="str">
        <f t="shared" si="11"/>
        <v>Error?</v>
      </c>
    </row>
    <row r="782" spans="1:4" x14ac:dyDescent="0.2">
      <c r="A782" s="5">
        <v>721</v>
      </c>
      <c r="B782" s="138">
        <f>'Expenditures 15-22'!D39</f>
        <v>92129</v>
      </c>
      <c r="D782" s="2" t="str">
        <f t="shared" si="11"/>
        <v>Error?</v>
      </c>
    </row>
    <row r="783" spans="1:4" x14ac:dyDescent="0.2">
      <c r="A783" s="5">
        <v>722</v>
      </c>
      <c r="B783" s="138">
        <f>'Expenditures 15-22'!D40</f>
        <v>205458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685717</v>
      </c>
      <c r="C785" s="2" t="s">
        <v>573</v>
      </c>
      <c r="D785" s="2" t="str">
        <f t="shared" si="11"/>
        <v>Error?</v>
      </c>
    </row>
    <row r="786" spans="1:4" x14ac:dyDescent="0.2">
      <c r="A786" s="5">
        <v>725</v>
      </c>
      <c r="B786" s="138">
        <f>'Expenditures 15-22'!D44</f>
        <v>113426</v>
      </c>
      <c r="D786" s="2" t="str">
        <f t="shared" si="11"/>
        <v>Error?</v>
      </c>
    </row>
    <row r="787" spans="1:4" x14ac:dyDescent="0.2">
      <c r="A787" s="5">
        <v>726</v>
      </c>
      <c r="B787" s="138">
        <f>'Expenditures 15-22'!D45</f>
        <v>317340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430766</v>
      </c>
      <c r="C789" s="2" t="s">
        <v>573</v>
      </c>
      <c r="D789" s="2" t="str">
        <f t="shared" si="11"/>
        <v>Error?</v>
      </c>
    </row>
    <row r="790" spans="1:4" x14ac:dyDescent="0.2">
      <c r="A790" s="5">
        <v>729</v>
      </c>
      <c r="B790" s="138">
        <f>'Expenditures 15-22'!D49</f>
        <v>270</v>
      </c>
      <c r="D790" s="2" t="str">
        <f t="shared" si="11"/>
        <v>Error?</v>
      </c>
    </row>
    <row r="791" spans="1:4" x14ac:dyDescent="0.2">
      <c r="A791" s="5">
        <v>730</v>
      </c>
      <c r="B791" s="138">
        <f>'Expenditures 15-22'!D50</f>
        <v>97287</v>
      </c>
      <c r="D791" s="2" t="str">
        <f t="shared" si="11"/>
        <v>Error?</v>
      </c>
    </row>
    <row r="792" spans="1:4" x14ac:dyDescent="0.2">
      <c r="A792" s="5">
        <v>731</v>
      </c>
      <c r="B792" s="138">
        <f>'Expenditures 15-22'!D53</f>
        <v>97557</v>
      </c>
      <c r="C792" s="2" t="s">
        <v>573</v>
      </c>
      <c r="D792" s="2" t="str">
        <f t="shared" si="11"/>
        <v>Error?</v>
      </c>
    </row>
    <row r="793" spans="1:4" x14ac:dyDescent="0.2">
      <c r="A793" s="5">
        <v>732</v>
      </c>
      <c r="B793" s="138">
        <f>'Expenditures 15-22'!D55</f>
        <v>471048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471048</v>
      </c>
      <c r="C795" s="2" t="s">
        <v>573</v>
      </c>
      <c r="D795" s="2" t="str">
        <f t="shared" si="11"/>
        <v>Error?</v>
      </c>
    </row>
    <row r="796" spans="1:4" x14ac:dyDescent="0.2">
      <c r="A796" s="5">
        <v>735</v>
      </c>
      <c r="B796" s="138">
        <f>'Expenditures 15-22'!D59</f>
        <v>47124</v>
      </c>
      <c r="D796" s="2" t="str">
        <f t="shared" si="11"/>
        <v>Error?</v>
      </c>
    </row>
    <row r="797" spans="1:4" x14ac:dyDescent="0.2">
      <c r="A797" s="5">
        <v>736</v>
      </c>
      <c r="B797" s="138">
        <f>'Expenditures 15-22'!D60</f>
        <v>33289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205852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286265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37324</v>
      </c>
      <c r="D806" s="2" t="str">
        <f t="shared" si="11"/>
        <v>Error?</v>
      </c>
    </row>
    <row r="807" spans="1:4" x14ac:dyDescent="0.2">
      <c r="A807" s="5">
        <v>746</v>
      </c>
      <c r="B807" s="138">
        <f>'Expenditures 15-22'!D70</f>
        <v>39377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76701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2048054</v>
      </c>
      <c r="C813" s="2" t="s">
        <v>573</v>
      </c>
      <c r="D813" s="2" t="str">
        <f t="shared" si="11"/>
        <v>Error?</v>
      </c>
    </row>
    <row r="814" spans="1:4" x14ac:dyDescent="0.2">
      <c r="A814" s="5">
        <v>753</v>
      </c>
      <c r="B814" s="138">
        <f>'Expenditures 15-22'!D75</f>
        <v>80</v>
      </c>
      <c r="D814" s="2" t="str">
        <f t="shared" si="11"/>
        <v>Error?</v>
      </c>
    </row>
    <row r="815" spans="1:4" x14ac:dyDescent="0.2">
      <c r="A815" s="5">
        <v>754</v>
      </c>
      <c r="B815" s="138">
        <f>'Expenditures 15-22'!D114</f>
        <v>7397950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222615</v>
      </c>
      <c r="D821" s="2" t="str">
        <f t="shared" si="11"/>
        <v>Error?</v>
      </c>
    </row>
    <row r="822" spans="1:4" x14ac:dyDescent="0.2">
      <c r="A822" s="5">
        <v>761</v>
      </c>
      <c r="B822" s="138">
        <f>'Expenditures 15-22'!E16</f>
        <v>19926</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18918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8951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1315112</v>
      </c>
      <c r="C836" s="2" t="s">
        <v>573</v>
      </c>
      <c r="D836" s="2" t="str">
        <f t="shared" si="12"/>
        <v>Error?</v>
      </c>
    </row>
    <row r="837" spans="1:4" x14ac:dyDescent="0.2">
      <c r="A837" s="5">
        <v>776</v>
      </c>
      <c r="B837" s="138">
        <f>'Expenditures 15-22'!E36</f>
        <v>200</v>
      </c>
      <c r="D837" s="2" t="str">
        <f t="shared" si="12"/>
        <v>Error?</v>
      </c>
    </row>
    <row r="838" spans="1:4" x14ac:dyDescent="0.2">
      <c r="A838" s="5">
        <v>777</v>
      </c>
      <c r="B838" s="138">
        <f>'Expenditures 15-22'!E37</f>
        <v>1362</v>
      </c>
      <c r="D838" s="2" t="str">
        <f t="shared" si="12"/>
        <v>Error?</v>
      </c>
    </row>
    <row r="839" spans="1:4" x14ac:dyDescent="0.2">
      <c r="A839" s="5">
        <v>778</v>
      </c>
      <c r="B839" s="138">
        <f>'Expenditures 15-22'!E38</f>
        <v>2003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9533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13098</v>
      </c>
      <c r="C843" s="2" t="s">
        <v>573</v>
      </c>
      <c r="D843" s="2" t="str">
        <f t="shared" si="12"/>
        <v>Error?</v>
      </c>
    </row>
    <row r="844" spans="1:4" x14ac:dyDescent="0.2">
      <c r="A844" s="5">
        <v>783</v>
      </c>
      <c r="B844" s="138">
        <f>'Expenditures 15-22'!E44</f>
        <v>178181</v>
      </c>
      <c r="D844" s="2" t="str">
        <f t="shared" si="12"/>
        <v>Error?</v>
      </c>
    </row>
    <row r="845" spans="1:4" x14ac:dyDescent="0.2">
      <c r="A845" s="5">
        <v>784</v>
      </c>
      <c r="B845" s="138">
        <f>'Expenditures 15-22'!E45</f>
        <v>177170</v>
      </c>
      <c r="D845" s="2" t="str">
        <f t="shared" si="12"/>
        <v>Error?</v>
      </c>
    </row>
    <row r="846" spans="1:4" x14ac:dyDescent="0.2">
      <c r="A846" s="5">
        <v>785</v>
      </c>
      <c r="B846" s="138">
        <f>'Expenditures 15-22'!E46</f>
        <v>116131</v>
      </c>
      <c r="D846" s="2" t="str">
        <f t="shared" si="12"/>
        <v>Error?</v>
      </c>
    </row>
    <row r="847" spans="1:4" x14ac:dyDescent="0.2">
      <c r="A847" s="5">
        <v>786</v>
      </c>
      <c r="B847" s="138">
        <f>'Expenditures 15-22'!E47</f>
        <v>471482</v>
      </c>
      <c r="C847" s="2" t="s">
        <v>573</v>
      </c>
      <c r="D847" s="2" t="str">
        <f t="shared" si="12"/>
        <v>Error?</v>
      </c>
    </row>
    <row r="848" spans="1:4" x14ac:dyDescent="0.2">
      <c r="A848" s="5">
        <v>787</v>
      </c>
      <c r="B848" s="138">
        <f>'Expenditures 15-22'!E49</f>
        <v>299501</v>
      </c>
      <c r="D848" s="2" t="str">
        <f t="shared" si="12"/>
        <v>Error?</v>
      </c>
    </row>
    <row r="849" spans="1:4" x14ac:dyDescent="0.2">
      <c r="A849" s="5">
        <v>788</v>
      </c>
      <c r="B849" s="138">
        <f>'Expenditures 15-22'!E50</f>
        <v>8897</v>
      </c>
      <c r="D849" s="2" t="str">
        <f t="shared" si="12"/>
        <v>Error?</v>
      </c>
    </row>
    <row r="850" spans="1:4" x14ac:dyDescent="0.2">
      <c r="A850" s="5">
        <v>789</v>
      </c>
      <c r="B850" s="138">
        <f>'Expenditures 15-22'!E53</f>
        <v>308698</v>
      </c>
      <c r="C850" s="2" t="s">
        <v>573</v>
      </c>
      <c r="D850" s="2" t="str">
        <f t="shared" si="12"/>
        <v>Error?</v>
      </c>
    </row>
    <row r="851" spans="1:4" x14ac:dyDescent="0.2">
      <c r="A851" s="5">
        <v>790</v>
      </c>
      <c r="B851" s="138">
        <f>'Expenditures 15-22'!E55</f>
        <v>1628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1628</v>
      </c>
      <c r="C853" s="2" t="s">
        <v>573</v>
      </c>
      <c r="D853" s="2" t="str">
        <f t="shared" si="12"/>
        <v>Error?</v>
      </c>
    </row>
    <row r="854" spans="1:4" x14ac:dyDescent="0.2">
      <c r="A854" s="5">
        <v>793</v>
      </c>
      <c r="B854" s="138">
        <f>'Expenditures 15-22'!E59</f>
        <v>20627</v>
      </c>
      <c r="D854" s="2" t="str">
        <f t="shared" si="12"/>
        <v>Error?</v>
      </c>
    </row>
    <row r="855" spans="1:4" x14ac:dyDescent="0.2">
      <c r="A855" s="5">
        <v>794</v>
      </c>
      <c r="B855" s="138">
        <f>'Expenditures 15-22'!E60</f>
        <v>34007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25402</v>
      </c>
      <c r="D857" s="2" t="str">
        <f t="shared" si="12"/>
        <v>Error?</v>
      </c>
    </row>
    <row r="858" spans="1:4" x14ac:dyDescent="0.2">
      <c r="A858" s="5">
        <v>797</v>
      </c>
      <c r="B858" s="138">
        <f>'Expenditures 15-22'!E63</f>
        <v>89381</v>
      </c>
      <c r="D858" s="2" t="str">
        <f t="shared" si="12"/>
        <v>Error?</v>
      </c>
    </row>
    <row r="859" spans="1:4" x14ac:dyDescent="0.2">
      <c r="A859" s="5">
        <v>798</v>
      </c>
      <c r="B859" s="138">
        <f>'Expenditures 15-22'!E64</f>
        <v>150875</v>
      </c>
      <c r="D859" s="2" t="str">
        <f t="shared" si="12"/>
        <v>Error?</v>
      </c>
    </row>
    <row r="860" spans="1:4" x14ac:dyDescent="0.2">
      <c r="A860" s="10">
        <v>799</v>
      </c>
      <c r="D860" s="2" t="str">
        <f t="shared" si="12"/>
        <v>OK</v>
      </c>
    </row>
    <row r="861" spans="1:4" x14ac:dyDescent="0.2">
      <c r="A861" s="5">
        <v>800</v>
      </c>
      <c r="B861" s="138">
        <f>'Expenditures 15-22'!E65</f>
        <v>320292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42227</v>
      </c>
      <c r="D864" s="2" t="str">
        <f t="shared" si="12"/>
        <v>Error?</v>
      </c>
    </row>
    <row r="865" spans="1:4" x14ac:dyDescent="0.2">
      <c r="A865" s="5">
        <v>804</v>
      </c>
      <c r="B865" s="138">
        <f>'Expenditures 15-22'!E70</f>
        <v>132113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174340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1289538</v>
      </c>
      <c r="C871" s="2" t="s">
        <v>573</v>
      </c>
      <c r="D871" s="2" t="str">
        <f t="shared" si="12"/>
        <v>Error?</v>
      </c>
    </row>
    <row r="872" spans="1:4" x14ac:dyDescent="0.2">
      <c r="A872" s="5">
        <v>811</v>
      </c>
      <c r="B872" s="138">
        <f>'Expenditures 15-22'!E75</f>
        <v>4629</v>
      </c>
      <c r="D872" s="2" t="str">
        <f t="shared" si="12"/>
        <v>Error?</v>
      </c>
    </row>
    <row r="873" spans="1:4" x14ac:dyDescent="0.2">
      <c r="A873" s="5">
        <v>812</v>
      </c>
      <c r="B873" s="138">
        <f>'Expenditures 15-22'!E114</f>
        <v>3475640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916193</v>
      </c>
      <c r="D879" s="2" t="str">
        <f t="shared" si="12"/>
        <v>Error?</v>
      </c>
    </row>
    <row r="880" spans="1:4" x14ac:dyDescent="0.2">
      <c r="A880" s="5">
        <v>819</v>
      </c>
      <c r="B880" s="138">
        <f>'Expenditures 15-22'!F16</f>
        <v>4664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18332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463</v>
      </c>
      <c r="D892" s="2" t="str">
        <f t="shared" si="12"/>
        <v>Error?</v>
      </c>
    </row>
    <row r="893" spans="1:4" x14ac:dyDescent="0.2">
      <c r="A893" s="5">
        <v>832</v>
      </c>
      <c r="B893" s="138">
        <f>'Expenditures 15-22'!F15</f>
        <v>2961</v>
      </c>
      <c r="D893" s="2" t="str">
        <f t="shared" si="12"/>
        <v>Error?</v>
      </c>
    </row>
    <row r="894" spans="1:4" x14ac:dyDescent="0.2">
      <c r="A894" s="5">
        <v>833</v>
      </c>
      <c r="B894" s="138">
        <f>'Expenditures 15-22'!F33</f>
        <v>1099567</v>
      </c>
      <c r="C894" s="2" t="s">
        <v>573</v>
      </c>
      <c r="D894" s="2" t="str">
        <f t="shared" si="12"/>
        <v>Error?</v>
      </c>
    </row>
    <row r="895" spans="1:4" x14ac:dyDescent="0.2">
      <c r="A895" s="5">
        <v>834</v>
      </c>
      <c r="B895" s="138">
        <f>'Expenditures 15-22'!F36</f>
        <v>3190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8598</v>
      </c>
      <c r="D897" s="2" t="str">
        <f t="shared" si="13"/>
        <v>Error?</v>
      </c>
    </row>
    <row r="898" spans="1:4" x14ac:dyDescent="0.2">
      <c r="A898" s="5">
        <v>837</v>
      </c>
      <c r="B898" s="138">
        <f>'Expenditures 15-22'!F39</f>
        <v>947</v>
      </c>
      <c r="D898" s="2" t="str">
        <f t="shared" si="13"/>
        <v>Error?</v>
      </c>
    </row>
    <row r="899" spans="1:4" x14ac:dyDescent="0.2">
      <c r="A899" s="5">
        <v>838</v>
      </c>
      <c r="B899" s="138">
        <f>'Expenditures 15-22'!F40</f>
        <v>2159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14894</v>
      </c>
      <c r="C901" s="2" t="s">
        <v>573</v>
      </c>
      <c r="D901" s="2" t="str">
        <f t="shared" si="13"/>
        <v>Error?</v>
      </c>
    </row>
    <row r="902" spans="1:4" x14ac:dyDescent="0.2">
      <c r="A902" s="5">
        <v>841</v>
      </c>
      <c r="B902" s="138">
        <f>'Expenditures 15-22'!F44</f>
        <v>10488</v>
      </c>
      <c r="D902" s="2" t="str">
        <f t="shared" si="13"/>
        <v>Error?</v>
      </c>
    </row>
    <row r="903" spans="1:4" x14ac:dyDescent="0.2">
      <c r="A903" s="5">
        <v>842</v>
      </c>
      <c r="B903" s="138">
        <f>'Expenditures 15-22'!F45</f>
        <v>311276</v>
      </c>
      <c r="D903" s="2" t="str">
        <f t="shared" si="13"/>
        <v>Error?</v>
      </c>
    </row>
    <row r="904" spans="1:4" x14ac:dyDescent="0.2">
      <c r="A904" s="5">
        <v>843</v>
      </c>
      <c r="B904" s="138">
        <f>'Expenditures 15-22'!F46</f>
        <v>6295</v>
      </c>
      <c r="D904" s="2" t="str">
        <f t="shared" si="13"/>
        <v>Error?</v>
      </c>
    </row>
    <row r="905" spans="1:4" x14ac:dyDescent="0.2">
      <c r="A905" s="5">
        <v>844</v>
      </c>
      <c r="B905" s="138">
        <f>'Expenditures 15-22'!F47</f>
        <v>328059</v>
      </c>
      <c r="C905" s="2" t="s">
        <v>573</v>
      </c>
      <c r="D905" s="2" t="str">
        <f t="shared" si="13"/>
        <v>Error?</v>
      </c>
    </row>
    <row r="906" spans="1:4" x14ac:dyDescent="0.2">
      <c r="A906" s="5">
        <v>845</v>
      </c>
      <c r="B906" s="138">
        <f>'Expenditures 15-22'!F49</f>
        <v>158</v>
      </c>
      <c r="D906" s="2" t="str">
        <f t="shared" si="13"/>
        <v>Error?</v>
      </c>
    </row>
    <row r="907" spans="1:4" x14ac:dyDescent="0.2">
      <c r="A907" s="5">
        <v>846</v>
      </c>
      <c r="B907" s="138">
        <f>'Expenditures 15-22'!F50</f>
        <v>882</v>
      </c>
      <c r="D907" s="2" t="str">
        <f t="shared" si="13"/>
        <v>Error?</v>
      </c>
    </row>
    <row r="908" spans="1:4" x14ac:dyDescent="0.2">
      <c r="A908" s="5">
        <v>847</v>
      </c>
      <c r="B908" s="138">
        <f>'Expenditures 15-22'!F53</f>
        <v>1040</v>
      </c>
      <c r="C908" s="2" t="s">
        <v>573</v>
      </c>
      <c r="D908" s="2" t="str">
        <f t="shared" si="13"/>
        <v>Error?</v>
      </c>
    </row>
    <row r="909" spans="1:4" x14ac:dyDescent="0.2">
      <c r="A909" s="5">
        <v>848</v>
      </c>
      <c r="B909" s="138">
        <f>'Expenditures 15-22'!F55</f>
        <v>31033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31033</v>
      </c>
      <c r="C911" s="2" t="s">
        <v>573</v>
      </c>
      <c r="D911" s="2" t="str">
        <f t="shared" si="13"/>
        <v>Error?</v>
      </c>
    </row>
    <row r="912" spans="1:4" x14ac:dyDescent="0.2">
      <c r="A912" s="5">
        <v>851</v>
      </c>
      <c r="B912" s="138">
        <f>'Expenditures 15-22'!F59</f>
        <v>61754</v>
      </c>
      <c r="D912" s="2" t="str">
        <f t="shared" si="13"/>
        <v>Error?</v>
      </c>
    </row>
    <row r="913" spans="1:4" x14ac:dyDescent="0.2">
      <c r="A913" s="5">
        <v>852</v>
      </c>
      <c r="B913" s="138">
        <f>'Expenditures 15-22'!F60</f>
        <v>13307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552884</v>
      </c>
      <c r="D916" s="2" t="str">
        <f t="shared" si="13"/>
        <v>Error?</v>
      </c>
    </row>
    <row r="917" spans="1:4" x14ac:dyDescent="0.2">
      <c r="A917" s="5">
        <v>856</v>
      </c>
      <c r="B917" s="138">
        <f>'Expenditures 15-22'!F64</f>
        <v>457</v>
      </c>
      <c r="D917" s="2" t="str">
        <f t="shared" si="13"/>
        <v>Error?</v>
      </c>
    </row>
    <row r="918" spans="1:4" x14ac:dyDescent="0.2">
      <c r="A918" s="10">
        <v>857</v>
      </c>
      <c r="D918" s="2" t="str">
        <f t="shared" si="13"/>
        <v>OK</v>
      </c>
    </row>
    <row r="919" spans="1:4" x14ac:dyDescent="0.2">
      <c r="A919" s="5">
        <v>858</v>
      </c>
      <c r="B919" s="138">
        <f>'Expenditures 15-22'!F65</f>
        <v>628402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850</v>
      </c>
      <c r="D922" s="2" t="str">
        <f t="shared" si="13"/>
        <v>Error?</v>
      </c>
    </row>
    <row r="923" spans="1:4" x14ac:dyDescent="0.2">
      <c r="A923" s="5">
        <v>862</v>
      </c>
      <c r="B923" s="138">
        <f>'Expenditures 15-22'!F70</f>
        <v>7454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8304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1011732</v>
      </c>
      <c r="C929" s="2" t="s">
        <v>573</v>
      </c>
      <c r="D929" s="2" t="str">
        <f t="shared" si="13"/>
        <v>Error?</v>
      </c>
    </row>
    <row r="930" spans="1:4" x14ac:dyDescent="0.2">
      <c r="A930" s="5">
        <v>869</v>
      </c>
      <c r="B930" s="138">
        <f>'Expenditures 15-22'!F75</f>
        <v>17398</v>
      </c>
      <c r="D930" s="2" t="str">
        <f t="shared" si="13"/>
        <v>Error?</v>
      </c>
    </row>
    <row r="931" spans="1:4" x14ac:dyDescent="0.2">
      <c r="A931" s="5">
        <v>870</v>
      </c>
      <c r="B931" s="138">
        <f>'Expenditures 15-22'!F114</f>
        <v>2128697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60583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120008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946097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946097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1278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1278</v>
      </c>
      <c r="C969" s="2" t="s">
        <v>573</v>
      </c>
      <c r="D969" s="2" t="str">
        <f t="shared" si="14"/>
        <v>Error?</v>
      </c>
    </row>
    <row r="970" spans="1:4" x14ac:dyDescent="0.2">
      <c r="A970" s="5">
        <v>909</v>
      </c>
      <c r="B970" s="138">
        <f>'Expenditures 15-22'!G59</f>
        <v>4699</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11293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15992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963367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1083375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5618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2736264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1154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1154</v>
      </c>
      <c r="C1021" s="2" t="s">
        <v>573</v>
      </c>
      <c r="D1021" s="2" t="str">
        <f t="shared" si="14"/>
        <v>Error?</v>
      </c>
    </row>
    <row r="1022" spans="1:4" x14ac:dyDescent="0.2">
      <c r="A1022" s="5">
        <v>961</v>
      </c>
      <c r="B1022" s="138">
        <f>'Expenditures 15-22'!H49</f>
        <v>25895</v>
      </c>
      <c r="D1022" s="2" t="str">
        <f t="shared" si="14"/>
        <v>Error?</v>
      </c>
    </row>
    <row r="1023" spans="1:4" x14ac:dyDescent="0.2">
      <c r="A1023" s="5">
        <v>962</v>
      </c>
      <c r="B1023" s="138">
        <f>'Expenditures 15-22'!H50</f>
        <v>22513</v>
      </c>
      <c r="D1023" s="2" t="str">
        <f t="shared" ref="D1023:D1086" si="15">IF(ISBLANK(B1023),"OK",IF(A1023-B1023=0,"OK","Error?"))</f>
        <v>Error?</v>
      </c>
    </row>
    <row r="1024" spans="1:4" x14ac:dyDescent="0.2">
      <c r="A1024" s="5">
        <v>963</v>
      </c>
      <c r="B1024" s="138">
        <f>'Expenditures 15-22'!H53</f>
        <v>48408</v>
      </c>
      <c r="C1024" s="2" t="s">
        <v>573</v>
      </c>
      <c r="D1024" s="2" t="str">
        <f t="shared" si="15"/>
        <v>Error?</v>
      </c>
    </row>
    <row r="1025" spans="1:4" x14ac:dyDescent="0.2">
      <c r="A1025" s="5">
        <v>964</v>
      </c>
      <c r="B1025" s="138">
        <f>'Expenditures 15-22'!H55</f>
        <v>9568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9568</v>
      </c>
      <c r="C1027" s="2" t="s">
        <v>573</v>
      </c>
      <c r="D1027" s="2" t="str">
        <f t="shared" si="15"/>
        <v>Error?</v>
      </c>
    </row>
    <row r="1028" spans="1:4" x14ac:dyDescent="0.2">
      <c r="A1028" s="5">
        <v>967</v>
      </c>
      <c r="B1028" s="138">
        <f>'Expenditures 15-22'!H59</f>
        <v>1933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2009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3942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2077</v>
      </c>
      <c r="D1038" s="2" t="str">
        <f t="shared" si="15"/>
        <v>Error?</v>
      </c>
    </row>
    <row r="1039" spans="1:4" x14ac:dyDescent="0.2">
      <c r="A1039" s="5">
        <v>978</v>
      </c>
      <c r="B1039" s="138">
        <f>'Expenditures 15-22'!H70</f>
        <v>11969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14046</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77118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211645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3025027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24627666</v>
      </c>
      <c r="C1093" s="2" t="s">
        <v>573</v>
      </c>
      <c r="D1093" s="2" t="str">
        <f t="shared" si="16"/>
        <v>Error?</v>
      </c>
    </row>
    <row r="1094" spans="1:4" x14ac:dyDescent="0.2">
      <c r="A1094" s="5">
        <v>1033</v>
      </c>
      <c r="B1094" s="138">
        <f>'Expenditures 15-22'!K16</f>
        <v>903534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3271192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11125</v>
      </c>
      <c r="C1106" s="2" t="s">
        <v>573</v>
      </c>
      <c r="D1106" s="2" t="str">
        <f t="shared" si="16"/>
        <v>Error?</v>
      </c>
    </row>
    <row r="1107" spans="1:4" x14ac:dyDescent="0.2">
      <c r="A1107" s="5">
        <v>1046</v>
      </c>
      <c r="B1107" s="138">
        <f>'Expenditures 15-22'!K15</f>
        <v>211700</v>
      </c>
      <c r="C1107" s="2" t="s">
        <v>573</v>
      </c>
      <c r="D1107" s="2" t="str">
        <f t="shared" si="16"/>
        <v>Error?</v>
      </c>
    </row>
    <row r="1108" spans="1:4" x14ac:dyDescent="0.2">
      <c r="A1108" s="5">
        <v>1047</v>
      </c>
      <c r="B1108" s="138">
        <f>'Expenditures 15-22'!K33</f>
        <v>39510800</v>
      </c>
      <c r="C1108" s="2" t="s">
        <v>573</v>
      </c>
      <c r="D1108" s="2" t="str">
        <f t="shared" si="16"/>
        <v>Error?</v>
      </c>
    </row>
    <row r="1109" spans="1:4" x14ac:dyDescent="0.2">
      <c r="A1109" s="5">
        <v>1048</v>
      </c>
      <c r="B1109" s="138">
        <f>'Expenditures 15-22'!K36</f>
        <v>2065266</v>
      </c>
      <c r="C1109" s="2" t="s">
        <v>573</v>
      </c>
      <c r="D1109" s="2" t="str">
        <f t="shared" si="16"/>
        <v>Error?</v>
      </c>
    </row>
    <row r="1110" spans="1:4" x14ac:dyDescent="0.2">
      <c r="A1110" s="5">
        <v>1049</v>
      </c>
      <c r="B1110" s="138">
        <f>'Expenditures 15-22'!K37</f>
        <v>1362</v>
      </c>
      <c r="C1110" s="2" t="s">
        <v>573</v>
      </c>
      <c r="D1110" s="2" t="str">
        <f t="shared" si="16"/>
        <v>Error?</v>
      </c>
    </row>
    <row r="1111" spans="1:4" x14ac:dyDescent="0.2">
      <c r="A1111" s="5">
        <v>1050</v>
      </c>
      <c r="B1111" s="138">
        <f>'Expenditures 15-22'!K38</f>
        <v>560814</v>
      </c>
      <c r="C1111" s="2" t="s">
        <v>573</v>
      </c>
      <c r="D1111" s="2" t="str">
        <f t="shared" si="16"/>
        <v>Error?</v>
      </c>
    </row>
    <row r="1112" spans="1:4" x14ac:dyDescent="0.2">
      <c r="A1112" s="5">
        <v>1051</v>
      </c>
      <c r="B1112" s="138">
        <f>'Expenditures 15-22'!K39</f>
        <v>756469</v>
      </c>
      <c r="C1112" s="2" t="s">
        <v>573</v>
      </c>
      <c r="D1112" s="2" t="str">
        <f t="shared" si="16"/>
        <v>Error?</v>
      </c>
    </row>
    <row r="1113" spans="1:4" x14ac:dyDescent="0.2">
      <c r="A1113" s="5">
        <v>1052</v>
      </c>
      <c r="B1113" s="138">
        <f>'Expenditures 15-22'!K40</f>
        <v>1798892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5182803</v>
      </c>
      <c r="C1115" s="2" t="s">
        <v>573</v>
      </c>
      <c r="D1115" s="2" t="str">
        <f t="shared" si="16"/>
        <v>Error?</v>
      </c>
    </row>
    <row r="1116" spans="1:4" x14ac:dyDescent="0.2">
      <c r="A1116" s="5">
        <v>1055</v>
      </c>
      <c r="B1116" s="138">
        <f>'Expenditures 15-22'!K44</f>
        <v>1286940</v>
      </c>
      <c r="C1116" s="2" t="s">
        <v>573</v>
      </c>
      <c r="D1116" s="2" t="str">
        <f t="shared" si="16"/>
        <v>Error?</v>
      </c>
    </row>
    <row r="1117" spans="1:4" x14ac:dyDescent="0.2">
      <c r="A1117" s="5">
        <v>1056</v>
      </c>
      <c r="B1117" s="138">
        <f>'Expenditures 15-22'!K45</f>
        <v>3936845</v>
      </c>
      <c r="C1117" s="2" t="s">
        <v>573</v>
      </c>
      <c r="D1117" s="2" t="str">
        <f t="shared" si="16"/>
        <v>Error?</v>
      </c>
    </row>
    <row r="1118" spans="1:4" x14ac:dyDescent="0.2">
      <c r="A1118" s="5">
        <v>1057</v>
      </c>
      <c r="B1118" s="138">
        <f>'Expenditures 15-22'!K46</f>
        <v>122426</v>
      </c>
      <c r="C1118" s="2" t="s">
        <v>573</v>
      </c>
      <c r="D1118" s="2" t="str">
        <f t="shared" si="16"/>
        <v>Error?</v>
      </c>
    </row>
    <row r="1119" spans="1:4" x14ac:dyDescent="0.2">
      <c r="A1119" s="5">
        <v>1058</v>
      </c>
      <c r="B1119" s="138">
        <f>'Expenditures 15-22'!K47</f>
        <v>5346211</v>
      </c>
      <c r="C1119" s="2" t="s">
        <v>573</v>
      </c>
      <c r="D1119" s="2" t="str">
        <f t="shared" si="16"/>
        <v>Error?</v>
      </c>
    </row>
    <row r="1120" spans="1:4" x14ac:dyDescent="0.2">
      <c r="A1120" s="5">
        <v>1059</v>
      </c>
      <c r="B1120" s="138">
        <f>'Expenditures 15-22'!K49</f>
        <v>367824</v>
      </c>
      <c r="C1120" s="2" t="s">
        <v>573</v>
      </c>
      <c r="D1120" s="2" t="str">
        <f t="shared" si="16"/>
        <v>Error?</v>
      </c>
    </row>
    <row r="1121" spans="1:4" x14ac:dyDescent="0.2">
      <c r="A1121" s="5">
        <v>1060</v>
      </c>
      <c r="B1121" s="138">
        <f>'Expenditures 15-22'!K50</f>
        <v>518185</v>
      </c>
      <c r="C1121" s="2" t="s">
        <v>573</v>
      </c>
      <c r="D1121" s="2" t="str">
        <f t="shared" si="16"/>
        <v>Error?</v>
      </c>
    </row>
    <row r="1122" spans="1:4" x14ac:dyDescent="0.2">
      <c r="A1122" s="5">
        <v>1061</v>
      </c>
      <c r="B1122" s="138">
        <f>'Expenditures 15-22'!K53</f>
        <v>893582</v>
      </c>
      <c r="C1122" s="2" t="s">
        <v>573</v>
      </c>
      <c r="D1122" s="2" t="str">
        <f t="shared" si="16"/>
        <v>Error?</v>
      </c>
    </row>
    <row r="1123" spans="1:4" x14ac:dyDescent="0.2">
      <c r="A1123" s="5">
        <v>1062</v>
      </c>
      <c r="B1123" s="138">
        <f>'Expenditures 15-22'!K55</f>
        <v>2618182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2618182</v>
      </c>
      <c r="C1125" s="2" t="s">
        <v>573</v>
      </c>
      <c r="D1125" s="2" t="str">
        <f t="shared" si="16"/>
        <v>Error?</v>
      </c>
    </row>
    <row r="1126" spans="1:4" x14ac:dyDescent="0.2">
      <c r="A1126" s="5">
        <v>1065</v>
      </c>
      <c r="B1126" s="138">
        <f>'Expenditures 15-22'!K59</f>
        <v>331934</v>
      </c>
      <c r="C1126" s="2" t="s">
        <v>573</v>
      </c>
      <c r="D1126" s="2" t="str">
        <f t="shared" si="16"/>
        <v>Error?</v>
      </c>
    </row>
    <row r="1127" spans="1:4" x14ac:dyDescent="0.2">
      <c r="A1127" s="5">
        <v>1066</v>
      </c>
      <c r="B1127" s="138">
        <f>'Expenditures 15-22'!K60</f>
        <v>425509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25402</v>
      </c>
      <c r="C1129" s="2" t="s">
        <v>573</v>
      </c>
      <c r="D1129" s="2" t="str">
        <f t="shared" si="16"/>
        <v>Error?</v>
      </c>
    </row>
    <row r="1130" spans="1:4" x14ac:dyDescent="0.2">
      <c r="A1130" s="5">
        <v>1069</v>
      </c>
      <c r="B1130" s="138">
        <f>'Expenditures 15-22'!K63</f>
        <v>1487338</v>
      </c>
      <c r="C1130" s="2" t="s">
        <v>573</v>
      </c>
      <c r="D1130" s="2" t="str">
        <f t="shared" si="16"/>
        <v>Error?</v>
      </c>
    </row>
    <row r="1131" spans="1:4" x14ac:dyDescent="0.2">
      <c r="A1131" s="5">
        <v>1070</v>
      </c>
      <c r="B1131" s="138">
        <f>'Expenditures 15-22'!K64</f>
        <v>151332</v>
      </c>
      <c r="C1131" s="2" t="s">
        <v>573</v>
      </c>
      <c r="D1131" s="2" t="str">
        <f t="shared" si="16"/>
        <v>Error?</v>
      </c>
    </row>
    <row r="1132" spans="1:4" x14ac:dyDescent="0.2">
      <c r="A1132" s="10">
        <v>1071</v>
      </c>
      <c r="D1132" s="2" t="str">
        <f t="shared" si="16"/>
        <v>OK</v>
      </c>
    </row>
    <row r="1133" spans="1:4" x14ac:dyDescent="0.2">
      <c r="A1133" s="5">
        <v>1072</v>
      </c>
      <c r="B1133" s="138">
        <f>'Expenditures 15-22'!K65</f>
        <v>2421515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222072</v>
      </c>
      <c r="C1136" s="2" t="s">
        <v>573</v>
      </c>
      <c r="D1136" s="2" t="str">
        <f t="shared" si="16"/>
        <v>Error?</v>
      </c>
    </row>
    <row r="1137" spans="1:4" x14ac:dyDescent="0.2">
      <c r="A1137" s="5">
        <v>1076</v>
      </c>
      <c r="B1137" s="138">
        <f>'Expenditures 15-22'!K70</f>
        <v>566934</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789006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17251299</v>
      </c>
      <c r="C1143" s="2" t="s">
        <v>573</v>
      </c>
      <c r="D1143" s="2" t="str">
        <f t="shared" si="16"/>
        <v>Error?</v>
      </c>
    </row>
    <row r="1144" spans="1:4" x14ac:dyDescent="0.2">
      <c r="A1144" s="5">
        <v>1083</v>
      </c>
      <c r="B1144" s="138">
        <f>'Expenditures 15-22'!K75</f>
        <v>28693</v>
      </c>
      <c r="C1144" s="2" t="s">
        <v>573</v>
      </c>
      <c r="D1144" s="2" t="str">
        <f t="shared" si="16"/>
        <v>Error?</v>
      </c>
    </row>
    <row r="1145" spans="1:4" x14ac:dyDescent="0.2">
      <c r="A1145" s="5">
        <v>1084</v>
      </c>
      <c r="B1145" s="138">
        <f>'Expenditures 15-22'!K102</f>
        <v>1078006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57868798</v>
      </c>
      <c r="C1152" s="2" t="s">
        <v>573</v>
      </c>
      <c r="D1152" s="2" t="str">
        <f t="shared" si="17"/>
        <v>Error?</v>
      </c>
    </row>
    <row r="1153" spans="1:4" x14ac:dyDescent="0.2">
      <c r="A1153" s="5">
        <v>1092</v>
      </c>
      <c r="B1153" s="138">
        <f>'Expenditures 15-22'!K115</f>
        <v>155742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1881227</v>
      </c>
      <c r="D1221" s="2" t="str">
        <f t="shared" si="18"/>
        <v>Error?</v>
      </c>
    </row>
    <row r="1222" spans="1:4" x14ac:dyDescent="0.2">
      <c r="A1222" s="10">
        <v>1161</v>
      </c>
      <c r="D1222" s="2" t="str">
        <f t="shared" si="18"/>
        <v>OK</v>
      </c>
    </row>
    <row r="1223" spans="1:4" x14ac:dyDescent="0.2">
      <c r="A1223" s="5">
        <v>1162</v>
      </c>
      <c r="B1223" s="138">
        <f>'Expenditures 15-22'!C127</f>
        <v>1881227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1881227</v>
      </c>
      <c r="C1225" s="2" t="s">
        <v>573</v>
      </c>
      <c r="D1225" s="2" t="str">
        <f t="shared" si="18"/>
        <v>Error?</v>
      </c>
    </row>
    <row r="1226" spans="1:4" x14ac:dyDescent="0.2">
      <c r="A1226" s="5">
        <v>1165</v>
      </c>
      <c r="B1226" s="138">
        <f>'Expenditures 15-22'!C151</f>
        <v>1881227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414655</v>
      </c>
      <c r="D1229" s="2" t="str">
        <f t="shared" si="18"/>
        <v>Error?</v>
      </c>
    </row>
    <row r="1230" spans="1:4" x14ac:dyDescent="0.2">
      <c r="A1230" s="10">
        <v>1169</v>
      </c>
      <c r="D1230" s="2" t="str">
        <f t="shared" si="18"/>
        <v>OK</v>
      </c>
    </row>
    <row r="1231" spans="1:4" x14ac:dyDescent="0.2">
      <c r="A1231" s="5">
        <v>1170</v>
      </c>
      <c r="B1231" s="138">
        <f>'Expenditures 15-22'!D127</f>
        <v>414655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414655</v>
      </c>
      <c r="C1233" s="2" t="s">
        <v>573</v>
      </c>
      <c r="D1233" s="2" t="str">
        <f t="shared" si="18"/>
        <v>Error?</v>
      </c>
    </row>
    <row r="1234" spans="1:4" x14ac:dyDescent="0.2">
      <c r="A1234" s="5">
        <v>1173</v>
      </c>
      <c r="B1234" s="138">
        <f>'Expenditures 15-22'!D151</f>
        <v>414655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550394</v>
      </c>
      <c r="D1237" s="2" t="str">
        <f t="shared" si="18"/>
        <v>Error?</v>
      </c>
    </row>
    <row r="1238" spans="1:4" x14ac:dyDescent="0.2">
      <c r="A1238" s="10">
        <v>1177</v>
      </c>
      <c r="D1238" s="2" t="str">
        <f t="shared" si="18"/>
        <v>OK</v>
      </c>
    </row>
    <row r="1239" spans="1:4" x14ac:dyDescent="0.2">
      <c r="A1239" s="5">
        <v>1178</v>
      </c>
      <c r="B1239" s="138">
        <f>'Expenditures 15-22'!E127</f>
        <v>550394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550394</v>
      </c>
      <c r="C1241" s="2" t="s">
        <v>573</v>
      </c>
      <c r="D1241" s="2" t="str">
        <f t="shared" si="18"/>
        <v>Error?</v>
      </c>
    </row>
    <row r="1242" spans="1:4" x14ac:dyDescent="0.2">
      <c r="A1242" s="5">
        <v>1181</v>
      </c>
      <c r="B1242" s="138">
        <f>'Expenditures 15-22'!E151</f>
        <v>550394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1374558</v>
      </c>
      <c r="D1245" s="2" t="str">
        <f t="shared" si="18"/>
        <v>Error?</v>
      </c>
    </row>
    <row r="1246" spans="1:4" x14ac:dyDescent="0.2">
      <c r="A1246" s="10">
        <v>1185</v>
      </c>
      <c r="D1246" s="2" t="str">
        <f t="shared" si="18"/>
        <v>OK</v>
      </c>
    </row>
    <row r="1247" spans="1:4" x14ac:dyDescent="0.2">
      <c r="A1247" s="5">
        <v>1186</v>
      </c>
      <c r="B1247" s="138">
        <f>'Expenditures 15-22'!F127</f>
        <v>1374558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1374558</v>
      </c>
      <c r="C1249" s="2" t="s">
        <v>573</v>
      </c>
      <c r="D1249" s="2" t="str">
        <f t="shared" si="18"/>
        <v>Error?</v>
      </c>
    </row>
    <row r="1250" spans="1:4" x14ac:dyDescent="0.2">
      <c r="A1250" s="5">
        <v>1189</v>
      </c>
      <c r="B1250" s="138">
        <f>'Expenditures 15-22'!F151</f>
        <v>1374558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21388</v>
      </c>
      <c r="D1252" s="2" t="str">
        <f t="shared" si="18"/>
        <v>Error?</v>
      </c>
    </row>
    <row r="1253" spans="1:4" x14ac:dyDescent="0.2">
      <c r="A1253" s="5">
        <v>1192</v>
      </c>
      <c r="B1253" s="138">
        <f>'Expenditures 15-22'!G124</f>
        <v>145848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167236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167236</v>
      </c>
      <c r="C1258" s="2" t="s">
        <v>573</v>
      </c>
      <c r="D1258" s="2" t="str">
        <f t="shared" si="18"/>
        <v>Error?</v>
      </c>
    </row>
    <row r="1259" spans="1:4" x14ac:dyDescent="0.2">
      <c r="A1259" s="5">
        <v>1198</v>
      </c>
      <c r="B1259" s="138">
        <f>'Expenditures 15-22'!G151</f>
        <v>167236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1697</v>
      </c>
      <c r="D1262" s="2" t="str">
        <f t="shared" si="18"/>
        <v>Error?</v>
      </c>
    </row>
    <row r="1263" spans="1:4" x14ac:dyDescent="0.2">
      <c r="A1263" s="10">
        <v>1202</v>
      </c>
      <c r="D1263" s="2" t="str">
        <f t="shared" si="18"/>
        <v>OK</v>
      </c>
    </row>
    <row r="1264" spans="1:4" x14ac:dyDescent="0.2">
      <c r="A1264" s="5">
        <v>1203</v>
      </c>
      <c r="B1264" s="138">
        <f>'Expenditures 15-22'!H127</f>
        <v>1697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1697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1697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21388</v>
      </c>
      <c r="C1275" s="2" t="s">
        <v>573</v>
      </c>
      <c r="D1275" s="2" t="str">
        <f t="shared" si="18"/>
        <v>Error?</v>
      </c>
    </row>
    <row r="1276" spans="1:4" x14ac:dyDescent="0.2">
      <c r="A1276" s="5">
        <v>1215</v>
      </c>
      <c r="B1276" s="138">
        <f>'Expenditures 15-22'!K124</f>
        <v>4368379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4389767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4389767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4389767</v>
      </c>
      <c r="C1288" s="2" t="s">
        <v>573</v>
      </c>
      <c r="D1288" s="2" t="str">
        <f t="shared" si="19"/>
        <v>Error?</v>
      </c>
    </row>
    <row r="1289" spans="1:4" x14ac:dyDescent="0.2">
      <c r="A1289" s="5">
        <v>1228</v>
      </c>
      <c r="B1289" s="138">
        <f>'Expenditures 15-22'!K152</f>
        <v>423484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639342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4499342</v>
      </c>
      <c r="C1317" s="2" t="s">
        <v>573</v>
      </c>
      <c r="D1317" s="2" t="str">
        <f t="shared" si="19"/>
        <v>Error?</v>
      </c>
    </row>
    <row r="1318" spans="1:4" x14ac:dyDescent="0.2">
      <c r="A1318" s="5">
        <v>1257</v>
      </c>
      <c r="B1318" s="138">
        <f>'Expenditures 15-22'!H174</f>
        <v>4499342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639342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4499342</v>
      </c>
      <c r="C1331" s="2" t="s">
        <v>573</v>
      </c>
      <c r="D1331" s="2" t="str">
        <f t="shared" si="19"/>
        <v>Error?</v>
      </c>
    </row>
    <row r="1332" spans="1:4" x14ac:dyDescent="0.2">
      <c r="A1332" s="5">
        <v>1271</v>
      </c>
      <c r="B1332" s="138">
        <f>'Expenditures 15-22'!K174</f>
        <v>4499342</v>
      </c>
      <c r="C1332" s="2" t="s">
        <v>573</v>
      </c>
      <c r="D1332" s="2" t="str">
        <f t="shared" si="19"/>
        <v>Error?</v>
      </c>
    </row>
    <row r="1333" spans="1:4" x14ac:dyDescent="0.2">
      <c r="A1333" s="5">
        <v>1272</v>
      </c>
      <c r="B1333" s="138">
        <f>'Expenditures 15-22'!K175</f>
        <v>-755493</v>
      </c>
      <c r="C1333" s="2" t="s">
        <v>573</v>
      </c>
      <c r="D1333" s="2" t="str">
        <f t="shared" si="19"/>
        <v>Error?</v>
      </c>
    </row>
    <row r="1334" spans="1:4" x14ac:dyDescent="0.2">
      <c r="A1334" s="10">
        <v>1273</v>
      </c>
      <c r="D1334" s="2" t="str">
        <f t="shared" si="19"/>
        <v>OK</v>
      </c>
    </row>
    <row r="1335" spans="1:4" x14ac:dyDescent="0.2">
      <c r="A1335" s="5">
        <v>1274</v>
      </c>
      <c r="B1335" s="138">
        <f>'Expenditures 15-22'!C182</f>
        <v>69361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69361</v>
      </c>
      <c r="C1339" s="2" t="s">
        <v>573</v>
      </c>
      <c r="D1339" s="2" t="str">
        <f t="shared" si="19"/>
        <v>Error?</v>
      </c>
    </row>
    <row r="1340" spans="1:4" x14ac:dyDescent="0.2">
      <c r="A1340" s="5">
        <v>1279</v>
      </c>
      <c r="B1340" s="138">
        <f>'Expenditures 15-22'!C210</f>
        <v>69361</v>
      </c>
      <c r="C1340" s="2" t="s">
        <v>573</v>
      </c>
      <c r="D1340" s="2" t="str">
        <f t="shared" si="19"/>
        <v>Error?</v>
      </c>
    </row>
    <row r="1341" spans="1:4" x14ac:dyDescent="0.2">
      <c r="A1341" s="5">
        <v>1280</v>
      </c>
      <c r="B1341" s="138">
        <f>'Expenditures 15-22'!D182</f>
        <v>21054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21054</v>
      </c>
      <c r="C1345" s="2" t="s">
        <v>573</v>
      </c>
      <c r="D1345" s="2" t="str">
        <f t="shared" si="20"/>
        <v>Error?</v>
      </c>
    </row>
    <row r="1346" spans="1:4" x14ac:dyDescent="0.2">
      <c r="A1346" s="5">
        <v>1285</v>
      </c>
      <c r="B1346" s="138">
        <f>'Expenditures 15-22'!D210</f>
        <v>21054</v>
      </c>
      <c r="C1346" s="2" t="s">
        <v>573</v>
      </c>
      <c r="D1346" s="2" t="str">
        <f t="shared" si="20"/>
        <v>Error?</v>
      </c>
    </row>
    <row r="1347" spans="1:4" x14ac:dyDescent="0.2">
      <c r="A1347" s="5">
        <v>1286</v>
      </c>
      <c r="B1347" s="138">
        <f>'Expenditures 15-22'!E182</f>
        <v>3615387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3615387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3615387</v>
      </c>
      <c r="C1353" s="2" t="s">
        <v>573</v>
      </c>
      <c r="D1353" s="2" t="str">
        <f t="shared" si="20"/>
        <v>Error?</v>
      </c>
    </row>
    <row r="1354" spans="1:4" x14ac:dyDescent="0.2">
      <c r="A1354" s="5">
        <v>1293</v>
      </c>
      <c r="B1354" s="138">
        <f>'Expenditures 15-22'!F182</f>
        <v>3277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3277</v>
      </c>
      <c r="C1358" s="2" t="s">
        <v>573</v>
      </c>
      <c r="D1358" s="2" t="str">
        <f t="shared" si="20"/>
        <v>Error?</v>
      </c>
    </row>
    <row r="1359" spans="1:4" x14ac:dyDescent="0.2">
      <c r="A1359" s="5">
        <v>1298</v>
      </c>
      <c r="B1359" s="138">
        <f>'Expenditures 15-22'!F210</f>
        <v>3277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3709079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3709079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3709079</v>
      </c>
      <c r="C1388" s="2" t="s">
        <v>573</v>
      </c>
      <c r="D1388" s="2" t="str">
        <f t="shared" si="20"/>
        <v>Error?</v>
      </c>
    </row>
    <row r="1389" spans="1:4" x14ac:dyDescent="0.2">
      <c r="A1389" s="5">
        <v>1328</v>
      </c>
      <c r="B1389" s="138">
        <f>'Expenditures 15-22'!K211</f>
        <v>1179838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10806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81323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v>
      </c>
      <c r="D1408" s="2" t="str">
        <f t="shared" si="21"/>
        <v>Error?</v>
      </c>
    </row>
    <row r="1409" spans="1:4" x14ac:dyDescent="0.2">
      <c r="A1409" s="5">
        <v>1348</v>
      </c>
      <c r="B1409" s="138">
        <f>'Expenditures 15-22'!D224</f>
        <v>11648</v>
      </c>
      <c r="D1409" s="2" t="str">
        <f t="shared" si="21"/>
        <v>Error?</v>
      </c>
    </row>
    <row r="1410" spans="1:4" x14ac:dyDescent="0.2">
      <c r="A1410" s="5">
        <v>1349</v>
      </c>
      <c r="B1410" s="138">
        <f>'Expenditures 15-22'!D229</f>
        <v>852284</v>
      </c>
      <c r="C1410" s="2" t="s">
        <v>573</v>
      </c>
      <c r="D1410" s="2" t="str">
        <f t="shared" si="21"/>
        <v>Error?</v>
      </c>
    </row>
    <row r="1411" spans="1:4" x14ac:dyDescent="0.2">
      <c r="A1411" s="5">
        <v>1350</v>
      </c>
      <c r="B1411" s="138">
        <f>'Expenditures 15-22'!D232</f>
        <v>25090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71750</v>
      </c>
      <c r="D1413" s="2" t="str">
        <f t="shared" si="21"/>
        <v>Error?</v>
      </c>
    </row>
    <row r="1414" spans="1:4" x14ac:dyDescent="0.2">
      <c r="A1414" s="5">
        <v>1353</v>
      </c>
      <c r="B1414" s="138">
        <f>'Expenditures 15-22'!D235</f>
        <v>9547</v>
      </c>
      <c r="D1414" s="2" t="str">
        <f t="shared" si="21"/>
        <v>Error?</v>
      </c>
    </row>
    <row r="1415" spans="1:4" x14ac:dyDescent="0.2">
      <c r="A1415" s="5">
        <v>1354</v>
      </c>
      <c r="B1415" s="138">
        <f>'Expenditures 15-22'!D236</f>
        <v>22579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128966</v>
      </c>
      <c r="C1417" s="2" t="s">
        <v>573</v>
      </c>
      <c r="D1417" s="2" t="str">
        <f t="shared" si="21"/>
        <v>Error?</v>
      </c>
    </row>
    <row r="1418" spans="1:4" x14ac:dyDescent="0.2">
      <c r="A1418" s="5">
        <v>1357</v>
      </c>
      <c r="B1418" s="138">
        <f>'Expenditures 15-22'!D240</f>
        <v>22287</v>
      </c>
      <c r="D1418" s="2" t="str">
        <f t="shared" si="21"/>
        <v>Error?</v>
      </c>
    </row>
    <row r="1419" spans="1:4" x14ac:dyDescent="0.2">
      <c r="A1419" s="5">
        <v>1358</v>
      </c>
      <c r="B1419" s="138">
        <f>'Expenditures 15-22'!D241</f>
        <v>132041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154328</v>
      </c>
      <c r="C1421" s="2" t="s">
        <v>573</v>
      </c>
      <c r="D1421" s="2" t="str">
        <f t="shared" si="21"/>
        <v>Error?</v>
      </c>
    </row>
    <row r="1422" spans="1:4" x14ac:dyDescent="0.2">
      <c r="A1422" s="5">
        <v>1361</v>
      </c>
      <c r="B1422" s="138">
        <f>'Expenditures 15-22'!D245</f>
        <v>4064</v>
      </c>
      <c r="D1422" s="2" t="str">
        <f t="shared" si="21"/>
        <v>Error?</v>
      </c>
    </row>
    <row r="1423" spans="1:4" x14ac:dyDescent="0.2">
      <c r="A1423" s="5">
        <v>1362</v>
      </c>
      <c r="B1423" s="138">
        <f>'Expenditures 15-22'!D246</f>
        <v>29443</v>
      </c>
      <c r="D1423" s="2" t="str">
        <f t="shared" si="21"/>
        <v>Error?</v>
      </c>
    </row>
    <row r="1424" spans="1:4" x14ac:dyDescent="0.2">
      <c r="A1424" s="5">
        <v>1363</v>
      </c>
      <c r="B1424" s="138">
        <f>'Expenditures 15-22'!D257</f>
        <v>84986</v>
      </c>
      <c r="C1424" s="2" t="s">
        <v>573</v>
      </c>
      <c r="D1424" s="2" t="str">
        <f t="shared" si="21"/>
        <v>Error?</v>
      </c>
    </row>
    <row r="1425" spans="1:4" x14ac:dyDescent="0.2">
      <c r="A1425" s="5">
        <v>1364</v>
      </c>
      <c r="B1425" s="138">
        <f>'Expenditures 15-22'!D259</f>
        <v>61984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61984</v>
      </c>
      <c r="C1427" s="2" t="s">
        <v>573</v>
      </c>
      <c r="D1427" s="2" t="str">
        <f t="shared" si="21"/>
        <v>Error?</v>
      </c>
    </row>
    <row r="1428" spans="1:4" x14ac:dyDescent="0.2">
      <c r="A1428" s="5">
        <v>1367</v>
      </c>
      <c r="B1428" s="138">
        <f>'Expenditures 15-22'!D263</f>
        <v>18631</v>
      </c>
      <c r="D1428" s="2" t="str">
        <f t="shared" si="21"/>
        <v>Error?</v>
      </c>
    </row>
    <row r="1429" spans="1:4" x14ac:dyDescent="0.2">
      <c r="A1429" s="5">
        <v>1368</v>
      </c>
      <c r="B1429" s="138">
        <f>'Expenditures 15-22'!D264</f>
        <v>38967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302206</v>
      </c>
      <c r="D1431" s="2" t="str">
        <f t="shared" si="21"/>
        <v>Error?</v>
      </c>
    </row>
    <row r="1432" spans="1:4" x14ac:dyDescent="0.2">
      <c r="A1432" s="5">
        <v>1371</v>
      </c>
      <c r="B1432" s="138">
        <f>'Expenditures 15-22'!D267</f>
        <v>11460</v>
      </c>
      <c r="D1432" s="2" t="str">
        <f t="shared" si="21"/>
        <v>Error?</v>
      </c>
    </row>
    <row r="1433" spans="1:4" x14ac:dyDescent="0.2">
      <c r="A1433" s="5">
        <v>1372</v>
      </c>
      <c r="B1433" s="138">
        <f>'Expenditures 15-22'!D268</f>
        <v>96275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467539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23261</v>
      </c>
      <c r="D1439" s="2" t="str">
        <f t="shared" si="21"/>
        <v>Error?</v>
      </c>
    </row>
    <row r="1440" spans="1:4" x14ac:dyDescent="0.2">
      <c r="A1440" s="5">
        <v>1379</v>
      </c>
      <c r="B1440" s="138">
        <f>'Expenditures 15-22'!D275</f>
        <v>24324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47585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945388</v>
      </c>
      <c r="C1446" s="2" t="s">
        <v>573</v>
      </c>
      <c r="D1446" s="2" t="str">
        <f t="shared" si="21"/>
        <v>Error?</v>
      </c>
    </row>
    <row r="1447" spans="1:4" x14ac:dyDescent="0.2">
      <c r="A1447" s="5">
        <v>1386</v>
      </c>
      <c r="B1447" s="138">
        <f>'Expenditures 15-22'!D280</f>
        <v>330</v>
      </c>
      <c r="D1447" s="2" t="str">
        <f t="shared" si="21"/>
        <v>Error?</v>
      </c>
    </row>
    <row r="1448" spans="1:4" x14ac:dyDescent="0.2">
      <c r="A1448" s="5">
        <v>1387</v>
      </c>
      <c r="B1448" s="138">
        <f>'Expenditures 15-22'!D295</f>
        <v>1798002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10806</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81323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v>
      </c>
      <c r="C1472" s="2" t="s">
        <v>573</v>
      </c>
      <c r="D1472" s="2" t="str">
        <f t="shared" si="22"/>
        <v>Error?</v>
      </c>
    </row>
    <row r="1473" spans="1:4" x14ac:dyDescent="0.2">
      <c r="A1473" s="5">
        <v>1412</v>
      </c>
      <c r="B1473" s="138">
        <f>'Expenditures 15-22'!K224</f>
        <v>11648</v>
      </c>
      <c r="C1473" s="2" t="s">
        <v>573</v>
      </c>
      <c r="D1473" s="2" t="str">
        <f t="shared" si="22"/>
        <v>Error?</v>
      </c>
    </row>
    <row r="1474" spans="1:4" x14ac:dyDescent="0.2">
      <c r="A1474" s="5">
        <v>1413</v>
      </c>
      <c r="B1474" s="138">
        <f>'Expenditures 15-22'!K229</f>
        <v>852284</v>
      </c>
      <c r="C1474" s="2" t="s">
        <v>573</v>
      </c>
      <c r="D1474" s="2" t="str">
        <f t="shared" si="22"/>
        <v>Error?</v>
      </c>
    </row>
    <row r="1475" spans="1:4" x14ac:dyDescent="0.2">
      <c r="A1475" s="5">
        <v>1414</v>
      </c>
      <c r="B1475" s="138">
        <f>'Expenditures 15-22'!K232</f>
        <v>25090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71750</v>
      </c>
      <c r="C1477" s="2" t="s">
        <v>573</v>
      </c>
      <c r="D1477" s="2" t="str">
        <f t="shared" si="22"/>
        <v>Error?</v>
      </c>
    </row>
    <row r="1478" spans="1:4" x14ac:dyDescent="0.2">
      <c r="A1478" s="5">
        <v>1417</v>
      </c>
      <c r="B1478" s="138">
        <f>'Expenditures 15-22'!K235</f>
        <v>9547</v>
      </c>
      <c r="C1478" s="2" t="s">
        <v>573</v>
      </c>
      <c r="D1478" s="2" t="str">
        <f t="shared" si="22"/>
        <v>Error?</v>
      </c>
    </row>
    <row r="1479" spans="1:4" x14ac:dyDescent="0.2">
      <c r="A1479" s="5">
        <v>1418</v>
      </c>
      <c r="B1479" s="138">
        <f>'Expenditures 15-22'!K236</f>
        <v>22579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128966</v>
      </c>
      <c r="C1481" s="2" t="s">
        <v>573</v>
      </c>
      <c r="D1481" s="2" t="str">
        <f t="shared" si="22"/>
        <v>Error?</v>
      </c>
    </row>
    <row r="1482" spans="1:4" x14ac:dyDescent="0.2">
      <c r="A1482" s="5">
        <v>1421</v>
      </c>
      <c r="B1482" s="138">
        <f>'Expenditures 15-22'!K240</f>
        <v>22287</v>
      </c>
      <c r="C1482" s="2" t="s">
        <v>573</v>
      </c>
      <c r="D1482" s="2" t="str">
        <f t="shared" si="22"/>
        <v>Error?</v>
      </c>
    </row>
    <row r="1483" spans="1:4" x14ac:dyDescent="0.2">
      <c r="A1483" s="5">
        <v>1422</v>
      </c>
      <c r="B1483" s="138">
        <f>'Expenditures 15-22'!K241</f>
        <v>132041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154328</v>
      </c>
      <c r="C1485" s="2" t="s">
        <v>573</v>
      </c>
      <c r="D1485" s="2" t="str">
        <f t="shared" si="22"/>
        <v>Error?</v>
      </c>
    </row>
    <row r="1486" spans="1:4" x14ac:dyDescent="0.2">
      <c r="A1486" s="5">
        <v>1425</v>
      </c>
      <c r="B1486" s="138">
        <f>'Expenditures 15-22'!K245</f>
        <v>4064</v>
      </c>
      <c r="C1486" s="2" t="s">
        <v>573</v>
      </c>
      <c r="D1486" s="2" t="str">
        <f t="shared" si="22"/>
        <v>Error?</v>
      </c>
    </row>
    <row r="1487" spans="1:4" x14ac:dyDescent="0.2">
      <c r="A1487" s="5">
        <v>1426</v>
      </c>
      <c r="B1487" s="138">
        <f>'Expenditures 15-22'!K246</f>
        <v>29443</v>
      </c>
      <c r="C1487" s="2" t="s">
        <v>573</v>
      </c>
      <c r="D1487" s="2" t="str">
        <f t="shared" si="22"/>
        <v>Error?</v>
      </c>
    </row>
    <row r="1488" spans="1:4" x14ac:dyDescent="0.2">
      <c r="A1488" s="5">
        <v>1427</v>
      </c>
      <c r="B1488" s="138">
        <f>'Expenditures 15-22'!K257</f>
        <v>84986</v>
      </c>
      <c r="C1488" s="2" t="s">
        <v>573</v>
      </c>
      <c r="D1488" s="2" t="str">
        <f t="shared" si="22"/>
        <v>Error?</v>
      </c>
    </row>
    <row r="1489" spans="1:4" x14ac:dyDescent="0.2">
      <c r="A1489" s="5">
        <v>1428</v>
      </c>
      <c r="B1489" s="138">
        <f>'Expenditures 15-22'!K259</f>
        <v>61984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61984</v>
      </c>
      <c r="C1491" s="2" t="s">
        <v>573</v>
      </c>
      <c r="D1491" s="2" t="str">
        <f t="shared" si="22"/>
        <v>Error?</v>
      </c>
    </row>
    <row r="1492" spans="1:4" x14ac:dyDescent="0.2">
      <c r="A1492" s="5">
        <v>1431</v>
      </c>
      <c r="B1492" s="138">
        <f>'Expenditures 15-22'!K263</f>
        <v>18631</v>
      </c>
      <c r="C1492" s="2" t="s">
        <v>573</v>
      </c>
      <c r="D1492" s="2" t="str">
        <f t="shared" si="22"/>
        <v>Error?</v>
      </c>
    </row>
    <row r="1493" spans="1:4" x14ac:dyDescent="0.2">
      <c r="A1493" s="5">
        <v>1432</v>
      </c>
      <c r="B1493" s="138">
        <f>'Expenditures 15-22'!K264</f>
        <v>38967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302206</v>
      </c>
      <c r="C1495" s="2" t="s">
        <v>573</v>
      </c>
      <c r="D1495" s="2" t="str">
        <f t="shared" si="22"/>
        <v>Error?</v>
      </c>
    </row>
    <row r="1496" spans="1:4" x14ac:dyDescent="0.2">
      <c r="A1496" s="5">
        <v>1435</v>
      </c>
      <c r="B1496" s="138">
        <f>'Expenditures 15-22'!K267</f>
        <v>11460</v>
      </c>
      <c r="C1496" s="2" t="s">
        <v>573</v>
      </c>
      <c r="D1496" s="2" t="str">
        <f t="shared" si="22"/>
        <v>Error?</v>
      </c>
    </row>
    <row r="1497" spans="1:4" x14ac:dyDescent="0.2">
      <c r="A1497" s="5">
        <v>1436</v>
      </c>
      <c r="B1497" s="138">
        <f>'Expenditures 15-22'!K268</f>
        <v>96275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467539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23261</v>
      </c>
      <c r="C1503" s="2" t="s">
        <v>573</v>
      </c>
      <c r="D1503" s="2" t="str">
        <f t="shared" si="22"/>
        <v>Error?</v>
      </c>
    </row>
    <row r="1504" spans="1:4" x14ac:dyDescent="0.2">
      <c r="A1504" s="5">
        <v>1443</v>
      </c>
      <c r="B1504" s="138">
        <f>'Expenditures 15-22'!K275</f>
        <v>24324</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47585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945388</v>
      </c>
      <c r="C1510" s="2" t="s">
        <v>573</v>
      </c>
      <c r="D1510" s="2" t="str">
        <f t="shared" si="22"/>
        <v>Error?</v>
      </c>
    </row>
    <row r="1511" spans="1:4" x14ac:dyDescent="0.2">
      <c r="A1511" s="5">
        <v>1450</v>
      </c>
      <c r="B1511" s="138">
        <f>'Expenditures 15-22'!K280</f>
        <v>330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1798002</v>
      </c>
      <c r="C1517" s="2" t="s">
        <v>573</v>
      </c>
      <c r="D1517" s="2" t="str">
        <f t="shared" si="22"/>
        <v>Error?</v>
      </c>
    </row>
    <row r="1518" spans="1:4" x14ac:dyDescent="0.2">
      <c r="A1518" s="5">
        <v>1457</v>
      </c>
      <c r="B1518" s="138">
        <f>'Expenditures 15-22'!K296</f>
        <v>269317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1170334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1170334</v>
      </c>
      <c r="C1547" s="2" t="s">
        <v>573</v>
      </c>
      <c r="D1547" s="2" t="str">
        <f t="shared" si="23"/>
        <v>Error?</v>
      </c>
    </row>
    <row r="1548" spans="1:4" x14ac:dyDescent="0.2">
      <c r="A1548" s="5">
        <v>1487</v>
      </c>
      <c r="B1548" s="138">
        <f>'Expenditures 15-22'!G312</f>
        <v>1170334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1170334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1170334</v>
      </c>
      <c r="C1559" s="2" t="s">
        <v>573</v>
      </c>
      <c r="D1559" s="2" t="str">
        <f t="shared" si="23"/>
        <v>Error?</v>
      </c>
    </row>
    <row r="1560" spans="1:4" x14ac:dyDescent="0.2">
      <c r="A1560" s="5">
        <v>1499</v>
      </c>
      <c r="B1560" s="138">
        <f>'Expenditures 15-22'!K312</f>
        <v>1170334</v>
      </c>
      <c r="C1560" s="2" t="s">
        <v>573</v>
      </c>
      <c r="D1560" s="2" t="str">
        <f t="shared" si="23"/>
        <v>Error?</v>
      </c>
    </row>
    <row r="1561" spans="1:4" x14ac:dyDescent="0.2">
      <c r="A1561" s="5">
        <v>1500</v>
      </c>
      <c r="B1561" s="138">
        <f>'Expenditures 15-22'!K313</f>
        <v>-873306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41539922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41695664</v>
      </c>
      <c r="C1630" s="2" t="s">
        <v>573</v>
      </c>
      <c r="D1630" s="2" t="str">
        <f t="shared" si="24"/>
        <v>Error?</v>
      </c>
    </row>
    <row r="1631" spans="1:4" x14ac:dyDescent="0.2">
      <c r="A1631" s="5">
        <v>1570</v>
      </c>
      <c r="B1631" s="138">
        <f>'Acct Summary 7-8'!D79</f>
        <v>2869297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3292781</v>
      </c>
      <c r="C1644" s="2" t="s">
        <v>573</v>
      </c>
      <c r="D1644" s="2" t="str">
        <f t="shared" si="24"/>
        <v>Error?</v>
      </c>
    </row>
    <row r="1645" spans="1:4" x14ac:dyDescent="0.2">
      <c r="A1645" s="5">
        <v>1584</v>
      </c>
      <c r="B1645" s="138">
        <f>'Acct Summary 7-8'!E79</f>
        <v>1940666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1185173</v>
      </c>
      <c r="C1658" s="2" t="s">
        <v>573</v>
      </c>
      <c r="D1658" s="2" t="str">
        <f t="shared" si="24"/>
        <v>Error?</v>
      </c>
    </row>
    <row r="1659" spans="1:4" x14ac:dyDescent="0.2">
      <c r="A1659" s="5">
        <v>1598</v>
      </c>
      <c r="B1659" s="138">
        <f>'Acct Summary 7-8'!F79</f>
        <v>2273932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3453770</v>
      </c>
      <c r="C1672" s="2" t="s">
        <v>573</v>
      </c>
      <c r="D1672" s="2" t="str">
        <f t="shared" si="25"/>
        <v>Error?</v>
      </c>
    </row>
    <row r="1673" spans="1:4" x14ac:dyDescent="0.2">
      <c r="A1673" s="5">
        <v>1612</v>
      </c>
      <c r="B1673" s="138">
        <f>'Acct Summary 7-8'!G79</f>
        <v>1560432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1829749</v>
      </c>
      <c r="C1686" s="2" t="s">
        <v>573</v>
      </c>
      <c r="D1686" s="2" t="str">
        <f t="shared" si="25"/>
        <v>Error?</v>
      </c>
    </row>
    <row r="1687" spans="1:4" x14ac:dyDescent="0.2">
      <c r="A1687" s="5">
        <v>1626</v>
      </c>
      <c r="B1687" s="138">
        <f>'Acct Summary 7-8'!H79</f>
        <v>400969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9332120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39978986</v>
      </c>
      <c r="C1744" s="2" t="s">
        <v>573</v>
      </c>
      <c r="D1744" s="2" t="str">
        <f t="shared" si="26"/>
        <v>Error?</v>
      </c>
    </row>
    <row r="1745" spans="1:5" x14ac:dyDescent="0.2">
      <c r="A1745" s="5">
        <v>1684</v>
      </c>
      <c r="B1745" s="138">
        <f>'Tax Sched 23'!B5</f>
        <v>4364832</v>
      </c>
      <c r="C1745" s="2" t="s">
        <v>573</v>
      </c>
      <c r="D1745" s="2" t="str">
        <f t="shared" si="26"/>
        <v>Error?</v>
      </c>
    </row>
    <row r="1746" spans="1:5" x14ac:dyDescent="0.2">
      <c r="A1746" s="5">
        <v>1685</v>
      </c>
      <c r="B1746" s="138">
        <f>'Tax Sched 23'!B6</f>
        <v>3694887</v>
      </c>
      <c r="C1746" s="2" t="s">
        <v>573</v>
      </c>
      <c r="D1746" s="2" t="str">
        <f t="shared" si="26"/>
        <v>Error?</v>
      </c>
    </row>
    <row r="1747" spans="1:5" x14ac:dyDescent="0.2">
      <c r="A1747" s="5">
        <v>1686</v>
      </c>
      <c r="B1747" s="138">
        <f>'Tax Sched 23'!B7</f>
        <v>2864224</v>
      </c>
      <c r="C1747" s="2" t="s">
        <v>573</v>
      </c>
      <c r="D1747" s="2" t="str">
        <f t="shared" si="26"/>
        <v>Error?</v>
      </c>
    </row>
    <row r="1748" spans="1:5" x14ac:dyDescent="0.2">
      <c r="A1748" s="5">
        <v>1687</v>
      </c>
      <c r="B1748" s="138">
        <f>'Tax Sched 23'!B8</f>
        <v>1107010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542545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53409899</v>
      </c>
      <c r="C1759" s="2" t="s">
        <v>573</v>
      </c>
      <c r="D1759" s="2" t="str">
        <f t="shared" si="26"/>
        <v>Error?</v>
      </c>
    </row>
    <row r="1760" spans="1:5" x14ac:dyDescent="0.2">
      <c r="A1760" s="5">
        <v>1699</v>
      </c>
      <c r="B1760" s="138">
        <f>'Tax Sched 23'!D4</f>
        <v>18592694</v>
      </c>
      <c r="C1760" s="2" t="s">
        <v>573</v>
      </c>
      <c r="D1760" s="2" t="str">
        <f t="shared" si="26"/>
        <v>Error?</v>
      </c>
    </row>
    <row r="1761" spans="1:5" x14ac:dyDescent="0.2">
      <c r="A1761" s="5">
        <v>1700</v>
      </c>
      <c r="B1761" s="138">
        <f>'Tax Sched 23'!D5</f>
        <v>2034889</v>
      </c>
      <c r="C1761" s="2" t="s">
        <v>573</v>
      </c>
      <c r="D1761" s="2" t="str">
        <f t="shared" si="26"/>
        <v>Error?</v>
      </c>
    </row>
    <row r="1762" spans="1:5" s="8" customFormat="1" x14ac:dyDescent="0.2">
      <c r="A1762" s="5">
        <v>1701</v>
      </c>
      <c r="B1762" s="138">
        <f>'Tax Sched 23'!D6</f>
        <v>1730455</v>
      </c>
      <c r="C1762" s="2" t="s">
        <v>573</v>
      </c>
      <c r="D1762" s="2" t="str">
        <f t="shared" si="26"/>
        <v>Error?</v>
      </c>
      <c r="E1762" s="9"/>
    </row>
    <row r="1763" spans="1:5" x14ac:dyDescent="0.2">
      <c r="A1763" s="5">
        <v>1702</v>
      </c>
      <c r="B1763" s="138">
        <f>'Tax Sched 23'!D7</f>
        <v>1339181</v>
      </c>
      <c r="C1763" s="2" t="s">
        <v>573</v>
      </c>
      <c r="D1763" s="2" t="str">
        <f t="shared" si="26"/>
        <v>Error?</v>
      </c>
    </row>
    <row r="1764" spans="1:5" x14ac:dyDescent="0.2">
      <c r="A1764" s="5">
        <v>1703</v>
      </c>
      <c r="B1764" s="138">
        <f>'Tax Sched 23'!D8</f>
        <v>516867</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249943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24863329</v>
      </c>
      <c r="C1775" s="2" t="s">
        <v>573</v>
      </c>
      <c r="D1775" s="2" t="str">
        <f t="shared" si="26"/>
        <v>Error?</v>
      </c>
    </row>
    <row r="1776" spans="1:5" x14ac:dyDescent="0.2">
      <c r="A1776" s="5">
        <v>1715</v>
      </c>
      <c r="B1776" s="138">
        <f>'Tax Sched 23'!C4</f>
        <v>21386292</v>
      </c>
      <c r="D1776" s="2" t="str">
        <f t="shared" si="26"/>
        <v>Error?</v>
      </c>
    </row>
    <row r="1777" spans="1:4" x14ac:dyDescent="0.2">
      <c r="A1777" s="5">
        <v>1716</v>
      </c>
      <c r="B1777" s="138">
        <f>'Tax Sched 23'!C5</f>
        <v>2329943</v>
      </c>
      <c r="D1777" s="2" t="str">
        <f t="shared" si="26"/>
        <v>Error?</v>
      </c>
    </row>
    <row r="1778" spans="1:4" x14ac:dyDescent="0.2">
      <c r="A1778" s="5">
        <v>1717</v>
      </c>
      <c r="B1778" s="138">
        <f>'Tax Sched 23'!C6</f>
        <v>1964432</v>
      </c>
      <c r="D1778" s="2" t="str">
        <f t="shared" si="26"/>
        <v>Error?</v>
      </c>
    </row>
    <row r="1779" spans="1:4" x14ac:dyDescent="0.2">
      <c r="A1779" s="5">
        <v>1718</v>
      </c>
      <c r="B1779" s="138">
        <f>'Tax Sched 23'!C7</f>
        <v>1525043</v>
      </c>
      <c r="D1779" s="2" t="str">
        <f t="shared" si="26"/>
        <v>Error?</v>
      </c>
    </row>
    <row r="1780" spans="1:4" x14ac:dyDescent="0.2">
      <c r="A1780" s="5">
        <v>1719</v>
      </c>
      <c r="B1780" s="138">
        <f>'Tax Sched 23'!C8</f>
        <v>590143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292602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28546570</v>
      </c>
      <c r="C1791" s="2" t="s">
        <v>573</v>
      </c>
      <c r="D1791" s="2" t="str">
        <f t="shared" ref="D1791:D1854" si="27">IF(ISBLANK(B1791),"OK",IF(A1791-B1791=0,"OK","Error?"))</f>
        <v>Error?</v>
      </c>
    </row>
    <row r="1792" spans="1:4" x14ac:dyDescent="0.2">
      <c r="A1792" s="5">
        <v>1731</v>
      </c>
      <c r="B1792" s="138">
        <f>'Tax Sched 23'!F4</f>
        <v>20019343</v>
      </c>
      <c r="C1792" s="2" t="s">
        <v>573</v>
      </c>
      <c r="D1792" s="2" t="str">
        <f t="shared" si="27"/>
        <v>Error?</v>
      </c>
    </row>
    <row r="1793" spans="1:4" x14ac:dyDescent="0.2">
      <c r="A1793" s="5">
        <v>1732</v>
      </c>
      <c r="B1793" s="138">
        <f>'Tax Sched 23'!F5</f>
        <v>2180497</v>
      </c>
      <c r="C1793" s="2" t="s">
        <v>573</v>
      </c>
      <c r="D1793" s="2" t="str">
        <f t="shared" si="27"/>
        <v>Error?</v>
      </c>
    </row>
    <row r="1794" spans="1:4" x14ac:dyDescent="0.2">
      <c r="A1794" s="5">
        <v>1733</v>
      </c>
      <c r="B1794" s="138">
        <f>'Tax Sched 23'!F6</f>
        <v>1838299</v>
      </c>
      <c r="C1794" s="2" t="s">
        <v>573</v>
      </c>
      <c r="D1794" s="2" t="str">
        <f t="shared" si="27"/>
        <v>Error?</v>
      </c>
    </row>
    <row r="1795" spans="1:4" x14ac:dyDescent="0.2">
      <c r="A1795" s="5">
        <v>1734</v>
      </c>
      <c r="B1795" s="138">
        <f>'Tax Sched 23'!F7</f>
        <v>1427245</v>
      </c>
      <c r="C1795" s="2" t="s">
        <v>573</v>
      </c>
      <c r="D1795" s="2" t="str">
        <f t="shared" si="27"/>
        <v>Error?</v>
      </c>
    </row>
    <row r="1796" spans="1:4" x14ac:dyDescent="0.2">
      <c r="A1796" s="5">
        <v>1735</v>
      </c>
      <c r="B1796" s="138">
        <f>'Tax Sched 23'!F8</f>
        <v>552843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274292</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26721115</v>
      </c>
      <c r="C1807" s="2" t="s">
        <v>573</v>
      </c>
      <c r="D1807" s="2" t="str">
        <f t="shared" si="27"/>
        <v>Error?</v>
      </c>
    </row>
    <row r="1808" spans="1:4" x14ac:dyDescent="0.2">
      <c r="A1808" s="5">
        <v>1747</v>
      </c>
      <c r="B1808" s="138">
        <f>'Tax Sched 23'!E4</f>
        <v>41405635</v>
      </c>
      <c r="D1808" s="2" t="str">
        <f t="shared" si="27"/>
        <v>Error?</v>
      </c>
    </row>
    <row r="1809" spans="1:4" x14ac:dyDescent="0.2">
      <c r="A1809" s="5">
        <v>1748</v>
      </c>
      <c r="B1809" s="138">
        <f>'Tax Sched 23'!E5</f>
        <v>4510440</v>
      </c>
      <c r="D1809" s="2" t="str">
        <f t="shared" si="27"/>
        <v>Error?</v>
      </c>
    </row>
    <row r="1810" spans="1:4" x14ac:dyDescent="0.2">
      <c r="A1810" s="5">
        <v>1749</v>
      </c>
      <c r="B1810" s="138">
        <f>'Tax Sched 23'!E6</f>
        <v>3802731</v>
      </c>
      <c r="D1810" s="2" t="str">
        <f t="shared" si="27"/>
        <v>Error?</v>
      </c>
    </row>
    <row r="1811" spans="1:4" x14ac:dyDescent="0.2">
      <c r="A1811" s="5">
        <v>1750</v>
      </c>
      <c r="B1811" s="138">
        <f>'Tax Sched 23'!E7</f>
        <v>2952288</v>
      </c>
      <c r="D1811" s="2" t="str">
        <f t="shared" si="27"/>
        <v>Error?</v>
      </c>
    </row>
    <row r="1812" spans="1:4" x14ac:dyDescent="0.2">
      <c r="A1812" s="5">
        <v>1751</v>
      </c>
      <c r="B1812" s="138">
        <f>'Tax Sched 23'!E8</f>
        <v>1142986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566894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55267685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16140000</v>
      </c>
      <c r="C1939" s="2" t="s">
        <v>573</v>
      </c>
      <c r="D1939" s="2" t="str">
        <f t="shared" si="29"/>
        <v>Error?</v>
      </c>
    </row>
    <row r="1940" spans="1:5" x14ac:dyDescent="0.2">
      <c r="A1940" s="5">
        <v>1879</v>
      </c>
      <c r="B1940" s="138">
        <f>'Short-Term Long-Term Debt 24'!F49</f>
        <v>9025000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194077</v>
      </c>
      <c r="D2008" s="2" t="str">
        <f t="shared" si="30"/>
        <v>Error?</v>
      </c>
    </row>
    <row r="2009" spans="1:4" x14ac:dyDescent="0.2">
      <c r="A2009" s="5">
        <v>1948</v>
      </c>
      <c r="B2009" s="138">
        <f>'Cap Outlay Deprec 26'!C8</f>
        <v>106952267</v>
      </c>
      <c r="D2009" s="2" t="str">
        <f t="shared" si="30"/>
        <v>Error?</v>
      </c>
    </row>
    <row r="2010" spans="1:4" x14ac:dyDescent="0.2">
      <c r="A2010" s="5">
        <v>1949</v>
      </c>
      <c r="B2010" s="138">
        <f>'Cap Outlay Deprec 26'!C10</f>
        <v>3819686</v>
      </c>
      <c r="D2010" s="2" t="str">
        <f t="shared" si="30"/>
        <v>Error?</v>
      </c>
    </row>
    <row r="2011" spans="1:4" x14ac:dyDescent="0.2">
      <c r="A2011" s="5">
        <v>1950</v>
      </c>
      <c r="B2011" s="138">
        <f>'Cap Outlay Deprec 26'!C12</f>
        <v>29675025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140641055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1854809</v>
      </c>
      <c r="D2015" s="2" t="str">
        <f t="shared" si="30"/>
        <v>Error?</v>
      </c>
    </row>
    <row r="2016" spans="1:4" x14ac:dyDescent="0.2">
      <c r="A2016" s="5">
        <v>1955</v>
      </c>
      <c r="B2016" s="138">
        <f>'Cap Outlay Deprec 26'!D10</f>
        <v>38020</v>
      </c>
      <c r="D2016" s="2" t="str">
        <f t="shared" si="30"/>
        <v>Error?</v>
      </c>
    </row>
    <row r="2017" spans="1:4" x14ac:dyDescent="0.2">
      <c r="A2017" s="5">
        <v>1956</v>
      </c>
      <c r="B2017" s="138">
        <f>'Cap Outlay Deprec 26'!D12</f>
        <v>1251683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3144512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194077</v>
      </c>
      <c r="C2026" s="2" t="s">
        <v>573</v>
      </c>
      <c r="D2026" s="2" t="str">
        <f t="shared" si="30"/>
        <v>Error?</v>
      </c>
    </row>
    <row r="2027" spans="1:4" x14ac:dyDescent="0.2">
      <c r="A2027" s="5">
        <v>1966</v>
      </c>
      <c r="B2027" s="138">
        <f>'Cap Outlay Deprec 26'!F8</f>
        <v>108807076</v>
      </c>
      <c r="C2027" s="2" t="s">
        <v>573</v>
      </c>
      <c r="D2027" s="2" t="str">
        <f t="shared" si="30"/>
        <v>Error?</v>
      </c>
    </row>
    <row r="2028" spans="1:4" x14ac:dyDescent="0.2">
      <c r="A2028" s="5">
        <v>1967</v>
      </c>
      <c r="B2028" s="138">
        <f>'Cap Outlay Deprec 26'!F10</f>
        <v>3857706</v>
      </c>
      <c r="C2028" s="2" t="s">
        <v>573</v>
      </c>
      <c r="D2028" s="2" t="str">
        <f t="shared" si="30"/>
        <v>Error?</v>
      </c>
    </row>
    <row r="2029" spans="1:4" x14ac:dyDescent="0.2">
      <c r="A2029" s="5">
        <v>1968</v>
      </c>
      <c r="B2029" s="138">
        <f>'Cap Outlay Deprec 26'!F12</f>
        <v>30926708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143785567</v>
      </c>
      <c r="C2031" s="2" t="s">
        <v>573</v>
      </c>
      <c r="D2031" s="2" t="str">
        <f t="shared" si="30"/>
        <v>Error?</v>
      </c>
    </row>
    <row r="2032" spans="1:4" x14ac:dyDescent="0.2">
      <c r="A2032" s="10">
        <v>1971</v>
      </c>
      <c r="D2032" s="2" t="str">
        <f t="shared" si="30"/>
        <v>OK</v>
      </c>
    </row>
    <row r="2033" spans="1:4" x14ac:dyDescent="0.2">
      <c r="A2033" s="5">
        <v>1972</v>
      </c>
      <c r="B2033" s="138">
        <f>'Cap Outlay Deprec 26'!H8</f>
        <v>37799197</v>
      </c>
      <c r="D2033" s="2" t="str">
        <f t="shared" si="30"/>
        <v>Error?</v>
      </c>
    </row>
    <row r="2034" spans="1:4" x14ac:dyDescent="0.2">
      <c r="A2034" s="5">
        <v>1973</v>
      </c>
      <c r="B2034" s="138">
        <f>'Cap Outlay Deprec 26'!H10</f>
        <v>2868663</v>
      </c>
      <c r="D2034" s="2" t="str">
        <f t="shared" si="30"/>
        <v>Error?</v>
      </c>
    </row>
    <row r="2035" spans="1:4" x14ac:dyDescent="0.2">
      <c r="A2035" s="5">
        <v>1974</v>
      </c>
      <c r="B2035" s="138">
        <f>'Cap Outlay Deprec 26'!H12</f>
        <v>23665097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64332957</v>
      </c>
      <c r="C2037" s="2" t="s">
        <v>573</v>
      </c>
      <c r="D2037" s="2" t="str">
        <f t="shared" si="30"/>
        <v>Error?</v>
      </c>
    </row>
    <row r="2038" spans="1:4" x14ac:dyDescent="0.2">
      <c r="A2038" s="10">
        <v>1977</v>
      </c>
      <c r="D2038" s="2" t="str">
        <f t="shared" si="30"/>
        <v>OK</v>
      </c>
    </row>
    <row r="2039" spans="1:4" x14ac:dyDescent="0.2">
      <c r="A2039" s="5">
        <v>1978</v>
      </c>
      <c r="B2039" s="138">
        <f>'Cap Outlay Deprec 26'!I8</f>
        <v>2014511</v>
      </c>
      <c r="D2039" s="2" t="str">
        <f t="shared" si="30"/>
        <v>Error?</v>
      </c>
    </row>
    <row r="2040" spans="1:4" x14ac:dyDescent="0.2">
      <c r="A2040" s="5">
        <v>1979</v>
      </c>
      <c r="B2040" s="138">
        <f>'Cap Outlay Deprec 26'!I10</f>
        <v>100779</v>
      </c>
      <c r="D2040" s="2" t="str">
        <f t="shared" si="30"/>
        <v>Error?</v>
      </c>
    </row>
    <row r="2041" spans="1:4" x14ac:dyDescent="0.2">
      <c r="A2041" s="5">
        <v>1980</v>
      </c>
      <c r="B2041" s="138">
        <f>'Cap Outlay Deprec 26'!I12</f>
        <v>1129854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3245144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39813708</v>
      </c>
      <c r="C2051" s="2" t="s">
        <v>573</v>
      </c>
      <c r="D2051" s="2" t="str">
        <f t="shared" si="31"/>
        <v>Error?</v>
      </c>
    </row>
    <row r="2052" spans="1:4" x14ac:dyDescent="0.2">
      <c r="A2052" s="5">
        <v>1991</v>
      </c>
      <c r="B2052" s="138">
        <f>'Cap Outlay Deprec 26'!K10</f>
        <v>2969442</v>
      </c>
      <c r="C2052" s="2" t="s">
        <v>573</v>
      </c>
      <c r="D2052" s="2" t="str">
        <f t="shared" si="31"/>
        <v>Error?</v>
      </c>
    </row>
    <row r="2053" spans="1:4" x14ac:dyDescent="0.2">
      <c r="A2053" s="5">
        <v>1992</v>
      </c>
      <c r="B2053" s="138">
        <f>'Cap Outlay Deprec 26'!K12</f>
        <v>24794951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67578101</v>
      </c>
      <c r="C2055" s="2" t="s">
        <v>573</v>
      </c>
      <c r="D2055" s="2" t="str">
        <f t="shared" si="31"/>
        <v>Error?</v>
      </c>
    </row>
    <row r="2056" spans="1:4" x14ac:dyDescent="0.2">
      <c r="A2056" s="5">
        <v>1995</v>
      </c>
      <c r="B2056" s="138">
        <f>'Cap Outlay Deprec 26'!L5</f>
        <v>194077</v>
      </c>
      <c r="C2056" s="2" t="s">
        <v>573</v>
      </c>
      <c r="D2056" s="2" t="str">
        <f t="shared" si="31"/>
        <v>Error?</v>
      </c>
    </row>
    <row r="2057" spans="1:4" x14ac:dyDescent="0.2">
      <c r="A2057" s="5">
        <v>1996</v>
      </c>
      <c r="B2057" s="138">
        <f>'Cap Outlay Deprec 26'!L8</f>
        <v>68993368</v>
      </c>
      <c r="C2057" s="2" t="s">
        <v>573</v>
      </c>
      <c r="D2057" s="2" t="str">
        <f t="shared" si="31"/>
        <v>Error?</v>
      </c>
    </row>
    <row r="2058" spans="1:4" x14ac:dyDescent="0.2">
      <c r="A2058" s="5">
        <v>1997</v>
      </c>
      <c r="B2058" s="138">
        <f>'Cap Outlay Deprec 26'!L10</f>
        <v>888264</v>
      </c>
      <c r="C2058" s="2" t="s">
        <v>573</v>
      </c>
      <c r="D2058" s="2" t="str">
        <f t="shared" si="31"/>
        <v>Error?</v>
      </c>
    </row>
    <row r="2059" spans="1:4" x14ac:dyDescent="0.2">
      <c r="A2059" s="5">
        <v>1998</v>
      </c>
      <c r="B2059" s="138">
        <f>'Cap Outlay Deprec 26'!L12</f>
        <v>6131757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76207466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211645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1078006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9804457</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50466395</v>
      </c>
      <c r="C2551" s="2" t="s">
        <v>573</v>
      </c>
      <c r="D2551" s="2" t="str">
        <f t="shared" si="38"/>
        <v>Error?</v>
      </c>
    </row>
    <row r="2552" spans="1:4" x14ac:dyDescent="0.2">
      <c r="A2552" s="10">
        <v>2491</v>
      </c>
      <c r="D2552" s="2" t="str">
        <f t="shared" si="38"/>
        <v>OK</v>
      </c>
    </row>
    <row r="2553" spans="1:4" x14ac:dyDescent="0.2">
      <c r="A2553" s="5">
        <v>2492</v>
      </c>
      <c r="B2553" s="138">
        <f>'Acct Summary 7-8'!C6</f>
        <v>4568841</v>
      </c>
      <c r="C2553" s="2" t="s">
        <v>573</v>
      </c>
      <c r="D2553" s="2" t="str">
        <f t="shared" si="38"/>
        <v>Error?</v>
      </c>
    </row>
    <row r="2554" spans="1:4" x14ac:dyDescent="0.2">
      <c r="A2554" s="5">
        <v>2493</v>
      </c>
      <c r="B2554" s="138">
        <f>'Acct Summary 7-8'!C7</f>
        <v>2989304</v>
      </c>
      <c r="C2554" s="2" t="s">
        <v>573</v>
      </c>
      <c r="D2554" s="2" t="str">
        <f t="shared" si="38"/>
        <v>Error?</v>
      </c>
    </row>
    <row r="2555" spans="1:4" x14ac:dyDescent="0.2">
      <c r="A2555" s="5">
        <v>2494</v>
      </c>
      <c r="B2555" s="138">
        <f>'Acct Summary 7-8'!C8</f>
        <v>58024540</v>
      </c>
      <c r="C2555" s="2" t="s">
        <v>573</v>
      </c>
      <c r="D2555" s="2" t="str">
        <f t="shared" si="38"/>
        <v>Error?</v>
      </c>
    </row>
    <row r="2556" spans="1:4" x14ac:dyDescent="0.2">
      <c r="A2556" s="5">
        <v>2495</v>
      </c>
      <c r="B2556" s="138">
        <f>'Acct Summary 7-8'!C12</f>
        <v>39510800</v>
      </c>
      <c r="C2556" s="2" t="s">
        <v>573</v>
      </c>
      <c r="D2556" s="2" t="str">
        <f t="shared" si="38"/>
        <v>Error?</v>
      </c>
    </row>
    <row r="2557" spans="1:4" x14ac:dyDescent="0.2">
      <c r="A2557" s="5">
        <v>2496</v>
      </c>
      <c r="B2557" s="138">
        <f>'Acct Summary 7-8'!C13</f>
        <v>17251299</v>
      </c>
      <c r="C2557" s="2" t="s">
        <v>573</v>
      </c>
      <c r="D2557" s="2" t="str">
        <f t="shared" si="38"/>
        <v>Error?</v>
      </c>
    </row>
    <row r="2558" spans="1:4" x14ac:dyDescent="0.2">
      <c r="A2558" s="5">
        <v>2497</v>
      </c>
      <c r="B2558" s="138">
        <f>'Acct Summary 7-8'!C14</f>
        <v>28693</v>
      </c>
      <c r="C2558" s="2" t="s">
        <v>573</v>
      </c>
      <c r="D2558" s="2" t="str">
        <f t="shared" si="38"/>
        <v>Error?</v>
      </c>
    </row>
    <row r="2559" spans="1:4" x14ac:dyDescent="0.2">
      <c r="A2559" s="5">
        <v>2498</v>
      </c>
      <c r="B2559" s="138">
        <f>'Acct Summary 7-8'!C15</f>
        <v>1078006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57868798</v>
      </c>
      <c r="C2561" s="2" t="s">
        <v>573</v>
      </c>
      <c r="D2561" s="2" t="str">
        <f t="shared" si="39"/>
        <v>Error?</v>
      </c>
    </row>
    <row r="2562" spans="1:4" x14ac:dyDescent="0.2">
      <c r="A2562" s="5">
        <v>2501</v>
      </c>
      <c r="B2562" s="138">
        <f>'Acct Summary 7-8'!C20</f>
        <v>155742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4813251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4813251</v>
      </c>
      <c r="C2568" s="2" t="s">
        <v>573</v>
      </c>
      <c r="D2568" s="2" t="str">
        <f t="shared" si="39"/>
        <v>Error?</v>
      </c>
    </row>
    <row r="2569" spans="1:4" x14ac:dyDescent="0.2">
      <c r="A2569" s="5">
        <v>2508</v>
      </c>
      <c r="B2569" s="138">
        <f>'Acct Summary 7-8'!D13</f>
        <v>4389767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4389767</v>
      </c>
      <c r="C2573" s="2" t="s">
        <v>573</v>
      </c>
      <c r="D2573" s="2" t="str">
        <f t="shared" si="39"/>
        <v>Error?</v>
      </c>
    </row>
    <row r="2574" spans="1:4" x14ac:dyDescent="0.2">
      <c r="A2574" s="5">
        <v>2513</v>
      </c>
      <c r="B2574" s="138">
        <f>'Acct Summary 7-8'!D20</f>
        <v>423484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2956695</v>
      </c>
      <c r="C2591" s="2" t="s">
        <v>573</v>
      </c>
      <c r="D2591" s="2" t="str">
        <f t="shared" si="39"/>
        <v>Error?</v>
      </c>
    </row>
    <row r="2592" spans="1:4" x14ac:dyDescent="0.2">
      <c r="A2592" s="10">
        <v>2531</v>
      </c>
      <c r="D2592" s="2" t="str">
        <f t="shared" si="39"/>
        <v>OK</v>
      </c>
    </row>
    <row r="2593" spans="1:4" x14ac:dyDescent="0.2">
      <c r="A2593" s="5">
        <v>2532</v>
      </c>
      <c r="B2593" s="138">
        <f>'Acct Summary 7-8'!F6</f>
        <v>1932222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4888917</v>
      </c>
      <c r="C2595" s="2" t="s">
        <v>573</v>
      </c>
      <c r="D2595" s="2" t="str">
        <f t="shared" si="39"/>
        <v>Error?</v>
      </c>
    </row>
    <row r="2596" spans="1:4" x14ac:dyDescent="0.2">
      <c r="A2596" s="5">
        <v>2535</v>
      </c>
      <c r="B2596" s="138">
        <f>'Acct Summary 7-8'!F13</f>
        <v>3709079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3709079</v>
      </c>
      <c r="C2600" s="2" t="s">
        <v>573</v>
      </c>
      <c r="D2600" s="2" t="str">
        <f t="shared" si="39"/>
        <v>Error?</v>
      </c>
    </row>
    <row r="2601" spans="1:4" x14ac:dyDescent="0.2">
      <c r="A2601" s="5">
        <v>2540</v>
      </c>
      <c r="B2601" s="138">
        <f>'Acct Summary 7-8'!F20</f>
        <v>1179838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2067319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2067319</v>
      </c>
      <c r="C2606" s="2" t="s">
        <v>573</v>
      </c>
      <c r="D2606" s="2" t="str">
        <f t="shared" si="39"/>
        <v>Error?</v>
      </c>
    </row>
    <row r="2607" spans="1:4" x14ac:dyDescent="0.2">
      <c r="A2607" s="5">
        <v>2546</v>
      </c>
      <c r="B2607" s="138">
        <f>'Acct Summary 7-8'!G12</f>
        <v>852284</v>
      </c>
      <c r="C2607" s="2" t="s">
        <v>573</v>
      </c>
      <c r="D2607" s="2" t="str">
        <f t="shared" si="39"/>
        <v>Error?</v>
      </c>
    </row>
    <row r="2608" spans="1:4" x14ac:dyDescent="0.2">
      <c r="A2608" s="5">
        <v>2547</v>
      </c>
      <c r="B2608" s="138">
        <f>'Acct Summary 7-8'!G13</f>
        <v>945388</v>
      </c>
      <c r="C2608" s="2" t="s">
        <v>573</v>
      </c>
      <c r="D2608" s="2" t="str">
        <f t="shared" si="39"/>
        <v>Error?</v>
      </c>
    </row>
    <row r="2609" spans="1:4" x14ac:dyDescent="0.2">
      <c r="A2609" s="5">
        <v>2548</v>
      </c>
      <c r="B2609" s="138">
        <f>'Acct Summary 7-8'!G14</f>
        <v>330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1798002</v>
      </c>
      <c r="C2612" s="2" t="s">
        <v>573</v>
      </c>
      <c r="D2612" s="2" t="str">
        <f t="shared" si="39"/>
        <v>Error?</v>
      </c>
    </row>
    <row r="2613" spans="1:4" x14ac:dyDescent="0.2">
      <c r="A2613" s="5">
        <v>2552</v>
      </c>
      <c r="B2613" s="138">
        <f>'Acct Summary 7-8'!G20</f>
        <v>269317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3743849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3743849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4499342</v>
      </c>
      <c r="C2634" s="2" t="s">
        <v>573</v>
      </c>
      <c r="D2634" s="2" t="str">
        <f t="shared" si="40"/>
        <v>Error?</v>
      </c>
    </row>
    <row r="2635" spans="1:4" x14ac:dyDescent="0.2">
      <c r="A2635" s="5">
        <v>2574</v>
      </c>
      <c r="B2635" s="138">
        <f>'Acct Summary 7-8'!E17</f>
        <v>4499342</v>
      </c>
      <c r="C2635" s="2" t="s">
        <v>573</v>
      </c>
      <c r="D2635" s="2" t="str">
        <f t="shared" si="40"/>
        <v>Error?</v>
      </c>
    </row>
    <row r="2636" spans="1:4" x14ac:dyDescent="0.2">
      <c r="A2636" s="5">
        <v>2575</v>
      </c>
      <c r="B2636" s="138">
        <f>'Acct Summary 7-8'!E20</f>
        <v>-755493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297028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297028</v>
      </c>
      <c r="C2658" s="2" t="s">
        <v>573</v>
      </c>
      <c r="D2658" s="2" t="str">
        <f t="shared" si="40"/>
        <v>Error?</v>
      </c>
    </row>
    <row r="2659" spans="1:4" x14ac:dyDescent="0.2">
      <c r="A2659" s="5">
        <v>2598</v>
      </c>
      <c r="B2659" s="138">
        <f>'Acct Summary 7-8'!H13</f>
        <v>1170334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1170334</v>
      </c>
      <c r="C2661" s="2" t="s">
        <v>573</v>
      </c>
      <c r="D2661" s="2" t="str">
        <f t="shared" si="40"/>
        <v>Error?</v>
      </c>
    </row>
    <row r="2662" spans="1:4" x14ac:dyDescent="0.2">
      <c r="A2662" s="5">
        <v>2601</v>
      </c>
      <c r="B2662" s="138">
        <f>'Acct Summary 7-8'!H20</f>
        <v>-873306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7273</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7573</v>
      </c>
      <c r="C2724" s="2" t="s">
        <v>573</v>
      </c>
      <c r="D2724" s="2" t="str">
        <f t="shared" si="41"/>
        <v>Error?</v>
      </c>
    </row>
    <row r="2725" spans="1:4" x14ac:dyDescent="0.2">
      <c r="A2725" s="5">
        <v>2664</v>
      </c>
      <c r="B2725" s="138">
        <f>'Expenditures 15-22'!D247</f>
        <v>51479</v>
      </c>
      <c r="D2725" s="2" t="str">
        <f t="shared" si="41"/>
        <v>Error?</v>
      </c>
    </row>
    <row r="2726" spans="1:4" x14ac:dyDescent="0.2">
      <c r="A2726" s="5">
        <v>2665</v>
      </c>
      <c r="B2726" s="138">
        <f>'Expenditures 15-22'!K247</f>
        <v>51479</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866361</v>
      </c>
      <c r="C2789" s="2" t="s">
        <v>573</v>
      </c>
      <c r="D2789" s="2" t="str">
        <f t="shared" si="42"/>
        <v>Error?</v>
      </c>
    </row>
    <row r="2790" spans="1:4" x14ac:dyDescent="0.2">
      <c r="A2790" s="5">
        <v>2729</v>
      </c>
      <c r="B2790" s="138">
        <f>'Expenditures 15-22'!E102</f>
        <v>866361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1976512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318396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1976512</v>
      </c>
      <c r="D2912" s="2" t="str">
        <f t="shared" si="44"/>
        <v>Error?</v>
      </c>
    </row>
    <row r="2913" spans="1:4" x14ac:dyDescent="0.2">
      <c r="A2913" s="5">
        <v>2852</v>
      </c>
      <c r="B2913" s="138">
        <f>'Assets-Liab 5-6'!I41</f>
        <v>1976512</v>
      </c>
      <c r="C2913" s="2" t="s">
        <v>573</v>
      </c>
      <c r="D2913" s="2" t="str">
        <f t="shared" si="44"/>
        <v>Error?</v>
      </c>
    </row>
    <row r="2914" spans="1:4" x14ac:dyDescent="0.2">
      <c r="A2914" s="5">
        <v>2853</v>
      </c>
      <c r="B2914" s="138">
        <f>'Assets-Liab 5-6'!L33</f>
        <v>318396</v>
      </c>
      <c r="D2914" s="2" t="str">
        <f t="shared" si="44"/>
        <v>Error?</v>
      </c>
    </row>
    <row r="2915" spans="1:4" x14ac:dyDescent="0.2">
      <c r="A2915" s="10">
        <v>2854</v>
      </c>
      <c r="D2915" s="2" t="str">
        <f t="shared" si="44"/>
        <v>OK</v>
      </c>
    </row>
    <row r="2916" spans="1:4" x14ac:dyDescent="0.2">
      <c r="A2916" s="5">
        <v>2855</v>
      </c>
      <c r="B2916" s="138">
        <f>'Assets-Liab 5-6'!L34</f>
        <v>318396</v>
      </c>
      <c r="C2916" s="2" t="s">
        <v>573</v>
      </c>
      <c r="D2916" s="2" t="str">
        <f t="shared" si="44"/>
        <v>Error?</v>
      </c>
    </row>
    <row r="2917" spans="1:4" x14ac:dyDescent="0.2">
      <c r="A2917" s="5">
        <v>2856</v>
      </c>
      <c r="B2917" s="138">
        <f>'Assets-Liab 5-6'!L41</f>
        <v>318396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866361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113054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98591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979415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98591</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34287</v>
      </c>
      <c r="C3225" s="2" t="s">
        <v>573</v>
      </c>
      <c r="D3225" s="2" t="str">
        <f t="shared" si="49"/>
        <v>Error?</v>
      </c>
    </row>
    <row r="3226" spans="1:4" x14ac:dyDescent="0.2">
      <c r="A3226" s="5">
        <v>3165</v>
      </c>
      <c r="B3226" s="138">
        <f>'Acct Summary 7-8'!I8</f>
        <v>34287</v>
      </c>
      <c r="C3226" s="2" t="s">
        <v>573</v>
      </c>
      <c r="D3226" s="2" t="str">
        <f t="shared" si="49"/>
        <v>Error?</v>
      </c>
    </row>
    <row r="3227" spans="1:4" x14ac:dyDescent="0.2">
      <c r="A3227" s="5">
        <v>3166</v>
      </c>
      <c r="B3227" s="138">
        <f>'Acct Summary 7-8'!I20</f>
        <v>34287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155742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9804457</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9804457</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423484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1179838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269317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-755493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9804457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9804457</v>
      </c>
      <c r="C3299" s="2" t="s">
        <v>573</v>
      </c>
      <c r="D3299" s="2" t="str">
        <f t="shared" si="50"/>
        <v>Error?</v>
      </c>
    </row>
    <row r="3300" spans="1:4" x14ac:dyDescent="0.2">
      <c r="A3300" s="5">
        <v>3239</v>
      </c>
      <c r="B3300" s="138">
        <f>'Acct Summary 7-8'!H78</f>
        <v>8931151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9807076</v>
      </c>
      <c r="C3317" s="2" t="s">
        <v>573</v>
      </c>
      <c r="D3317" s="2" t="str">
        <f t="shared" si="50"/>
        <v>Error?</v>
      </c>
    </row>
    <row r="3318" spans="1:4" x14ac:dyDescent="0.2">
      <c r="A3318" s="5">
        <v>3257</v>
      </c>
      <c r="B3318" s="138">
        <f>'Acct Summary 7-8'!I76</f>
        <v>9804457</v>
      </c>
      <c r="C3318" s="2" t="s">
        <v>573</v>
      </c>
      <c r="D3318" s="2" t="str">
        <f t="shared" si="50"/>
        <v>Error?</v>
      </c>
    </row>
    <row r="3319" spans="1:4" x14ac:dyDescent="0.2">
      <c r="A3319" s="5">
        <v>3258</v>
      </c>
      <c r="B3319" s="138">
        <f>'Acct Summary 7-8'!I77</f>
        <v>2619</v>
      </c>
      <c r="C3319" s="2" t="s">
        <v>573</v>
      </c>
      <c r="D3319" s="2" t="str">
        <f t="shared" si="50"/>
        <v>Error?</v>
      </c>
    </row>
    <row r="3320" spans="1:4" x14ac:dyDescent="0.2">
      <c r="A3320" s="5">
        <v>3259</v>
      </c>
      <c r="B3320" s="138">
        <f>'Acct Summary 7-8'!I78</f>
        <v>36906</v>
      </c>
      <c r="C3320" s="2" t="s">
        <v>573</v>
      </c>
      <c r="D3320" s="2" t="str">
        <f t="shared" si="50"/>
        <v>Error?</v>
      </c>
    </row>
    <row r="3321" spans="1:4" x14ac:dyDescent="0.2">
      <c r="A3321" s="5">
        <v>3260</v>
      </c>
      <c r="B3321" s="138">
        <f>'Acct Summary 7-8'!I79</f>
        <v>1939606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1976512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5259860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1235656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1044702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149309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59425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7751598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422826</v>
      </c>
      <c r="D3387" s="2" t="str">
        <f t="shared" si="51"/>
        <v>Error?</v>
      </c>
    </row>
    <row r="3388" spans="1:4" x14ac:dyDescent="0.2">
      <c r="A3388" s="5">
        <v>3327</v>
      </c>
      <c r="B3388" s="138">
        <f>'Expenditures 15-22'!D217</f>
        <v>325680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422826</v>
      </c>
      <c r="C3390" s="2" t="s">
        <v>573</v>
      </c>
      <c r="D3390" s="2" t="str">
        <f t="shared" si="51"/>
        <v>Error?</v>
      </c>
    </row>
    <row r="3391" spans="1:4" x14ac:dyDescent="0.2">
      <c r="A3391" s="5">
        <v>3330</v>
      </c>
      <c r="B3391" s="138">
        <f>'Expenditures 15-22'!K217</f>
        <v>325680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41872633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3295491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1185173</v>
      </c>
      <c r="D3417" s="2" t="str">
        <f t="shared" si="52"/>
        <v>Error?</v>
      </c>
    </row>
    <row r="3418" spans="1:4" x14ac:dyDescent="0.2">
      <c r="A3418" s="10">
        <v>3357</v>
      </c>
      <c r="D3418" s="2" t="str">
        <f t="shared" si="52"/>
        <v>OK</v>
      </c>
    </row>
    <row r="3419" spans="1:4" x14ac:dyDescent="0.2">
      <c r="A3419" s="5">
        <v>3358</v>
      </c>
      <c r="B3419" s="138">
        <f>'Assets-Liab 5-6'!F4</f>
        <v>3453770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1829749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9332120</v>
      </c>
      <c r="D3425" s="2" t="str">
        <f t="shared" si="52"/>
        <v>Error?</v>
      </c>
    </row>
    <row r="3426" spans="1:4" x14ac:dyDescent="0.2">
      <c r="A3426" s="10">
        <v>3365</v>
      </c>
      <c r="D3426" s="2" t="str">
        <f t="shared" si="52"/>
        <v>OK</v>
      </c>
    </row>
    <row r="3427" spans="1:4" x14ac:dyDescent="0.2">
      <c r="A3427" s="5">
        <v>3366</v>
      </c>
      <c r="B3427" s="138">
        <f>'Assets-Liab 5-6'!I4</f>
        <v>1976512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318396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857415</v>
      </c>
      <c r="C3446" s="2" t="s">
        <v>573</v>
      </c>
      <c r="D3446" s="2" t="str">
        <f t="shared" si="52"/>
        <v>Error?</v>
      </c>
    </row>
    <row r="3447" spans="1:4" x14ac:dyDescent="0.2">
      <c r="A3447" s="5">
        <v>3386</v>
      </c>
      <c r="B3447" s="138">
        <f>'Tax Sched 23'!D16</f>
        <v>399300</v>
      </c>
      <c r="C3447" s="2" t="s">
        <v>573</v>
      </c>
      <c r="D3447" s="2" t="str">
        <f t="shared" si="52"/>
        <v>Error?</v>
      </c>
    </row>
    <row r="3448" spans="1:4" x14ac:dyDescent="0.2">
      <c r="A3448" s="5">
        <v>3387</v>
      </c>
      <c r="B3448" s="138">
        <f>'Tax Sched 23'!C16</f>
        <v>458115</v>
      </c>
      <c r="D3448" s="2" t="str">
        <f t="shared" si="52"/>
        <v>Error?</v>
      </c>
    </row>
    <row r="3449" spans="1:4" x14ac:dyDescent="0.2">
      <c r="A3449" s="5">
        <v>3388</v>
      </c>
      <c r="B3449" s="138">
        <f>'Tax Sched 23'!F16</f>
        <v>428596</v>
      </c>
      <c r="C3449" s="2" t="s">
        <v>573</v>
      </c>
      <c r="D3449" s="2" t="str">
        <f t="shared" si="52"/>
        <v>Error?</v>
      </c>
    </row>
    <row r="3450" spans="1:4" x14ac:dyDescent="0.2">
      <c r="A3450" s="5">
        <v>3389</v>
      </c>
      <c r="B3450" s="138">
        <f>'Tax Sched 23'!E16</f>
        <v>886711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130182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130182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130182</v>
      </c>
      <c r="D3567" s="2" t="str">
        <f t="shared" si="54"/>
        <v>Error?</v>
      </c>
    </row>
    <row r="3568" spans="1:4" x14ac:dyDescent="0.2">
      <c r="A3568" s="5">
        <v>3507</v>
      </c>
      <c r="B3568" s="138">
        <f>'Assets-Liab 5-6'!K41</f>
        <v>130182</v>
      </c>
      <c r="C3568" s="2" t="s">
        <v>573</v>
      </c>
      <c r="D3568" s="2" t="str">
        <f t="shared" si="54"/>
        <v>Error?</v>
      </c>
    </row>
    <row r="3569" spans="1:4" x14ac:dyDescent="0.2">
      <c r="A3569" s="5">
        <v>3508</v>
      </c>
      <c r="B3569" s="138">
        <f>'Acct Summary 7-8'!K4</f>
        <v>7259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7259</v>
      </c>
      <c r="C3571" s="2" t="s">
        <v>573</v>
      </c>
      <c r="D3571" s="2" t="str">
        <f t="shared" si="54"/>
        <v>Error?</v>
      </c>
    </row>
    <row r="3572" spans="1:4" x14ac:dyDescent="0.2">
      <c r="A3572" s="5">
        <v>3511</v>
      </c>
      <c r="B3572" s="138">
        <f>'Acct Summary 7-8'!K13</f>
        <v>723567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723567</v>
      </c>
      <c r="C3575" s="2" t="s">
        <v>573</v>
      </c>
      <c r="D3575" s="2" t="str">
        <f t="shared" si="54"/>
        <v>Error?</v>
      </c>
    </row>
    <row r="3576" spans="1:4" x14ac:dyDescent="0.2">
      <c r="A3576" s="5">
        <v>3515</v>
      </c>
      <c r="B3576" s="138">
        <f>'Acct Summary 7-8'!K20</f>
        <v>-716308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-716308</v>
      </c>
      <c r="C3588" s="2" t="s">
        <v>573</v>
      </c>
      <c r="D3588" s="2" t="str">
        <f t="shared" si="55"/>
        <v>Error?</v>
      </c>
    </row>
    <row r="3589" spans="1:4" x14ac:dyDescent="0.2">
      <c r="A3589" s="5">
        <v>3528</v>
      </c>
      <c r="B3589" s="138">
        <f>'Acct Summary 7-8'!K79</f>
        <v>846490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130182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723567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723567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723567</v>
      </c>
      <c r="C3649" s="2" t="s">
        <v>573</v>
      </c>
      <c r="D3649" s="2" t="str">
        <f t="shared" si="56"/>
        <v>Error?</v>
      </c>
    </row>
    <row r="3650" spans="1:4" x14ac:dyDescent="0.2">
      <c r="A3650" s="5">
        <v>3589</v>
      </c>
      <c r="B3650" s="138">
        <f>'Expenditures 15-22'!G367</f>
        <v>723567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723567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723567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723567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723567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-716308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552884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24059009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82083549</v>
      </c>
      <c r="C4122" s="2" t="s">
        <v>573</v>
      </c>
      <c r="D4122" s="2" t="str">
        <f t="shared" si="63"/>
        <v>Error?</v>
      </c>
    </row>
    <row r="4123" spans="1:4" x14ac:dyDescent="0.2">
      <c r="A4123" s="5">
        <v>4062</v>
      </c>
      <c r="B4123" s="138">
        <f>'Acct Summary 7-8'!D10</f>
        <v>4813251</v>
      </c>
      <c r="C4123" s="2" t="s">
        <v>573</v>
      </c>
      <c r="D4123" s="2" t="str">
        <f t="shared" si="63"/>
        <v>Error?</v>
      </c>
    </row>
    <row r="4124" spans="1:4" x14ac:dyDescent="0.2">
      <c r="A4124" s="5">
        <v>4063</v>
      </c>
      <c r="B4124" s="138">
        <f>'Acct Summary 7-8'!E10</f>
        <v>3743849</v>
      </c>
      <c r="C4124" s="2" t="s">
        <v>573</v>
      </c>
      <c r="D4124" s="2" t="str">
        <f t="shared" si="63"/>
        <v>Error?</v>
      </c>
    </row>
    <row r="4125" spans="1:4" x14ac:dyDescent="0.2">
      <c r="A4125" s="5">
        <v>4064</v>
      </c>
      <c r="B4125" s="138">
        <f>'Acct Summary 7-8'!F10</f>
        <v>4888917</v>
      </c>
      <c r="C4125" s="2" t="s">
        <v>573</v>
      </c>
      <c r="D4125" s="2" t="str">
        <f t="shared" si="63"/>
        <v>Error?</v>
      </c>
    </row>
    <row r="4126" spans="1:4" x14ac:dyDescent="0.2">
      <c r="A4126" s="5">
        <v>4065</v>
      </c>
      <c r="B4126" s="138">
        <f>'Acct Summary 7-8'!G10</f>
        <v>2067319</v>
      </c>
      <c r="C4126" s="2" t="s">
        <v>573</v>
      </c>
      <c r="D4126" s="2" t="str">
        <f t="shared" si="63"/>
        <v>Error?</v>
      </c>
    </row>
    <row r="4127" spans="1:4" x14ac:dyDescent="0.2">
      <c r="A4127" s="5">
        <v>4066</v>
      </c>
      <c r="B4127" s="138">
        <f>'Acct Summary 7-8'!H10</f>
        <v>297028</v>
      </c>
      <c r="C4127" s="2" t="s">
        <v>573</v>
      </c>
      <c r="D4127" s="2" t="str">
        <f t="shared" si="63"/>
        <v>Error?</v>
      </c>
    </row>
    <row r="4128" spans="1:4" x14ac:dyDescent="0.2">
      <c r="A4128" s="5">
        <v>4067</v>
      </c>
      <c r="B4128" s="138">
        <f>'Acct Summary 7-8'!I10</f>
        <v>34287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7259</v>
      </c>
      <c r="C4130" s="2" t="s">
        <v>573</v>
      </c>
      <c r="D4130" s="2" t="str">
        <f t="shared" si="63"/>
        <v>Error?</v>
      </c>
    </row>
    <row r="4131" spans="1:4" x14ac:dyDescent="0.2">
      <c r="A4131" s="5">
        <v>4070</v>
      </c>
      <c r="B4131" s="138">
        <f>'Acct Summary 7-8'!C18</f>
        <v>24059009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81927807</v>
      </c>
      <c r="C4136" s="2" t="s">
        <v>573</v>
      </c>
      <c r="D4136" s="2" t="str">
        <f t="shared" si="63"/>
        <v>Error?</v>
      </c>
    </row>
    <row r="4137" spans="1:4" x14ac:dyDescent="0.2">
      <c r="A4137" s="5">
        <v>4076</v>
      </c>
      <c r="B4137" s="138">
        <f>'Acct Summary 7-8'!D19</f>
        <v>4389767</v>
      </c>
      <c r="C4137" s="2" t="s">
        <v>573</v>
      </c>
      <c r="D4137" s="2" t="str">
        <f t="shared" si="63"/>
        <v>Error?</v>
      </c>
    </row>
    <row r="4138" spans="1:4" x14ac:dyDescent="0.2">
      <c r="A4138" s="5">
        <v>4077</v>
      </c>
      <c r="B4138" s="138">
        <f>'Acct Summary 7-8'!E19</f>
        <v>4499342</v>
      </c>
      <c r="C4138" s="2" t="s">
        <v>573</v>
      </c>
      <c r="D4138" s="2" t="str">
        <f t="shared" si="63"/>
        <v>Error?</v>
      </c>
    </row>
    <row r="4139" spans="1:4" x14ac:dyDescent="0.2">
      <c r="A4139" s="5">
        <v>4078</v>
      </c>
      <c r="B4139" s="138">
        <f>'Acct Summary 7-8'!F19</f>
        <v>3709079</v>
      </c>
      <c r="C4139" s="2" t="s">
        <v>573</v>
      </c>
      <c r="D4139" s="2" t="str">
        <f t="shared" si="63"/>
        <v>Error?</v>
      </c>
    </row>
    <row r="4140" spans="1:4" x14ac:dyDescent="0.2">
      <c r="A4140" s="5">
        <v>4079</v>
      </c>
      <c r="B4140" s="138">
        <f>'Acct Summary 7-8'!G19</f>
        <v>1798002</v>
      </c>
      <c r="C4140" s="2" t="s">
        <v>573</v>
      </c>
      <c r="D4140" s="2" t="str">
        <f t="shared" si="63"/>
        <v>Error?</v>
      </c>
    </row>
    <row r="4141" spans="1:4" x14ac:dyDescent="0.2">
      <c r="A4141" s="5">
        <v>4080</v>
      </c>
      <c r="B4141" s="138">
        <f>'Acct Summary 7-8'!H19</f>
        <v>1170334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723567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21305000</v>
      </c>
      <c r="C4171" s="2" t="s">
        <v>573</v>
      </c>
      <c r="D4171" s="2" t="str">
        <f t="shared" si="64"/>
        <v>Error?</v>
      </c>
    </row>
    <row r="4172" spans="1:4" x14ac:dyDescent="0.2">
      <c r="A4172" s="5">
        <v>4111</v>
      </c>
      <c r="B4172" s="138">
        <f>'Short-Term Long-Term Debt 24'!J49</f>
        <v>20119827</v>
      </c>
      <c r="C4172" s="2" t="s">
        <v>573</v>
      </c>
      <c r="D4172" s="2" t="str">
        <f t="shared" si="64"/>
        <v>Error?</v>
      </c>
    </row>
    <row r="4173" spans="1:4" x14ac:dyDescent="0.2">
      <c r="A4173" s="5">
        <v>4112</v>
      </c>
      <c r="B4173" s="138">
        <f>'Short-Term Long-Term Debt 24'!H49</f>
        <v>3860000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2170.8000000000002</v>
      </c>
      <c r="C4265" s="2" t="s">
        <v>573</v>
      </c>
      <c r="D4265" s="2" t="str">
        <f t="shared" si="65"/>
        <v>Error?</v>
      </c>
      <c r="E4265" s="128"/>
    </row>
    <row r="4266" spans="1:5" x14ac:dyDescent="0.2">
      <c r="A4266" s="12">
        <v>4205</v>
      </c>
      <c r="B4266" s="138">
        <f>('FP Info 3'!F10)*100000</f>
        <v>236.5</v>
      </c>
      <c r="C4266" s="2" t="s">
        <v>573</v>
      </c>
      <c r="D4266" s="2" t="str">
        <f t="shared" si="65"/>
        <v>Error?</v>
      </c>
      <c r="E4266" s="128"/>
    </row>
    <row r="4267" spans="1:5" x14ac:dyDescent="0.2">
      <c r="A4267" s="12">
        <v>4206</v>
      </c>
      <c r="B4267" s="138">
        <f>('FP Info 3'!H10)*100000</f>
        <v>154.79999999999998</v>
      </c>
      <c r="C4267" s="2" t="s">
        <v>573</v>
      </c>
      <c r="D4267" s="2" t="str">
        <f t="shared" si="65"/>
        <v>Error?</v>
      </c>
      <c r="E4267" s="128"/>
    </row>
    <row r="4268" spans="1:5" x14ac:dyDescent="0.2">
      <c r="A4268" s="12">
        <v>4207</v>
      </c>
      <c r="B4268" s="138">
        <f>('FP Info 3'!J10)*100000</f>
        <v>2562</v>
      </c>
      <c r="C4268" s="2" t="s">
        <v>573</v>
      </c>
      <c r="D4268" s="2" t="str">
        <f t="shared" si="65"/>
        <v>Error?</v>
      </c>
    </row>
    <row r="4269" spans="1:5" x14ac:dyDescent="0.2">
      <c r="A4269" s="12">
        <v>4208</v>
      </c>
      <c r="B4269" s="138">
        <f>'FP Info 3'!J16</f>
        <v>50418727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15421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34800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202672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31113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59228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118121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1907406679</v>
      </c>
      <c r="D4995" s="2" t="str">
        <f t="shared" si="77"/>
        <v>Error?</v>
      </c>
    </row>
    <row r="4996" spans="1:4" x14ac:dyDescent="0.2">
      <c r="A4996" s="12">
        <v>4935</v>
      </c>
      <c r="B4996" s="138">
        <f>'FP Info 3'!H31</f>
        <v>131611060.85100001</v>
      </c>
      <c r="D4996" s="2" t="str">
        <f t="shared" si="77"/>
        <v>Error?</v>
      </c>
    </row>
    <row r="4997" spans="1:4" x14ac:dyDescent="0.2">
      <c r="A4997" s="12">
        <v>4936</v>
      </c>
      <c r="B4997" s="138">
        <f>'FP Info 3'!H37</f>
        <v>21305000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39978986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39978986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568157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568157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9950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9950</v>
      </c>
      <c r="C5087" s="2" t="s">
        <v>573</v>
      </c>
      <c r="D5087" s="2" t="str">
        <f t="shared" si="78"/>
        <v>Error?</v>
      </c>
    </row>
    <row r="5088" spans="1:4" x14ac:dyDescent="0.2">
      <c r="A5088" s="5">
        <v>5027</v>
      </c>
      <c r="B5088" s="138">
        <f>'Revenues 9-14'!C65</f>
        <v>741883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741883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10459</v>
      </c>
      <c r="D5094" s="2" t="str">
        <f t="shared" si="78"/>
        <v>Error?</v>
      </c>
    </row>
    <row r="5095" spans="1:4" x14ac:dyDescent="0.2">
      <c r="A5095" s="5">
        <v>5034</v>
      </c>
      <c r="B5095" s="138">
        <f>'Revenues 9-14'!C74</f>
        <v>17102</v>
      </c>
      <c r="D5095" s="2" t="str">
        <f t="shared" si="78"/>
        <v>Error?</v>
      </c>
    </row>
    <row r="5096" spans="1:4" x14ac:dyDescent="0.2">
      <c r="A5096" s="5">
        <v>5035</v>
      </c>
      <c r="B5096" s="138">
        <f>'Revenues 9-14'!C75</f>
        <v>868086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185942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185942</v>
      </c>
      <c r="C5102" s="2" t="s">
        <v>573</v>
      </c>
      <c r="D5102" s="2" t="str">
        <f t="shared" si="78"/>
        <v>Error?</v>
      </c>
    </row>
    <row r="5103" spans="1:4" x14ac:dyDescent="0.2">
      <c r="A5103" s="5">
        <v>5042</v>
      </c>
      <c r="B5103" s="138">
        <f>'Revenues 9-14'!C84</f>
        <v>808730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808730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60566</v>
      </c>
      <c r="D5118" s="2" t="str">
        <f t="shared" si="78"/>
        <v>Error?</v>
      </c>
    </row>
    <row r="5119" spans="1:4" x14ac:dyDescent="0.2">
      <c r="A5119" s="5">
        <v>5058</v>
      </c>
      <c r="B5119" s="138">
        <f>'Revenues 9-14'!C107</f>
        <v>200937</v>
      </c>
      <c r="D5119" s="2" t="str">
        <f t="shared" ref="D5119:D5182" si="79">IF(ISBLANK(B5119),"OK",IF(A5119-B5119=0,"OK","Error?"))</f>
        <v>Error?</v>
      </c>
    </row>
    <row r="5120" spans="1:4" x14ac:dyDescent="0.2">
      <c r="A5120" s="5">
        <v>5059</v>
      </c>
      <c r="B5120" s="138">
        <f>'Revenues 9-14'!C108</f>
        <v>7304661</v>
      </c>
      <c r="C5120" s="2" t="s">
        <v>573</v>
      </c>
      <c r="D5120" s="2" t="str">
        <f t="shared" si="79"/>
        <v>Error?</v>
      </c>
    </row>
    <row r="5121" spans="1:4" x14ac:dyDescent="0.2">
      <c r="A5121" s="5">
        <v>5060</v>
      </c>
      <c r="B5121" s="138">
        <f>'Revenues 9-14'!C109</f>
        <v>50466395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4256282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4256282</v>
      </c>
      <c r="C5132" s="2" t="s">
        <v>573</v>
      </c>
      <c r="D5132" s="2" t="str">
        <f t="shared" si="79"/>
        <v>Error?</v>
      </c>
    </row>
    <row r="5133" spans="1:4" x14ac:dyDescent="0.2">
      <c r="A5133" s="5">
        <v>5072</v>
      </c>
      <c r="B5133" s="138">
        <f>'Revenues 9-14'!C125</f>
        <v>298000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304143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8416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312559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4568841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475266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74427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549693</v>
      </c>
      <c r="C5246" s="2" t="s">
        <v>573</v>
      </c>
      <c r="D5246" s="2" t="str">
        <f t="shared" si="80"/>
        <v>Error?</v>
      </c>
    </row>
    <row r="5247" spans="1:4" x14ac:dyDescent="0.2">
      <c r="A5247" s="5">
        <v>5186</v>
      </c>
      <c r="B5247" s="138">
        <f>'Revenues 9-14'!C200</f>
        <v>492251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31113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507672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93477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755383</v>
      </c>
      <c r="D5278" s="2" t="str">
        <f t="shared" si="81"/>
        <v>Error?</v>
      </c>
    </row>
    <row r="5279" spans="1:4" x14ac:dyDescent="0.2">
      <c r="A5279" s="5">
        <v>5218</v>
      </c>
      <c r="B5279" s="138">
        <f>'Revenues 9-14'!C214</f>
        <v>637145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1486005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2989304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2989304</v>
      </c>
      <c r="C5326" s="2" t="s">
        <v>573</v>
      </c>
      <c r="D5326" s="2" t="str">
        <f t="shared" si="82"/>
        <v>Error?</v>
      </c>
    </row>
    <row r="5327" spans="1:5" x14ac:dyDescent="0.2">
      <c r="A5327" s="5">
        <v>5266</v>
      </c>
      <c r="B5327" s="138">
        <f>'Revenues 9-14'!C268</f>
        <v>58024540</v>
      </c>
      <c r="C5327" s="2" t="s">
        <v>573</v>
      </c>
      <c r="D5327" s="2" t="str">
        <f t="shared" si="82"/>
        <v>Error?</v>
      </c>
    </row>
    <row r="5328" spans="1:5" x14ac:dyDescent="0.2">
      <c r="A5328" s="5">
        <v>5267</v>
      </c>
      <c r="B5328" s="138">
        <f>'Revenues 9-14'!D5</f>
        <v>4364832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4364832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75663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75663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71331</v>
      </c>
      <c r="D5349" s="2" t="str">
        <f t="shared" si="82"/>
        <v>Error?</v>
      </c>
    </row>
    <row r="5350" spans="1:4" x14ac:dyDescent="0.2">
      <c r="A5350" s="5">
        <v>5289</v>
      </c>
      <c r="B5350" s="138">
        <f>'Revenues 9-14'!D96</f>
        <v>298609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372756</v>
      </c>
      <c r="C5355" s="2" t="s">
        <v>573</v>
      </c>
      <c r="D5355" s="2" t="str">
        <f t="shared" si="82"/>
        <v>Error?</v>
      </c>
    </row>
    <row r="5356" spans="1:4" x14ac:dyDescent="0.2">
      <c r="A5356" s="5">
        <v>5295</v>
      </c>
      <c r="B5356" s="138">
        <f>'Revenues 9-14'!D109</f>
        <v>4813251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4813251</v>
      </c>
      <c r="C5508" s="2" t="s">
        <v>573</v>
      </c>
      <c r="D5508" s="2" t="str">
        <f t="shared" si="85"/>
        <v>Error?</v>
      </c>
    </row>
    <row r="5509" spans="1:4" x14ac:dyDescent="0.2">
      <c r="A5509" s="5">
        <v>5448</v>
      </c>
      <c r="B5509" s="138">
        <f>'Revenues 9-14'!E5</f>
        <v>3694887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3694887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48962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48962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3743849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3743849</v>
      </c>
      <c r="C5552" s="2" t="s">
        <v>573</v>
      </c>
      <c r="D5552" s="2" t="str">
        <f t="shared" si="85"/>
        <v>Error?</v>
      </c>
    </row>
    <row r="5553" spans="1:4" x14ac:dyDescent="0.2">
      <c r="A5553" s="5">
        <v>5492</v>
      </c>
      <c r="B5553" s="138">
        <f>'Revenues 9-14'!F5</f>
        <v>2864224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2864224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33545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400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33945</v>
      </c>
      <c r="C5579" s="2" t="s">
        <v>573</v>
      </c>
      <c r="D5579" s="2" t="str">
        <f t="shared" si="86"/>
        <v>Error?</v>
      </c>
    </row>
    <row r="5580" spans="1:4" x14ac:dyDescent="0.2">
      <c r="A5580" s="5">
        <v>5519</v>
      </c>
      <c r="B5580" s="138">
        <f>'Revenues 9-14'!F65</f>
        <v>58526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58526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2956695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1167234</v>
      </c>
      <c r="D5615" s="2" t="str">
        <f t="shared" si="86"/>
        <v>Error?</v>
      </c>
    </row>
    <row r="5616" spans="1:4" x14ac:dyDescent="0.2">
      <c r="A5616" s="10">
        <v>5555</v>
      </c>
      <c r="D5616" s="2" t="str">
        <f t="shared" si="86"/>
        <v>OK</v>
      </c>
    </row>
    <row r="5617" spans="1:5" x14ac:dyDescent="0.2">
      <c r="A5617" s="5">
        <v>5556</v>
      </c>
      <c r="B5617" s="138">
        <f>'Revenues 9-14'!F153</f>
        <v>764988</v>
      </c>
      <c r="D5617" s="2" t="str">
        <f t="shared" si="86"/>
        <v>Error?</v>
      </c>
    </row>
    <row r="5618" spans="1:5" x14ac:dyDescent="0.2">
      <c r="A5618" s="5">
        <v>5557</v>
      </c>
      <c r="B5618" s="138">
        <f>'Revenues 9-14'!F155</f>
        <v>1932222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1932222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1932222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4888917</v>
      </c>
      <c r="C5720" s="2" t="s">
        <v>573</v>
      </c>
      <c r="D5720" s="2" t="str">
        <f t="shared" si="88"/>
        <v>Error?</v>
      </c>
    </row>
    <row r="5721" spans="1:4" x14ac:dyDescent="0.2">
      <c r="A5721" s="5">
        <v>5660</v>
      </c>
      <c r="B5721" s="138">
        <f>'Revenues 9-14'!G5</f>
        <v>1107010</v>
      </c>
      <c r="D5721" s="2" t="str">
        <f t="shared" si="88"/>
        <v>Error?</v>
      </c>
    </row>
    <row r="5722" spans="1:4" x14ac:dyDescent="0.2">
      <c r="A5722" s="5">
        <v>5661</v>
      </c>
      <c r="B5722" s="138">
        <f>'Revenues 9-14'!G7</f>
        <v>0</v>
      </c>
      <c r="D5722" s="2" t="str">
        <f t="shared" si="88"/>
        <v>Error?</v>
      </c>
    </row>
    <row r="5723" spans="1:4" x14ac:dyDescent="0.2">
      <c r="A5723" s="5">
        <v>5662</v>
      </c>
      <c r="B5723" s="138">
        <f>'Revenues 9-14'!G8</f>
        <v>857415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1964425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70000</v>
      </c>
      <c r="C5730" s="2" t="s">
        <v>573</v>
      </c>
      <c r="D5730" s="2" t="str">
        <f t="shared" si="88"/>
        <v>Error?</v>
      </c>
    </row>
    <row r="5731" spans="1:4" x14ac:dyDescent="0.2">
      <c r="A5731" s="5">
        <v>5670</v>
      </c>
      <c r="B5731" s="138">
        <f>'Revenues 9-14'!G65</f>
        <v>32894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32894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2067319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78768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78768</v>
      </c>
      <c r="C5881" s="2" t="s">
        <v>573</v>
      </c>
      <c r="D5881" s="2" t="str">
        <f t="shared" si="90"/>
        <v>Error?</v>
      </c>
    </row>
    <row r="5882" spans="1:4" x14ac:dyDescent="0.2">
      <c r="A5882" s="5">
        <v>5821</v>
      </c>
      <c r="B5882" s="138">
        <f>'Revenues 9-14'!H96</f>
        <v>218260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218260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297028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34287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34287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34287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7259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7259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7259</v>
      </c>
      <c r="C6023" s="2" t="s">
        <v>573</v>
      </c>
      <c r="D6023" s="2" t="str">
        <f t="shared" si="93"/>
        <v>Error?</v>
      </c>
    </row>
    <row r="6024" spans="1:5" x14ac:dyDescent="0.2">
      <c r="A6024" s="5">
        <v>5963</v>
      </c>
      <c r="B6024" s="138">
        <f>'Revenues 9-14'!G109</f>
        <v>2067319</v>
      </c>
      <c r="C6024" s="2" t="s">
        <v>573</v>
      </c>
      <c r="D6024" s="2" t="str">
        <f t="shared" si="93"/>
        <v>Error?</v>
      </c>
    </row>
    <row r="6025" spans="1:5" x14ac:dyDescent="0.2">
      <c r="A6025" s="5">
        <v>5964</v>
      </c>
      <c r="B6025" s="138">
        <f>'Revenues 9-14'!H109</f>
        <v>297028</v>
      </c>
      <c r="C6025" s="2" t="s">
        <v>573</v>
      </c>
      <c r="D6025" s="2" t="str">
        <f t="shared" si="93"/>
        <v>Error?</v>
      </c>
    </row>
    <row r="6026" spans="1:5" x14ac:dyDescent="0.2">
      <c r="A6026" s="5">
        <v>5965</v>
      </c>
      <c r="B6026" s="138">
        <f>'Revenues 9-14'!I109</f>
        <v>34287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7259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840525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99497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4261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733633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733633</v>
      </c>
      <c r="D6215" s="2" t="str">
        <f t="shared" si="96"/>
        <v>Error?</v>
      </c>
      <c r="E6215" s="2" t="s">
        <v>190</v>
      </c>
    </row>
    <row r="6216" spans="1:5" x14ac:dyDescent="0.2">
      <c r="A6216">
        <v>6155</v>
      </c>
      <c r="B6216" s="138">
        <f>'Assets-Liab 5-6'!J41</f>
        <v>733633</v>
      </c>
      <c r="D6216" s="2" t="str">
        <f t="shared" si="96"/>
        <v>Error?</v>
      </c>
      <c r="E6216" s="2" t="s">
        <v>190</v>
      </c>
    </row>
    <row r="6217" spans="1:5" x14ac:dyDescent="0.2">
      <c r="A6217">
        <v>6156</v>
      </c>
      <c r="B6217" s="138">
        <f>'Assets-Liab 5-6'!J4</f>
        <v>733633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584723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584723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584723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386703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386703</v>
      </c>
      <c r="D6229" s="2" t="str">
        <f t="shared" si="96"/>
        <v>Error?</v>
      </c>
      <c r="E6229" s="2" t="s">
        <v>190</v>
      </c>
    </row>
    <row r="6230" spans="1:5" x14ac:dyDescent="0.2">
      <c r="A6230">
        <v>6169</v>
      </c>
      <c r="B6230" s="138">
        <f>'Acct Summary 7-8'!J20</f>
        <v>198020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198020</v>
      </c>
      <c r="D6263" s="2" t="str">
        <f t="shared" si="96"/>
        <v>Error?</v>
      </c>
      <c r="E6263" s="2" t="s">
        <v>190</v>
      </c>
    </row>
    <row r="6264" spans="1:5" x14ac:dyDescent="0.2">
      <c r="A6264">
        <v>6203</v>
      </c>
      <c r="B6264" s="138">
        <f>'Acct Summary 7-8'!J79</f>
        <v>535613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733633</v>
      </c>
      <c r="D6266" s="2" t="str">
        <f t="shared" si="96"/>
        <v>Error?</v>
      </c>
      <c r="E6266" s="2" t="s">
        <v>190</v>
      </c>
    </row>
    <row r="6267" spans="1:5" x14ac:dyDescent="0.2">
      <c r="A6267">
        <v>6206</v>
      </c>
      <c r="B6267" s="138">
        <f>'Acct Summary 7-8'!C82</f>
        <v>155742</v>
      </c>
      <c r="D6267" s="2" t="str">
        <f t="shared" si="96"/>
        <v>Error?</v>
      </c>
      <c r="E6267" s="2" t="s">
        <v>190</v>
      </c>
    </row>
    <row r="6268" spans="1:5" x14ac:dyDescent="0.2">
      <c r="A6268">
        <v>6207</v>
      </c>
      <c r="B6268" s="138">
        <f>'Acct Summary 7-8'!D82</f>
        <v>423484</v>
      </c>
      <c r="D6268" s="2" t="str">
        <f t="shared" si="96"/>
        <v>Error?</v>
      </c>
      <c r="E6268" s="2" t="s">
        <v>190</v>
      </c>
    </row>
    <row r="6269" spans="1:5" x14ac:dyDescent="0.2">
      <c r="A6269">
        <v>6208</v>
      </c>
      <c r="B6269" s="138">
        <f>'Acct Summary 7-8'!E82</f>
        <v>-755493</v>
      </c>
      <c r="D6269" s="2" t="str">
        <f t="shared" si="96"/>
        <v>Error?</v>
      </c>
      <c r="E6269" s="2" t="s">
        <v>190</v>
      </c>
    </row>
    <row r="6270" spans="1:5" x14ac:dyDescent="0.2">
      <c r="A6270">
        <v>6209</v>
      </c>
      <c r="B6270" s="138">
        <f>'Acct Summary 7-8'!F82</f>
        <v>1179838</v>
      </c>
      <c r="D6270" s="2" t="str">
        <f t="shared" si="96"/>
        <v>Error?</v>
      </c>
      <c r="E6270" s="2" t="s">
        <v>190</v>
      </c>
    </row>
    <row r="6271" spans="1:5" x14ac:dyDescent="0.2">
      <c r="A6271">
        <v>6210</v>
      </c>
      <c r="B6271" s="138">
        <f>'Acct Summary 7-8'!G82</f>
        <v>269317</v>
      </c>
      <c r="D6271" s="2" t="str">
        <f t="shared" ref="D6271:D6334" si="97">IF(ISBLANK(B6271),"OK",IF(A6271-B6271=0,"OK","Error?"))</f>
        <v>Error?</v>
      </c>
      <c r="E6271" s="2" t="s">
        <v>190</v>
      </c>
    </row>
    <row r="6272" spans="1:5" x14ac:dyDescent="0.2">
      <c r="A6272">
        <v>6211</v>
      </c>
      <c r="B6272" s="138">
        <f>'Acct Summary 7-8'!H82</f>
        <v>8931151</v>
      </c>
      <c r="D6272" s="2" t="str">
        <f t="shared" si="97"/>
        <v>Error?</v>
      </c>
      <c r="E6272" s="2" t="s">
        <v>190</v>
      </c>
    </row>
    <row r="6273" spans="1:5" x14ac:dyDescent="0.2">
      <c r="A6273">
        <v>6212</v>
      </c>
      <c r="B6273" s="138">
        <f>'Acct Summary 7-8'!I82</f>
        <v>36906</v>
      </c>
      <c r="D6273" s="2" t="str">
        <f t="shared" si="97"/>
        <v>Error?</v>
      </c>
      <c r="E6273" s="2" t="s">
        <v>190</v>
      </c>
    </row>
    <row r="6274" spans="1:5" x14ac:dyDescent="0.2">
      <c r="A6274">
        <v>6213</v>
      </c>
      <c r="B6274" s="138">
        <f>'Acct Summary 7-8'!J82</f>
        <v>198020</v>
      </c>
      <c r="D6274" s="2" t="str">
        <f t="shared" si="97"/>
        <v>Error?</v>
      </c>
      <c r="E6274" s="2" t="s">
        <v>190</v>
      </c>
    </row>
    <row r="6275" spans="1:5" x14ac:dyDescent="0.2">
      <c r="A6275">
        <v>6214</v>
      </c>
      <c r="B6275" s="138">
        <f>'Acct Summary 7-8'!K82</f>
        <v>-716308</v>
      </c>
      <c r="D6275" s="2" t="str">
        <f t="shared" si="97"/>
        <v>Error?</v>
      </c>
      <c r="E6275" s="2" t="s">
        <v>190</v>
      </c>
    </row>
    <row r="6276" spans="1:5" x14ac:dyDescent="0.2">
      <c r="A6276">
        <v>6215</v>
      </c>
      <c r="B6276" s="138">
        <f>'Acct Summary 7-8'!C83</f>
        <v>3.7352085339137421E-3</v>
      </c>
      <c r="D6276" s="2" t="str">
        <f t="shared" si="97"/>
        <v>Error?</v>
      </c>
      <c r="E6276" s="2" t="s">
        <v>190</v>
      </c>
    </row>
    <row r="6277" spans="1:5" x14ac:dyDescent="0.2">
      <c r="A6277">
        <v>6216</v>
      </c>
      <c r="B6277" s="138">
        <f>'Acct Summary 7-8'!D83</f>
        <v>0.12860982859169803</v>
      </c>
      <c r="D6277" s="2" t="str">
        <f t="shared" si="97"/>
        <v>Error?</v>
      </c>
      <c r="E6277" s="2" t="s">
        <v>190</v>
      </c>
    </row>
    <row r="6278" spans="1:5" x14ac:dyDescent="0.2">
      <c r="A6278">
        <v>6217</v>
      </c>
      <c r="B6278" s="138">
        <f>'Acct Summary 7-8'!E83</f>
        <v>-0.6374537725715993</v>
      </c>
      <c r="D6278" s="2" t="str">
        <f t="shared" si="97"/>
        <v>Error?</v>
      </c>
      <c r="E6278" s="2" t="s">
        <v>190</v>
      </c>
    </row>
    <row r="6279" spans="1:5" x14ac:dyDescent="0.2">
      <c r="A6279">
        <v>6218</v>
      </c>
      <c r="B6279" s="138">
        <f>'Acct Summary 7-8'!F83</f>
        <v>0.34160873480283865</v>
      </c>
      <c r="D6279" s="2" t="str">
        <f t="shared" si="97"/>
        <v>Error?</v>
      </c>
      <c r="E6279" s="2" t="s">
        <v>190</v>
      </c>
    </row>
    <row r="6280" spans="1:5" x14ac:dyDescent="0.2">
      <c r="A6280">
        <v>6219</v>
      </c>
      <c r="B6280" s="138">
        <f>'Acct Summary 7-8'!G83</f>
        <v>0.14718794763653376</v>
      </c>
      <c r="D6280" s="2" t="str">
        <f t="shared" si="97"/>
        <v>Error?</v>
      </c>
      <c r="E6280" s="2" t="s">
        <v>190</v>
      </c>
    </row>
    <row r="6281" spans="1:5" x14ac:dyDescent="0.2">
      <c r="A6281">
        <v>6220</v>
      </c>
      <c r="B6281" s="138">
        <f>'Acct Summary 7-8'!H83</f>
        <v>0.95703345006279383</v>
      </c>
      <c r="D6281" s="2" t="str">
        <f t="shared" si="97"/>
        <v>Error?</v>
      </c>
      <c r="E6281" s="2" t="s">
        <v>190</v>
      </c>
    </row>
    <row r="6282" spans="1:5" x14ac:dyDescent="0.2">
      <c r="A6282">
        <v>6221</v>
      </c>
      <c r="B6282" s="138">
        <f>'Acct Summary 7-8'!I83</f>
        <v>1.8672287342550917E-2</v>
      </c>
      <c r="D6282" s="2" t="str">
        <f t="shared" si="97"/>
        <v>Error?</v>
      </c>
      <c r="E6282" s="2" t="s">
        <v>190</v>
      </c>
    </row>
    <row r="6283" spans="1:5" x14ac:dyDescent="0.2">
      <c r="A6283">
        <v>6222</v>
      </c>
      <c r="B6283" s="138">
        <f>'Acct Summary 7-8'!J83</f>
        <v>0.26991697483619193</v>
      </c>
      <c r="D6283" s="2" t="str">
        <f t="shared" si="97"/>
        <v>Error?</v>
      </c>
      <c r="E6283" s="2" t="s">
        <v>190</v>
      </c>
    </row>
    <row r="6284" spans="1:5" x14ac:dyDescent="0.2">
      <c r="A6284">
        <v>6223</v>
      </c>
      <c r="B6284" s="138">
        <f>'Acct Summary 7-8'!K83</f>
        <v>-5.5023582369298367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9804457</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542545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542545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12393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12393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29785</v>
      </c>
      <c r="D6329" s="2" t="str">
        <f t="shared" si="97"/>
        <v>Error?</v>
      </c>
      <c r="E6329" s="2" t="s">
        <v>190</v>
      </c>
    </row>
    <row r="6330" spans="1:5" x14ac:dyDescent="0.2">
      <c r="A6330">
        <v>6269</v>
      </c>
      <c r="B6330" s="138">
        <f>'Revenues 9-14'!C100</f>
        <v>7043158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29785</v>
      </c>
      <c r="D6351" s="2" t="str">
        <f t="shared" si="98"/>
        <v>Error?</v>
      </c>
      <c r="E6351" s="2" t="s">
        <v>190</v>
      </c>
    </row>
    <row r="6352" spans="1:5" x14ac:dyDescent="0.2">
      <c r="A6352">
        <v>6291</v>
      </c>
      <c r="B6352" s="138">
        <f>'Revenues 9-14'!J109</f>
        <v>584723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7436</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7645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2726340</v>
      </c>
      <c r="D6880" s="2" t="str">
        <f t="shared" si="106"/>
        <v>Error?</v>
      </c>
    </row>
    <row r="6881" spans="1:4" x14ac:dyDescent="0.2">
      <c r="A6881">
        <v>6820</v>
      </c>
      <c r="B6881" s="138">
        <f>'Expenditures 15-22'!K22</f>
        <v>2726340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7436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7100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7100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26211</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26211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33311</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40747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386703</v>
      </c>
      <c r="D7042" s="2" t="str">
        <f t="shared" si="109"/>
        <v>Error?</v>
      </c>
    </row>
    <row r="7043" spans="1:5" x14ac:dyDescent="0.2">
      <c r="A7043">
        <v>6982</v>
      </c>
      <c r="B7043" s="138">
        <f>'Revenues 9-14'!H9</f>
        <v>0</v>
      </c>
      <c r="D7043" s="2" t="str">
        <f t="shared" si="109"/>
        <v>Error?</v>
      </c>
    </row>
    <row r="7044" spans="1:5" x14ac:dyDescent="0.2">
      <c r="A7044">
        <v>6983</v>
      </c>
      <c r="B7044" s="138">
        <f>'Revenues 9-14'!D106</f>
        <v>2816</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584723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386703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386703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386703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386703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386703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386703</v>
      </c>
      <c r="D7224" s="2" t="str">
        <f t="shared" si="111"/>
        <v>Error?</v>
      </c>
    </row>
    <row r="7225" spans="1:4" x14ac:dyDescent="0.2">
      <c r="A7225">
        <v>7164</v>
      </c>
      <c r="B7225" s="138">
        <f>'Expenditures 15-22'!K343</f>
        <v>198020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7645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3245144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9804457</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9804457</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13544043</v>
      </c>
      <c r="D7797" s="2" t="str">
        <f t="shared" si="127"/>
        <v>Error?</v>
      </c>
      <c r="E7797" s="4" t="s">
        <v>1901</v>
      </c>
    </row>
    <row r="7798" spans="1:5" x14ac:dyDescent="0.2">
      <c r="A7798">
        <v>7737</v>
      </c>
      <c r="B7798" s="138">
        <f>'Contracts Paid in CY 29'!F141</f>
        <v>1375000</v>
      </c>
      <c r="D7798" s="2" t="str">
        <f t="shared" si="127"/>
        <v>Error?</v>
      </c>
      <c r="E7798" s="4" t="s">
        <v>1901</v>
      </c>
    </row>
    <row r="7799" spans="1:5" x14ac:dyDescent="0.2">
      <c r="A7799">
        <v>7738</v>
      </c>
      <c r="B7799" s="138">
        <f>'Contracts Paid in CY 29'!G141</f>
        <v>12169043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3" t="str">
        <f>COVER!A17</f>
        <v>Glenview CCSD 34</v>
      </c>
      <c r="B7" s="2384"/>
      <c r="C7" s="2384"/>
      <c r="D7" s="2421"/>
      <c r="E7" s="2422">
        <f>COVER!A13</f>
        <v>5016034004</v>
      </c>
      <c r="F7" s="2423"/>
      <c r="G7" s="2390" t="str">
        <f>COVER!T23</f>
        <v>066-003289</v>
      </c>
      <c r="H7" s="2391"/>
      <c r="I7" s="2391"/>
      <c r="J7" s="2391"/>
      <c r="K7" s="2391"/>
      <c r="L7" s="2392"/>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3"/>
      <c r="B9" s="2394"/>
      <c r="C9" s="2394"/>
      <c r="D9" s="2394"/>
      <c r="E9" s="2394"/>
      <c r="F9" s="2395"/>
      <c r="G9" s="2396" t="str">
        <f>COVER!T13</f>
        <v>Evoy, Kamschulte, Jacobs &amp; Co. LLP</v>
      </c>
      <c r="H9" s="2397"/>
      <c r="I9" s="2397"/>
      <c r="J9" s="2397"/>
      <c r="K9" s="2397"/>
      <c r="L9" s="2398"/>
    </row>
    <row r="10" spans="1:29" ht="13.5" customHeight="1" x14ac:dyDescent="0.2">
      <c r="A10" s="2380" t="str">
        <f>COVER!A38</f>
        <v>Dr. Dane Delli</v>
      </c>
      <c r="B10" s="2381"/>
      <c r="C10" s="2381"/>
      <c r="D10" s="2381"/>
      <c r="E10" s="2381"/>
      <c r="F10" s="2382"/>
      <c r="G10" s="2396" t="str">
        <f>COVER!T17</f>
        <v>2122 Yeoman Street</v>
      </c>
      <c r="H10" s="2409"/>
      <c r="I10" s="2409"/>
      <c r="J10" s="2409"/>
      <c r="K10" s="2409"/>
      <c r="L10" s="2410"/>
    </row>
    <row r="11" spans="1:29" ht="13.5" customHeight="1" x14ac:dyDescent="0.2">
      <c r="A11" s="1183" t="s">
        <v>1519</v>
      </c>
      <c r="B11" s="1184"/>
      <c r="C11" s="1185"/>
      <c r="D11" s="1190"/>
      <c r="E11" s="1185"/>
      <c r="F11" s="1189"/>
      <c r="G11" s="2396" t="str">
        <f>COVER!T19</f>
        <v>Waukegan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f>COVER!T25</f>
        <v>0</v>
      </c>
      <c r="J13" s="2418"/>
      <c r="K13" s="2418"/>
      <c r="L13" s="2419"/>
    </row>
    <row r="14" spans="1:29" ht="13.5" customHeight="1" x14ac:dyDescent="0.2">
      <c r="A14" s="2396" t="str">
        <f>COVER!A19</f>
        <v>1401 Greenwood Avenue</v>
      </c>
      <c r="B14" s="2409"/>
      <c r="C14" s="2409"/>
      <c r="D14" s="2409"/>
      <c r="E14" s="2409"/>
      <c r="F14" s="2410"/>
      <c r="G14" s="1194" t="s">
        <v>1185</v>
      </c>
      <c r="H14" s="1192"/>
      <c r="I14" s="1192"/>
      <c r="J14" s="1192"/>
      <c r="K14" s="1192"/>
      <c r="L14" s="1193"/>
    </row>
    <row r="15" spans="1:29" ht="13.5" customHeight="1" x14ac:dyDescent="0.2">
      <c r="A15" s="2396" t="str">
        <f>COVER!A21</f>
        <v xml:space="preserve">Glenview </v>
      </c>
      <c r="B15" s="2409"/>
      <c r="C15" s="2409"/>
      <c r="D15" s="2409"/>
      <c r="E15" s="2409"/>
      <c r="F15" s="2410"/>
      <c r="G15" s="2406" t="str">
        <f>COVER!T15</f>
        <v>John D. Aceto, Jr., CPA</v>
      </c>
      <c r="H15" s="2407"/>
      <c r="I15" s="2407"/>
      <c r="J15" s="2407"/>
      <c r="K15" s="2407"/>
      <c r="L15" s="2408"/>
    </row>
    <row r="16" spans="1:29" ht="12.2" customHeight="1" x14ac:dyDescent="0.2">
      <c r="A16" s="2386">
        <f>COVER!A25</f>
        <v>60025</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4" t="s">
        <v>1184</v>
      </c>
      <c r="H17" s="1192"/>
      <c r="I17" s="1192"/>
      <c r="J17" s="1192"/>
      <c r="K17" s="1196" t="s">
        <v>1183</v>
      </c>
      <c r="L17" s="1189"/>
      <c r="M17" s="1182"/>
    </row>
    <row r="18" spans="1:13" ht="12.2" customHeight="1" x14ac:dyDescent="0.2">
      <c r="A18" s="2380"/>
      <c r="B18" s="2381"/>
      <c r="C18" s="2381"/>
      <c r="D18" s="2381"/>
      <c r="E18" s="2381"/>
      <c r="F18" s="2382"/>
      <c r="G18" s="2383" t="str">
        <f>COVER!T21</f>
        <v>847-662-8300</v>
      </c>
      <c r="H18" s="2384"/>
      <c r="I18" s="2384"/>
      <c r="J18" s="2384"/>
      <c r="K18" s="2383" t="str">
        <f>COVER!X21</f>
        <v>847-662-8305</v>
      </c>
      <c r="L18" s="238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1"/>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4" t="str">
        <f>'Single Audit Cover'!A7</f>
        <v>Glenview CCSD 34</v>
      </c>
      <c r="B1" s="2420"/>
      <c r="C1" s="2420"/>
      <c r="D1" s="2420"/>
    </row>
    <row r="2" spans="1:11" s="1211" customFormat="1" ht="12.75" x14ac:dyDescent="0.2">
      <c r="A2" s="2425">
        <f>'Single Audit Cover'!E7</f>
        <v>5016034004</v>
      </c>
      <c r="B2" s="2426"/>
      <c r="C2" s="2426"/>
      <c r="D2" s="2426"/>
    </row>
    <row r="3" spans="1:11" s="1211" customFormat="1" ht="12.75" x14ac:dyDescent="0.2">
      <c r="A3" s="2424" t="s">
        <v>1513</v>
      </c>
      <c r="B3" s="2420"/>
      <c r="C3" s="2420"/>
      <c r="D3" s="2420"/>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1834</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6"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8" t="str">
        <f>'Single Audit Cover'!A7</f>
        <v>Glenview CCSD 34</v>
      </c>
      <c r="B1" s="2428"/>
      <c r="C1" s="2428"/>
      <c r="D1" s="2428"/>
      <c r="E1" s="2428"/>
    </row>
    <row r="2" spans="1:5" x14ac:dyDescent="0.2">
      <c r="A2" s="2429">
        <f>'Single Audit Cover'!E7</f>
        <v>5016034004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6" t="s">
        <v>1243</v>
      </c>
    </row>
    <row r="10" spans="1:5" x14ac:dyDescent="0.2">
      <c r="A10" s="1257" t="s">
        <v>1242</v>
      </c>
      <c r="B10" s="1258" t="s">
        <v>1241</v>
      </c>
      <c r="C10" s="1258"/>
      <c r="D10" s="1259">
        <f>SUM('Acct Summary 7-8'!C7:K7)</f>
        <v>2989304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99497</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-202672</v>
      </c>
    </row>
    <row r="19" spans="1:4" ht="13.5" thickBot="1" x14ac:dyDescent="0.25">
      <c r="A19" s="1261" t="s">
        <v>1235</v>
      </c>
      <c r="D19" s="1262">
        <f>SUM(D10:D17)</f>
        <v>2886129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0"/>
      <c r="B24" s="2430"/>
      <c r="D24" s="1264"/>
    </row>
    <row r="25" spans="1:4" x14ac:dyDescent="0.2">
      <c r="A25" s="2427"/>
      <c r="B25" s="2427"/>
      <c r="D25" s="1264"/>
    </row>
    <row r="26" spans="1:4" x14ac:dyDescent="0.2">
      <c r="A26" s="2427"/>
      <c r="B26" s="2427"/>
      <c r="D26" s="1264"/>
    </row>
    <row r="27" spans="1:4" x14ac:dyDescent="0.2">
      <c r="A27" s="2427"/>
      <c r="B27" s="2427"/>
      <c r="D27" s="1264"/>
    </row>
    <row r="28" spans="1:4" x14ac:dyDescent="0.2">
      <c r="A28" s="2427"/>
      <c r="B28" s="2427"/>
      <c r="D28" s="1264"/>
    </row>
    <row r="29" spans="1:4" x14ac:dyDescent="0.2">
      <c r="A29" s="2427"/>
      <c r="B29" s="2427"/>
      <c r="D29" s="1264"/>
    </row>
    <row r="30" spans="1:4" x14ac:dyDescent="0.2">
      <c r="A30" s="2427"/>
      <c r="B30" s="2427"/>
      <c r="D30" s="1264"/>
    </row>
    <row r="32" spans="1:4" x14ac:dyDescent="0.2">
      <c r="A32" s="1256" t="s">
        <v>1233</v>
      </c>
      <c r="D32" s="1259">
        <f>SUM(D19:D30)</f>
        <v>2886129</v>
      </c>
    </row>
    <row r="33" spans="1:4" x14ac:dyDescent="0.2">
      <c r="D33" s="1265"/>
    </row>
    <row r="34" spans="1:4" x14ac:dyDescent="0.2">
      <c r="A34" s="317" t="s">
        <v>1232</v>
      </c>
    </row>
    <row r="35" spans="1:4" x14ac:dyDescent="0.2">
      <c r="A35" s="317" t="s">
        <v>1231</v>
      </c>
      <c r="B35" s="1254" t="s">
        <v>1230</v>
      </c>
      <c r="D35" s="1266">
        <v>2886129</v>
      </c>
    </row>
    <row r="37" spans="1:4" x14ac:dyDescent="0.2">
      <c r="A37" s="1256" t="s">
        <v>1229</v>
      </c>
    </row>
    <row r="39" spans="1:4" ht="13.35" customHeight="1" x14ac:dyDescent="0.2">
      <c r="A39" s="1263" t="s">
        <v>1228</v>
      </c>
    </row>
    <row r="40" spans="1:4" x14ac:dyDescent="0.2">
      <c r="A40" s="2427"/>
      <c r="B40" s="2427"/>
      <c r="D40" s="1264"/>
    </row>
    <row r="41" spans="1:4" x14ac:dyDescent="0.2">
      <c r="A41" s="2427"/>
      <c r="B41" s="2427"/>
      <c r="D41" s="1267"/>
    </row>
    <row r="42" spans="1:4" x14ac:dyDescent="0.2">
      <c r="A42" s="2427"/>
      <c r="B42" s="2427"/>
      <c r="D42" s="1267"/>
    </row>
    <row r="43" spans="1:4" x14ac:dyDescent="0.2">
      <c r="A43" s="2427"/>
      <c r="B43" s="2427"/>
      <c r="D43" s="1267"/>
    </row>
    <row r="44" spans="1:4" x14ac:dyDescent="0.2">
      <c r="A44" s="2427"/>
      <c r="B44" s="2427"/>
      <c r="D44" s="1267"/>
    </row>
    <row r="45" spans="1:4" x14ac:dyDescent="0.2">
      <c r="A45" s="2427"/>
      <c r="B45" s="2427"/>
      <c r="D45" s="1267"/>
    </row>
    <row r="47" spans="1:4" x14ac:dyDescent="0.2">
      <c r="B47" s="1268" t="s">
        <v>1227</v>
      </c>
      <c r="C47" s="1268"/>
      <c r="D47" s="1269">
        <f>SUM(D35:D45)</f>
        <v>2886129</v>
      </c>
    </row>
    <row r="49" spans="2:4" x14ac:dyDescent="0.2">
      <c r="B49" s="1268" t="s">
        <v>1226</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9" t="str">
        <f>'Single Audit Cover'!A7</f>
        <v>Glenview CCSD 34</v>
      </c>
      <c r="C1" s="2432"/>
      <c r="D1" s="2432"/>
      <c r="E1" s="2432"/>
      <c r="F1" s="2432"/>
      <c r="G1" s="2432"/>
      <c r="H1" s="2432"/>
      <c r="I1" s="2432"/>
      <c r="J1" s="2432"/>
      <c r="K1" s="2432"/>
      <c r="L1" s="2432"/>
      <c r="M1" s="2432"/>
    </row>
    <row r="2" spans="2:14" ht="15" x14ac:dyDescent="0.2">
      <c r="B2" s="2433">
        <f>'Single Audit Cover'!E7</f>
        <v>5016034004</v>
      </c>
      <c r="C2" s="2433"/>
      <c r="D2" s="2433"/>
      <c r="E2" s="2433"/>
      <c r="F2" s="2433"/>
      <c r="G2" s="2433"/>
      <c r="H2" s="2433"/>
      <c r="I2" s="2433"/>
      <c r="J2" s="2433"/>
      <c r="K2" s="2433"/>
      <c r="L2" s="2433"/>
      <c r="M2" s="2433"/>
      <c r="N2" s="1298"/>
    </row>
    <row r="3" spans="2:14" ht="15" x14ac:dyDescent="0.2">
      <c r="B3" s="2434" t="s">
        <v>1219</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2086</v>
      </c>
      <c r="C11" s="1334"/>
      <c r="D11" s="1335"/>
      <c r="E11" s="1336"/>
      <c r="F11" s="1336"/>
      <c r="G11" s="1336"/>
      <c r="H11" s="1336"/>
      <c r="I11" s="1336"/>
      <c r="J11" s="1336"/>
      <c r="K11" s="1336"/>
      <c r="L11" s="1336">
        <f>+G11+I11+K11</f>
        <v>0</v>
      </c>
      <c r="M11" s="1336"/>
    </row>
    <row r="12" spans="2:14" ht="20.100000000000001" customHeight="1" x14ac:dyDescent="0.2">
      <c r="B12" s="1333" t="s">
        <v>2087</v>
      </c>
      <c r="C12" s="1337"/>
      <c r="D12" s="1338"/>
      <c r="E12" s="1339"/>
      <c r="F12" s="1339"/>
      <c r="G12" s="1339"/>
      <c r="H12" s="1339"/>
      <c r="I12" s="1339"/>
      <c r="J12" s="1339"/>
      <c r="K12" s="1339"/>
      <c r="L12" s="1336">
        <f t="shared" ref="L12:L27" si="0">+G12+I12+K12</f>
        <v>0</v>
      </c>
      <c r="M12" s="1339"/>
    </row>
    <row r="13" spans="2:14" ht="20.100000000000001" customHeight="1" x14ac:dyDescent="0.2">
      <c r="B13" s="1333" t="s">
        <v>2088</v>
      </c>
      <c r="C13" s="1337">
        <v>10.555</v>
      </c>
      <c r="D13" s="1338" t="s">
        <v>2093</v>
      </c>
      <c r="E13" s="1339">
        <v>396484</v>
      </c>
      <c r="F13" s="1339">
        <v>72768</v>
      </c>
      <c r="G13" s="1339">
        <v>396484</v>
      </c>
      <c r="H13" s="1339"/>
      <c r="I13" s="1339">
        <v>72768</v>
      </c>
      <c r="J13" s="1339"/>
      <c r="K13" s="1339"/>
      <c r="L13" s="1336">
        <f t="shared" si="0"/>
        <v>469252</v>
      </c>
      <c r="M13" s="1339" t="s">
        <v>2097</v>
      </c>
    </row>
    <row r="14" spans="2:14" ht="20.100000000000001" customHeight="1" x14ac:dyDescent="0.2">
      <c r="B14" s="1333" t="s">
        <v>2088</v>
      </c>
      <c r="C14" s="1337">
        <v>10.555</v>
      </c>
      <c r="D14" s="1338" t="s">
        <v>2094</v>
      </c>
      <c r="E14" s="1339"/>
      <c r="F14" s="1339">
        <v>402498</v>
      </c>
      <c r="G14" s="1339"/>
      <c r="H14" s="1339"/>
      <c r="I14" s="1339">
        <v>402498</v>
      </c>
      <c r="J14" s="1339"/>
      <c r="K14" s="1339"/>
      <c r="L14" s="1336">
        <f t="shared" si="0"/>
        <v>402498</v>
      </c>
      <c r="M14" s="1339" t="s">
        <v>2097</v>
      </c>
    </row>
    <row r="15" spans="2:14" ht="20.100000000000001" customHeight="1" x14ac:dyDescent="0.2">
      <c r="B15" s="1333" t="s">
        <v>2089</v>
      </c>
      <c r="C15" s="1337">
        <v>10.553000000000001</v>
      </c>
      <c r="D15" s="1338" t="s">
        <v>2095</v>
      </c>
      <c r="E15" s="1339">
        <v>60051</v>
      </c>
      <c r="F15" s="1339">
        <v>15958</v>
      </c>
      <c r="G15" s="1339">
        <v>60051</v>
      </c>
      <c r="H15" s="1339"/>
      <c r="I15" s="1339">
        <v>15958</v>
      </c>
      <c r="J15" s="1339"/>
      <c r="K15" s="1339"/>
      <c r="L15" s="1336">
        <f t="shared" si="0"/>
        <v>76009</v>
      </c>
      <c r="M15" s="1339" t="s">
        <v>2097</v>
      </c>
    </row>
    <row r="16" spans="2:14" ht="20.100000000000001" customHeight="1" x14ac:dyDescent="0.2">
      <c r="B16" s="1333" t="s">
        <v>2089</v>
      </c>
      <c r="C16" s="1337">
        <v>10.553000000000001</v>
      </c>
      <c r="D16" s="1338" t="s">
        <v>2096</v>
      </c>
      <c r="E16" s="1339"/>
      <c r="F16" s="1339">
        <v>58469</v>
      </c>
      <c r="G16" s="1339"/>
      <c r="H16" s="1339"/>
      <c r="I16" s="1339">
        <v>58469</v>
      </c>
      <c r="J16" s="1339"/>
      <c r="K16" s="1339"/>
      <c r="L16" s="1336">
        <f t="shared" si="0"/>
        <v>58469</v>
      </c>
      <c r="M16" s="1339" t="s">
        <v>2097</v>
      </c>
    </row>
    <row r="17" spans="2:14" ht="20.100000000000001" customHeight="1" x14ac:dyDescent="0.2">
      <c r="B17" s="1333" t="s">
        <v>2090</v>
      </c>
      <c r="C17" s="1337">
        <v>10.555</v>
      </c>
      <c r="D17" s="1338" t="s">
        <v>2094</v>
      </c>
      <c r="E17" s="1339"/>
      <c r="F17" s="1339">
        <v>36179</v>
      </c>
      <c r="G17" s="1339"/>
      <c r="H17" s="1339"/>
      <c r="I17" s="1339">
        <v>36179</v>
      </c>
      <c r="J17" s="1339"/>
      <c r="K17" s="1339"/>
      <c r="L17" s="1336">
        <f t="shared" si="0"/>
        <v>36179</v>
      </c>
      <c r="M17" s="1339" t="s">
        <v>2097</v>
      </c>
    </row>
    <row r="18" spans="2:14" ht="20.100000000000001" customHeight="1" x14ac:dyDescent="0.2">
      <c r="B18" s="1333" t="s">
        <v>2091</v>
      </c>
      <c r="C18" s="1337">
        <v>10.582000000000001</v>
      </c>
      <c r="D18" s="1338" t="s">
        <v>2094</v>
      </c>
      <c r="E18" s="1339"/>
      <c r="F18" s="1339">
        <v>63318</v>
      </c>
      <c r="G18" s="1339"/>
      <c r="H18" s="1339"/>
      <c r="I18" s="1339">
        <v>63318</v>
      </c>
      <c r="J18" s="1339"/>
      <c r="K18" s="1339"/>
      <c r="L18" s="1336">
        <f t="shared" si="0"/>
        <v>63318</v>
      </c>
      <c r="M18" s="1339" t="s">
        <v>2097</v>
      </c>
    </row>
    <row r="19" spans="2:14" ht="20.100000000000001" customHeight="1" x14ac:dyDescent="0.2">
      <c r="B19" s="1333" t="s">
        <v>2092</v>
      </c>
      <c r="C19" s="1337"/>
      <c r="D19" s="1338"/>
      <c r="E19" s="1339">
        <v>456535</v>
      </c>
      <c r="F19" s="1339">
        <v>649190</v>
      </c>
      <c r="G19" s="1339">
        <v>456535</v>
      </c>
      <c r="H19" s="1339"/>
      <c r="I19" s="1339">
        <v>649190</v>
      </c>
      <c r="J19" s="1339"/>
      <c r="K19" s="1339"/>
      <c r="L19" s="1336">
        <f t="shared" si="0"/>
        <v>1105725</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2098</v>
      </c>
      <c r="C21" s="1337"/>
      <c r="D21" s="1338"/>
      <c r="E21" s="1339"/>
      <c r="F21" s="1339"/>
      <c r="G21" s="1339"/>
      <c r="H21" s="1339"/>
      <c r="I21" s="1339"/>
      <c r="J21" s="1339"/>
      <c r="K21" s="1339"/>
      <c r="L21" s="1336">
        <f t="shared" si="0"/>
        <v>0</v>
      </c>
      <c r="M21" s="1339"/>
    </row>
    <row r="22" spans="2:14" ht="20.100000000000001" customHeight="1" x14ac:dyDescent="0.2">
      <c r="B22" s="1333" t="s">
        <v>2099</v>
      </c>
      <c r="C22" s="1337"/>
      <c r="D22" s="1338"/>
      <c r="E22" s="1339"/>
      <c r="F22" s="1339"/>
      <c r="G22" s="1339"/>
      <c r="H22" s="1339"/>
      <c r="I22" s="1339"/>
      <c r="J22" s="1339"/>
      <c r="K22" s="1339"/>
      <c r="L22" s="1336">
        <f t="shared" si="0"/>
        <v>0</v>
      </c>
      <c r="M22" s="1339"/>
    </row>
    <row r="23" spans="2:14" ht="20.100000000000001" customHeight="1" x14ac:dyDescent="0.2">
      <c r="B23" s="1333" t="s">
        <v>2100</v>
      </c>
      <c r="C23" s="1337">
        <v>93.778000000000006</v>
      </c>
      <c r="D23" s="1338" t="s">
        <v>2102</v>
      </c>
      <c r="E23" s="1339">
        <v>80347</v>
      </c>
      <c r="F23" s="1339"/>
      <c r="G23" s="1339">
        <v>83694</v>
      </c>
      <c r="H23" s="1339"/>
      <c r="I23" s="1339"/>
      <c r="J23" s="1339"/>
      <c r="K23" s="1339"/>
      <c r="L23" s="1336">
        <f t="shared" si="0"/>
        <v>83694</v>
      </c>
      <c r="M23" s="1339" t="s">
        <v>2097</v>
      </c>
    </row>
    <row r="24" spans="2:14" ht="20.100000000000001" customHeight="1" x14ac:dyDescent="0.2">
      <c r="B24" s="1333" t="s">
        <v>2100</v>
      </c>
      <c r="C24" s="1337">
        <v>93.778000000000006</v>
      </c>
      <c r="D24" s="1338" t="s">
        <v>2103</v>
      </c>
      <c r="E24" s="1339"/>
      <c r="F24" s="1339">
        <v>34800</v>
      </c>
      <c r="G24" s="1339"/>
      <c r="H24" s="1339"/>
      <c r="I24" s="1339">
        <v>43373</v>
      </c>
      <c r="J24" s="1339"/>
      <c r="K24" s="1339"/>
      <c r="L24" s="1336">
        <f t="shared" si="0"/>
        <v>43373</v>
      </c>
      <c r="M24" s="1339" t="s">
        <v>2097</v>
      </c>
    </row>
    <row r="25" spans="2:14" ht="20.100000000000001" customHeight="1" x14ac:dyDescent="0.2">
      <c r="B25" s="1333" t="s">
        <v>2101</v>
      </c>
      <c r="C25" s="1337"/>
      <c r="D25" s="1338"/>
      <c r="E25" s="1339">
        <v>80347</v>
      </c>
      <c r="F25" s="1339">
        <v>34800</v>
      </c>
      <c r="G25" s="1339">
        <v>83694</v>
      </c>
      <c r="H25" s="1339"/>
      <c r="I25" s="1339">
        <v>43373</v>
      </c>
      <c r="J25" s="1339"/>
      <c r="K25" s="1339"/>
      <c r="L25" s="1336">
        <f t="shared" si="0"/>
        <v>127067</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26" sqref="E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9" t="str">
        <f>'Single Audit Cover'!A7</f>
        <v>Glenview CCSD 34</v>
      </c>
      <c r="C1" s="2432"/>
      <c r="D1" s="2432"/>
      <c r="E1" s="2432"/>
      <c r="F1" s="2432"/>
      <c r="G1" s="2432"/>
      <c r="H1" s="2432"/>
      <c r="I1" s="2432"/>
      <c r="J1" s="2432"/>
      <c r="K1" s="2432"/>
      <c r="L1" s="2432"/>
      <c r="M1" s="2432"/>
    </row>
    <row r="2" spans="2:14" ht="15" x14ac:dyDescent="0.2">
      <c r="B2" s="2433">
        <f>'Single Audit Cover'!E7</f>
        <v>5016034004</v>
      </c>
      <c r="C2" s="2433"/>
      <c r="D2" s="2433"/>
      <c r="E2" s="2433"/>
      <c r="F2" s="2433"/>
      <c r="G2" s="2433"/>
      <c r="H2" s="2433"/>
      <c r="I2" s="2433"/>
      <c r="J2" s="2433"/>
      <c r="K2" s="2433"/>
      <c r="L2" s="2433"/>
      <c r="M2" s="2433"/>
      <c r="N2" s="1298"/>
    </row>
    <row r="3" spans="2:14" ht="15" x14ac:dyDescent="0.2">
      <c r="B3" s="2434" t="s">
        <v>1219</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2104</v>
      </c>
      <c r="C11" s="1334"/>
      <c r="D11" s="1335"/>
      <c r="E11" s="1336"/>
      <c r="F11" s="1336"/>
      <c r="G11" s="1336"/>
      <c r="H11" s="1336"/>
      <c r="I11" s="1336"/>
      <c r="J11" s="1336"/>
      <c r="K11" s="1336"/>
      <c r="L11" s="1336">
        <f>+G11+I11+K11</f>
        <v>0</v>
      </c>
      <c r="M11" s="1336"/>
    </row>
    <row r="12" spans="2:14" ht="20.100000000000001" customHeight="1" x14ac:dyDescent="0.2">
      <c r="B12" s="1333" t="s">
        <v>2105</v>
      </c>
      <c r="C12" s="1337"/>
      <c r="D12" s="1338"/>
      <c r="E12" s="1339"/>
      <c r="F12" s="1339"/>
      <c r="G12" s="1339"/>
      <c r="H12" s="1339"/>
      <c r="I12" s="1339"/>
      <c r="J12" s="1339"/>
      <c r="K12" s="1339"/>
      <c r="L12" s="1336">
        <f t="shared" ref="L12:L27" si="0">+G12+I12+K12</f>
        <v>0</v>
      </c>
      <c r="M12" s="1339"/>
    </row>
    <row r="13" spans="2:14" ht="20.100000000000001" customHeight="1" x14ac:dyDescent="0.2">
      <c r="B13" s="1333" t="s">
        <v>2106</v>
      </c>
      <c r="C13" s="1337" t="s">
        <v>2109</v>
      </c>
      <c r="D13" s="1338" t="s">
        <v>2110</v>
      </c>
      <c r="E13" s="1339">
        <v>18728</v>
      </c>
      <c r="F13" s="1339">
        <v>5172</v>
      </c>
      <c r="G13" s="1339">
        <v>23900</v>
      </c>
      <c r="H13" s="1339"/>
      <c r="I13" s="1339"/>
      <c r="J13" s="1339"/>
      <c r="K13" s="1339"/>
      <c r="L13" s="1336">
        <f t="shared" si="0"/>
        <v>23900</v>
      </c>
      <c r="M13" s="1339">
        <v>58918</v>
      </c>
    </row>
    <row r="14" spans="2:14" ht="20.100000000000001" customHeight="1" x14ac:dyDescent="0.2">
      <c r="B14" s="1333" t="s">
        <v>2106</v>
      </c>
      <c r="C14" s="1337" t="s">
        <v>2109</v>
      </c>
      <c r="D14" s="1338" t="s">
        <v>2111</v>
      </c>
      <c r="E14" s="1339"/>
      <c r="F14" s="1339">
        <v>88305</v>
      </c>
      <c r="G14" s="1339"/>
      <c r="H14" s="1339"/>
      <c r="I14" s="1339">
        <v>88305</v>
      </c>
      <c r="J14" s="1339"/>
      <c r="K14" s="1339"/>
      <c r="L14" s="1336">
        <f t="shared" si="0"/>
        <v>88305</v>
      </c>
      <c r="M14" s="1339">
        <v>88305</v>
      </c>
    </row>
    <row r="15" spans="2:14" ht="20.100000000000001" customHeight="1" x14ac:dyDescent="0.2">
      <c r="B15" s="1333" t="s">
        <v>2107</v>
      </c>
      <c r="C15" s="1337" t="s">
        <v>2109</v>
      </c>
      <c r="D15" s="1338" t="s">
        <v>2112</v>
      </c>
      <c r="E15" s="1339">
        <v>827046</v>
      </c>
      <c r="F15" s="1339">
        <v>14598</v>
      </c>
      <c r="G15" s="1339">
        <v>841644</v>
      </c>
      <c r="H15" s="1339"/>
      <c r="I15" s="1339"/>
      <c r="J15" s="1339"/>
      <c r="K15" s="1339"/>
      <c r="L15" s="1336">
        <f t="shared" si="0"/>
        <v>841644</v>
      </c>
      <c r="M15" s="1339">
        <v>901570</v>
      </c>
    </row>
    <row r="16" spans="2:14" ht="20.100000000000001" customHeight="1" x14ac:dyDescent="0.2">
      <c r="B16" s="1333" t="s">
        <v>2107</v>
      </c>
      <c r="C16" s="1337" t="s">
        <v>2109</v>
      </c>
      <c r="D16" s="1338" t="s">
        <v>2113</v>
      </c>
      <c r="E16" s="1339"/>
      <c r="F16" s="1339">
        <v>740785</v>
      </c>
      <c r="G16" s="1339"/>
      <c r="H16" s="1339"/>
      <c r="I16" s="1339">
        <v>986893</v>
      </c>
      <c r="J16" s="1339"/>
      <c r="K16" s="1339"/>
      <c r="L16" s="1336">
        <f t="shared" si="0"/>
        <v>986893</v>
      </c>
      <c r="M16" s="1339">
        <v>986893</v>
      </c>
    </row>
    <row r="17" spans="2:14" ht="20.100000000000001" customHeight="1" x14ac:dyDescent="0.2">
      <c r="B17" s="1333" t="s">
        <v>2108</v>
      </c>
      <c r="C17" s="1337"/>
      <c r="D17" s="1338"/>
      <c r="E17" s="1339">
        <v>845774</v>
      </c>
      <c r="F17" s="1339">
        <v>848860</v>
      </c>
      <c r="G17" s="1339">
        <v>865544</v>
      </c>
      <c r="H17" s="1339"/>
      <c r="I17" s="1339">
        <v>1075198</v>
      </c>
      <c r="J17" s="1339"/>
      <c r="K17" s="1339"/>
      <c r="L17" s="1336">
        <f t="shared" si="0"/>
        <v>1940742</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2114</v>
      </c>
      <c r="C19" s="1337"/>
      <c r="D19" s="1338"/>
      <c r="E19" s="1339"/>
      <c r="F19" s="1339"/>
      <c r="G19" s="1339"/>
      <c r="H19" s="1339"/>
      <c r="I19" s="1339"/>
      <c r="J19" s="1339"/>
      <c r="K19" s="1339"/>
      <c r="L19" s="1336">
        <f t="shared" si="0"/>
        <v>0</v>
      </c>
      <c r="M19" s="1339"/>
    </row>
    <row r="20" spans="2:14" ht="20.100000000000001" customHeight="1" x14ac:dyDescent="0.2">
      <c r="B20" s="1333" t="s">
        <v>2115</v>
      </c>
      <c r="C20" s="1337" t="s">
        <v>2109</v>
      </c>
      <c r="D20" s="1338" t="s">
        <v>2116</v>
      </c>
      <c r="E20" s="1339">
        <v>342565</v>
      </c>
      <c r="F20" s="1339">
        <v>335398</v>
      </c>
      <c r="G20" s="1339">
        <v>437141</v>
      </c>
      <c r="H20" s="1339"/>
      <c r="I20" s="1339">
        <v>240822</v>
      </c>
      <c r="J20" s="1339"/>
      <c r="K20" s="1339"/>
      <c r="L20" s="1336">
        <f t="shared" si="0"/>
        <v>677963</v>
      </c>
      <c r="M20" s="1339" t="s">
        <v>2097</v>
      </c>
    </row>
    <row r="21" spans="2:14" ht="20.100000000000001" customHeight="1" x14ac:dyDescent="0.2">
      <c r="B21" s="1333" t="s">
        <v>2115</v>
      </c>
      <c r="C21" s="1337" t="s">
        <v>2109</v>
      </c>
      <c r="D21" s="1338" t="s">
        <v>2117</v>
      </c>
      <c r="E21" s="1339"/>
      <c r="F21" s="1339">
        <v>301747</v>
      </c>
      <c r="G21" s="1339"/>
      <c r="H21" s="1339"/>
      <c r="I21" s="1339">
        <v>373053</v>
      </c>
      <c r="J21" s="1339"/>
      <c r="K21" s="1339"/>
      <c r="L21" s="1336">
        <f t="shared" si="0"/>
        <v>373053</v>
      </c>
      <c r="M21" s="1339" t="s">
        <v>2097</v>
      </c>
    </row>
    <row r="22" spans="2:14" ht="20.100000000000001" customHeight="1" x14ac:dyDescent="0.2">
      <c r="B22" s="1333" t="s">
        <v>2118</v>
      </c>
      <c r="C22" s="1337"/>
      <c r="D22" s="1338"/>
      <c r="E22" s="1339">
        <v>342565</v>
      </c>
      <c r="F22" s="1339">
        <v>637145</v>
      </c>
      <c r="G22" s="1339">
        <v>437141</v>
      </c>
      <c r="H22" s="1339"/>
      <c r="I22" s="1339">
        <v>613875</v>
      </c>
      <c r="J22" s="1339"/>
      <c r="K22" s="1339"/>
      <c r="L22" s="1336">
        <f t="shared" si="0"/>
        <v>1051016</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t="s">
        <v>2119</v>
      </c>
      <c r="C24" s="1337"/>
      <c r="D24" s="1338"/>
      <c r="E24" s="1339">
        <v>1188339</v>
      </c>
      <c r="F24" s="1339">
        <v>1486005</v>
      </c>
      <c r="G24" s="1339">
        <v>1302685</v>
      </c>
      <c r="H24" s="1339"/>
      <c r="I24" s="1339">
        <v>1689073</v>
      </c>
      <c r="J24" s="1339"/>
      <c r="K24" s="1339"/>
      <c r="L24" s="1336">
        <f t="shared" si="0"/>
        <v>2991758</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8" sqref="B28"/>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9" t="str">
        <f>'Single Audit Cover'!A7</f>
        <v>Glenview CCSD 34</v>
      </c>
      <c r="C1" s="2432"/>
      <c r="D1" s="2432"/>
      <c r="E1" s="2432"/>
      <c r="F1" s="2432"/>
      <c r="G1" s="2432"/>
      <c r="H1" s="2432"/>
      <c r="I1" s="2432"/>
      <c r="J1" s="2432"/>
      <c r="K1" s="2432"/>
      <c r="L1" s="2432"/>
      <c r="M1" s="2432"/>
    </row>
    <row r="2" spans="2:14" ht="15" x14ac:dyDescent="0.2">
      <c r="B2" s="2433">
        <f>'Single Audit Cover'!E7</f>
        <v>5016034004</v>
      </c>
      <c r="C2" s="2433"/>
      <c r="D2" s="2433"/>
      <c r="E2" s="2433"/>
      <c r="F2" s="2433"/>
      <c r="G2" s="2433"/>
      <c r="H2" s="2433"/>
      <c r="I2" s="2433"/>
      <c r="J2" s="2433"/>
      <c r="K2" s="2433"/>
      <c r="L2" s="2433"/>
      <c r="M2" s="2433"/>
      <c r="N2" s="1298"/>
    </row>
    <row r="3" spans="2:14" ht="15" x14ac:dyDescent="0.2">
      <c r="B3" s="2434" t="s">
        <v>1219</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2"/>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t="s">
        <v>2120</v>
      </c>
      <c r="C11" s="1334"/>
      <c r="D11" s="1335"/>
      <c r="E11" s="1336"/>
      <c r="F11" s="1336"/>
      <c r="G11" s="1336"/>
      <c r="H11" s="1336"/>
      <c r="I11" s="1336"/>
      <c r="J11" s="1336"/>
      <c r="K11" s="1336"/>
      <c r="L11" s="1336">
        <f>+G11+I11+K11</f>
        <v>0</v>
      </c>
      <c r="M11" s="1336"/>
    </row>
    <row r="12" spans="2:14" ht="20.100000000000001" customHeight="1" x14ac:dyDescent="0.2">
      <c r="B12" s="1333" t="s">
        <v>2121</v>
      </c>
      <c r="C12" s="1337"/>
      <c r="D12" s="1338"/>
      <c r="E12" s="1339"/>
      <c r="F12" s="1339"/>
      <c r="G12" s="1339"/>
      <c r="H12" s="1339"/>
      <c r="I12" s="1339"/>
      <c r="J12" s="1339"/>
      <c r="K12" s="1339"/>
      <c r="L12" s="1336">
        <f t="shared" ref="L12:L27" si="0">+G12+I12+K12</f>
        <v>0</v>
      </c>
      <c r="M12" s="1339"/>
    </row>
    <row r="13" spans="2:14" ht="20.100000000000001" customHeight="1" x14ac:dyDescent="0.2">
      <c r="B13" s="1333" t="s">
        <v>2122</v>
      </c>
      <c r="C13" s="1337" t="s">
        <v>2123</v>
      </c>
      <c r="D13" s="1338" t="s">
        <v>2125</v>
      </c>
      <c r="E13" s="1339">
        <v>344670</v>
      </c>
      <c r="F13" s="1339">
        <v>126766</v>
      </c>
      <c r="G13" s="1339">
        <v>453026</v>
      </c>
      <c r="H13" s="1339"/>
      <c r="I13" s="1339">
        <v>18410</v>
      </c>
      <c r="J13" s="1339"/>
      <c r="K13" s="1339"/>
      <c r="L13" s="1336">
        <f t="shared" si="0"/>
        <v>471436</v>
      </c>
      <c r="M13" s="1339">
        <v>500605</v>
      </c>
    </row>
    <row r="14" spans="2:14" ht="20.100000000000001" customHeight="1" x14ac:dyDescent="0.2">
      <c r="B14" s="1333" t="s">
        <v>2122</v>
      </c>
      <c r="C14" s="1337" t="s">
        <v>2123</v>
      </c>
      <c r="D14" s="1338" t="s">
        <v>2126</v>
      </c>
      <c r="E14" s="1339"/>
      <c r="F14" s="1339">
        <v>365485</v>
      </c>
      <c r="G14" s="1339"/>
      <c r="H14" s="1339"/>
      <c r="I14" s="1339">
        <v>381400</v>
      </c>
      <c r="J14" s="1339"/>
      <c r="K14" s="1339">
        <v>20000</v>
      </c>
      <c r="L14" s="1336">
        <f t="shared" si="0"/>
        <v>401400</v>
      </c>
      <c r="M14" s="1339">
        <v>477888</v>
      </c>
    </row>
    <row r="15" spans="2:14" ht="20.100000000000001" customHeight="1" x14ac:dyDescent="0.2">
      <c r="B15" s="1333" t="s">
        <v>2124</v>
      </c>
      <c r="C15" s="1337" t="s">
        <v>2123</v>
      </c>
      <c r="D15" s="1338" t="s">
        <v>2127</v>
      </c>
      <c r="E15" s="1339"/>
      <c r="F15" s="1339">
        <v>15421</v>
      </c>
      <c r="G15" s="1339"/>
      <c r="H15" s="1339"/>
      <c r="I15" s="1339">
        <v>32277</v>
      </c>
      <c r="J15" s="1339"/>
      <c r="K15" s="1339"/>
      <c r="L15" s="1336">
        <f t="shared" si="0"/>
        <v>32277</v>
      </c>
      <c r="M15" s="1339">
        <v>67889</v>
      </c>
    </row>
    <row r="16" spans="2:14" ht="20.100000000000001" customHeight="1" x14ac:dyDescent="0.2">
      <c r="B16" s="1333" t="s">
        <v>2128</v>
      </c>
      <c r="C16" s="1337" t="s">
        <v>2129</v>
      </c>
      <c r="D16" s="1338" t="s">
        <v>2130</v>
      </c>
      <c r="E16" s="1339"/>
      <c r="F16" s="1339">
        <v>31113</v>
      </c>
      <c r="G16" s="1339"/>
      <c r="H16" s="1339"/>
      <c r="I16" s="1339">
        <v>31113</v>
      </c>
      <c r="J16" s="1339"/>
      <c r="K16" s="1339"/>
      <c r="L16" s="1336">
        <f t="shared" si="0"/>
        <v>31113</v>
      </c>
      <c r="M16" s="1339">
        <v>37167</v>
      </c>
    </row>
    <row r="17" spans="2:14" ht="20.100000000000001" customHeight="1" x14ac:dyDescent="0.2">
      <c r="B17" s="1333" t="s">
        <v>2131</v>
      </c>
      <c r="C17" s="1337" t="s">
        <v>2132</v>
      </c>
      <c r="D17" s="1338" t="s">
        <v>2133</v>
      </c>
      <c r="E17" s="1339">
        <v>83228</v>
      </c>
      <c r="F17" s="1339">
        <v>4986</v>
      </c>
      <c r="G17" s="1339">
        <v>88214</v>
      </c>
      <c r="H17" s="1339"/>
      <c r="I17" s="1339"/>
      <c r="J17" s="1339"/>
      <c r="K17" s="1339"/>
      <c r="L17" s="1336">
        <f t="shared" si="0"/>
        <v>88214</v>
      </c>
      <c r="M17" s="1339">
        <v>110258</v>
      </c>
    </row>
    <row r="18" spans="2:14" ht="20.100000000000001" customHeight="1" x14ac:dyDescent="0.2">
      <c r="B18" s="1333" t="s">
        <v>2131</v>
      </c>
      <c r="C18" s="1337" t="s">
        <v>2132</v>
      </c>
      <c r="D18" s="1338" t="s">
        <v>2134</v>
      </c>
      <c r="E18" s="1339"/>
      <c r="F18" s="1339">
        <v>54242</v>
      </c>
      <c r="G18" s="1339"/>
      <c r="H18" s="1339"/>
      <c r="I18" s="1339">
        <v>69265</v>
      </c>
      <c r="J18" s="1339"/>
      <c r="K18" s="1339"/>
      <c r="L18" s="1336">
        <f t="shared" si="0"/>
        <v>69265</v>
      </c>
      <c r="M18" s="1339">
        <v>98044</v>
      </c>
    </row>
    <row r="19" spans="2:14" ht="20.100000000000001" customHeight="1" x14ac:dyDescent="0.2">
      <c r="B19" s="1333" t="s">
        <v>2135</v>
      </c>
      <c r="C19" s="1337" t="s">
        <v>2136</v>
      </c>
      <c r="D19" s="1338" t="s">
        <v>2137</v>
      </c>
      <c r="E19" s="1339">
        <v>13255</v>
      </c>
      <c r="F19" s="1339">
        <v>19293</v>
      </c>
      <c r="G19" s="1339">
        <v>29135</v>
      </c>
      <c r="H19" s="1339"/>
      <c r="I19" s="1339">
        <v>3413</v>
      </c>
      <c r="J19" s="1339"/>
      <c r="K19" s="1339"/>
      <c r="L19" s="1336">
        <f t="shared" si="0"/>
        <v>32548</v>
      </c>
      <c r="M19" s="1339">
        <v>107602</v>
      </c>
    </row>
    <row r="20" spans="2:14" ht="20.100000000000001" customHeight="1" x14ac:dyDescent="0.2">
      <c r="B20" s="1333" t="s">
        <v>2135</v>
      </c>
      <c r="C20" s="1337" t="s">
        <v>2136</v>
      </c>
      <c r="D20" s="1338" t="s">
        <v>2138</v>
      </c>
      <c r="E20" s="1339"/>
      <c r="F20" s="1339">
        <v>98828</v>
      </c>
      <c r="G20" s="1339"/>
      <c r="H20" s="1339"/>
      <c r="I20" s="1339">
        <v>98910</v>
      </c>
      <c r="J20" s="1339"/>
      <c r="K20" s="1339"/>
      <c r="L20" s="1336">
        <f t="shared" si="0"/>
        <v>98910</v>
      </c>
      <c r="M20" s="1339">
        <v>178432</v>
      </c>
    </row>
    <row r="21" spans="2:14" ht="20.100000000000001" customHeight="1" x14ac:dyDescent="0.2">
      <c r="B21" s="1333" t="s">
        <v>2139</v>
      </c>
      <c r="C21" s="1337"/>
      <c r="D21" s="1338"/>
      <c r="E21" s="1339">
        <v>441153</v>
      </c>
      <c r="F21" s="1339">
        <v>716134</v>
      </c>
      <c r="G21" s="1339">
        <v>570375</v>
      </c>
      <c r="H21" s="1339"/>
      <c r="I21" s="1339">
        <v>634788</v>
      </c>
      <c r="J21" s="1339"/>
      <c r="K21" s="1339">
        <v>20000</v>
      </c>
      <c r="L21" s="1336">
        <f t="shared" si="0"/>
        <v>1225163</v>
      </c>
      <c r="M21" s="1339"/>
    </row>
    <row r="22" spans="2:14" ht="20.100000000000001" customHeight="1" x14ac:dyDescent="0.2">
      <c r="B22" s="1333" t="s">
        <v>2140</v>
      </c>
      <c r="C22" s="1337"/>
      <c r="D22" s="1338"/>
      <c r="E22" s="1339">
        <v>2166374</v>
      </c>
      <c r="F22" s="1339">
        <v>2886129</v>
      </c>
      <c r="G22" s="1339">
        <v>2413289</v>
      </c>
      <c r="H22" s="1339"/>
      <c r="I22" s="1339">
        <v>3016424</v>
      </c>
      <c r="J22" s="1339"/>
      <c r="K22" s="1339">
        <v>20000</v>
      </c>
      <c r="L22" s="1336">
        <f t="shared" si="0"/>
        <v>5449713</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t="s">
        <v>2141</v>
      </c>
      <c r="C24" s="1337" t="s">
        <v>2097</v>
      </c>
      <c r="D24" s="1338" t="s">
        <v>2097</v>
      </c>
      <c r="E24" s="1339">
        <v>0</v>
      </c>
      <c r="F24" s="1339">
        <v>99497</v>
      </c>
      <c r="G24" s="1339">
        <v>0</v>
      </c>
      <c r="H24" s="1339"/>
      <c r="I24" s="1339">
        <v>99497</v>
      </c>
      <c r="J24" s="1339"/>
      <c r="K24" s="1339">
        <v>0</v>
      </c>
      <c r="L24" s="1336">
        <f t="shared" si="0"/>
        <v>99497</v>
      </c>
      <c r="M24" s="1339"/>
    </row>
    <row r="25" spans="2:14" ht="20.100000000000001" customHeight="1" x14ac:dyDescent="0.2">
      <c r="B25" s="1333" t="s">
        <v>2142</v>
      </c>
      <c r="C25" s="1337" t="s">
        <v>2097</v>
      </c>
      <c r="D25" s="1338" t="s">
        <v>2097</v>
      </c>
      <c r="E25" s="1339">
        <v>0</v>
      </c>
      <c r="F25" s="1339">
        <v>0</v>
      </c>
      <c r="G25" s="1339">
        <v>0</v>
      </c>
      <c r="H25" s="1339"/>
      <c r="I25" s="1339">
        <v>0</v>
      </c>
      <c r="J25" s="1339"/>
      <c r="K25" s="1339">
        <v>0</v>
      </c>
      <c r="L25" s="1336">
        <f t="shared" si="0"/>
        <v>0</v>
      </c>
      <c r="M25" s="1339"/>
    </row>
    <row r="26" spans="2:14" ht="20.100000000000001" customHeight="1" x14ac:dyDescent="0.2">
      <c r="B26" s="1333" t="s">
        <v>2143</v>
      </c>
      <c r="C26" s="1337" t="s">
        <v>2097</v>
      </c>
      <c r="D26" s="1338" t="s">
        <v>2097</v>
      </c>
      <c r="E26" s="1339">
        <v>0</v>
      </c>
      <c r="F26" s="1339">
        <v>0</v>
      </c>
      <c r="G26" s="1339">
        <v>0</v>
      </c>
      <c r="H26" s="1339"/>
      <c r="I26" s="1339">
        <v>0</v>
      </c>
      <c r="J26" s="1339"/>
      <c r="K26" s="1339">
        <v>0</v>
      </c>
      <c r="L26" s="1336">
        <f t="shared" si="0"/>
        <v>0</v>
      </c>
      <c r="M26" s="1339"/>
    </row>
    <row r="27" spans="2:14" ht="20.100000000000001" customHeight="1" x14ac:dyDescent="0.2">
      <c r="B27" s="1333" t="s">
        <v>1266</v>
      </c>
      <c r="C27" s="1337" t="s">
        <v>2097</v>
      </c>
      <c r="D27" s="1338" t="s">
        <v>2097</v>
      </c>
      <c r="E27" s="1339">
        <v>0</v>
      </c>
      <c r="F27" s="1339">
        <v>0</v>
      </c>
      <c r="G27" s="1339">
        <v>0</v>
      </c>
      <c r="H27" s="1339"/>
      <c r="I27" s="1339">
        <v>0</v>
      </c>
      <c r="J27" s="1339"/>
      <c r="K27" s="1339">
        <v>0</v>
      </c>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C59" sqref="C59"/>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Glenview CCSD 34</v>
      </c>
      <c r="B1" s="2437"/>
      <c r="C1" s="2437"/>
      <c r="D1" s="2437"/>
      <c r="E1" s="2437"/>
      <c r="F1" s="2437"/>
    </row>
    <row r="2" spans="1:7" ht="13.5" customHeight="1" x14ac:dyDescent="0.2">
      <c r="A2" s="2433">
        <f>'Single Audit Cover'!E7</f>
        <v>5016034004</v>
      </c>
      <c r="B2" s="2433"/>
      <c r="C2" s="2433"/>
      <c r="D2" s="2433"/>
      <c r="E2" s="2433"/>
      <c r="F2" s="2433"/>
      <c r="G2" s="1271"/>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2" t="s">
        <v>1728</v>
      </c>
      <c r="C6" s="317"/>
      <c r="D6" s="317"/>
    </row>
    <row r="7" spans="1:7" ht="60.95" customHeight="1" x14ac:dyDescent="0.2">
      <c r="A7" s="2436" t="s">
        <v>2144</v>
      </c>
      <c r="B7" s="2436"/>
      <c r="C7" s="2436"/>
      <c r="D7" s="2436"/>
      <c r="E7" s="2436"/>
      <c r="F7" s="2436"/>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899"/>
      <c r="D11" s="1276"/>
      <c r="E11" s="1899"/>
      <c r="F11" s="1276"/>
      <c r="G11" s="1274"/>
    </row>
    <row r="12" spans="1:7" x14ac:dyDescent="0.2">
      <c r="A12" s="1272" t="s">
        <v>1587</v>
      </c>
      <c r="C12" s="1256"/>
      <c r="D12" s="1256"/>
    </row>
    <row r="13" spans="1:7" ht="15" customHeight="1" x14ac:dyDescent="0.2">
      <c r="A13" s="2436" t="s">
        <v>2145</v>
      </c>
      <c r="B13" s="2436"/>
      <c r="C13" s="2436"/>
      <c r="D13" s="2436"/>
      <c r="E13" s="2436"/>
      <c r="F13" s="2436"/>
    </row>
    <row r="14" spans="1:7" ht="9.75" customHeight="1" x14ac:dyDescent="0.2">
      <c r="C14" s="1256"/>
      <c r="D14" s="1256"/>
    </row>
    <row r="15" spans="1:7" ht="13.5" customHeight="1" x14ac:dyDescent="0.2">
      <c r="C15" s="1843" t="s">
        <v>1270</v>
      </c>
      <c r="D15" s="2441" t="s">
        <v>1269</v>
      </c>
      <c r="E15" s="2441"/>
      <c r="F15" s="2441"/>
    </row>
    <row r="16" spans="1:7" ht="13.5" customHeight="1" x14ac:dyDescent="0.2">
      <c r="A16" s="1278"/>
      <c r="B16" s="1272" t="s">
        <v>1268</v>
      </c>
      <c r="C16" s="1843" t="s">
        <v>1267</v>
      </c>
      <c r="D16" s="2442" t="s">
        <v>1588</v>
      </c>
      <c r="E16" s="2442"/>
      <c r="F16" s="2442"/>
    </row>
    <row r="17" spans="1:6" ht="20.45" customHeight="1" x14ac:dyDescent="0.2">
      <c r="A17" s="1279"/>
      <c r="B17" s="1280" t="s">
        <v>2146</v>
      </c>
      <c r="C17" s="1281"/>
      <c r="D17" s="2440"/>
      <c r="E17" s="2440"/>
      <c r="F17" s="2440"/>
    </row>
    <row r="18" spans="1:6" ht="20.65" customHeight="1" x14ac:dyDescent="0.2">
      <c r="A18" s="1279"/>
      <c r="B18" s="1280"/>
      <c r="C18" s="1281"/>
      <c r="D18" s="2440"/>
      <c r="E18" s="2440"/>
      <c r="F18" s="2440"/>
    </row>
    <row r="19" spans="1:6" ht="20.65" customHeight="1" x14ac:dyDescent="0.2">
      <c r="A19" s="1279"/>
      <c r="B19" s="1280"/>
      <c r="C19" s="1281"/>
      <c r="D19" s="2440"/>
      <c r="E19" s="2440"/>
      <c r="F19" s="2440"/>
    </row>
    <row r="20" spans="1:6" ht="20.65" customHeight="1" x14ac:dyDescent="0.2">
      <c r="A20" s="1279"/>
      <c r="B20" s="1280"/>
      <c r="C20" s="1281"/>
      <c r="D20" s="2440"/>
      <c r="E20" s="2440"/>
      <c r="F20" s="2440"/>
    </row>
    <row r="21" spans="1:6" ht="20.65" customHeight="1" x14ac:dyDescent="0.2">
      <c r="A21" s="1279"/>
      <c r="B21" s="1280"/>
      <c r="C21" s="1281"/>
      <c r="D21" s="2440"/>
      <c r="E21" s="2440"/>
      <c r="F21" s="2440"/>
    </row>
    <row r="22" spans="1:6" ht="20.65" customHeight="1" x14ac:dyDescent="0.2">
      <c r="A22" s="1279"/>
      <c r="B22" s="1280"/>
      <c r="C22" s="1281"/>
      <c r="D22" s="2440"/>
      <c r="E22" s="2440"/>
      <c r="F22" s="2440"/>
    </row>
    <row r="23" spans="1:6" ht="20.65" customHeight="1" x14ac:dyDescent="0.2">
      <c r="A23" s="1279"/>
      <c r="B23" s="1280"/>
      <c r="C23" s="1281"/>
      <c r="D23" s="2440"/>
      <c r="E23" s="2440"/>
      <c r="F23" s="2440"/>
    </row>
    <row r="24" spans="1:6" ht="20.65" customHeight="1" x14ac:dyDescent="0.2">
      <c r="A24" s="1279"/>
      <c r="B24" s="1280"/>
      <c r="C24" s="1281"/>
      <c r="D24" s="2440"/>
      <c r="E24" s="2440"/>
      <c r="F24" s="2440"/>
    </row>
    <row r="25" spans="1:6" ht="20.65" customHeight="1" x14ac:dyDescent="0.2">
      <c r="A25" s="1279"/>
      <c r="B25" s="1280"/>
      <c r="C25" s="1281"/>
      <c r="D25" s="2440"/>
      <c r="E25" s="2440"/>
      <c r="F25" s="2440"/>
    </row>
    <row r="26" spans="1:6" ht="20.65" customHeight="1" x14ac:dyDescent="0.2">
      <c r="A26" s="1279"/>
      <c r="B26" s="1280"/>
      <c r="C26" s="1281"/>
      <c r="D26" s="2440"/>
      <c r="E26" s="2440"/>
      <c r="F26" s="2440"/>
    </row>
    <row r="27" spans="1:6" ht="20.65" customHeight="1" x14ac:dyDescent="0.2">
      <c r="A27" s="1279"/>
      <c r="B27" s="1280"/>
      <c r="C27" s="1281"/>
      <c r="D27" s="2440"/>
      <c r="E27" s="2440"/>
      <c r="F27" s="2440"/>
    </row>
    <row r="28" spans="1:6" ht="20.65" customHeight="1" x14ac:dyDescent="0.2">
      <c r="A28" s="1279"/>
      <c r="B28" s="1280"/>
      <c r="C28" s="1281"/>
      <c r="D28" s="2440"/>
      <c r="E28" s="2440"/>
      <c r="F28" s="2440"/>
    </row>
    <row r="29" spans="1:6" ht="20.65" customHeight="1" x14ac:dyDescent="0.2">
      <c r="A29" s="1279"/>
      <c r="B29" s="1280"/>
      <c r="C29" s="1281"/>
      <c r="D29" s="2440"/>
      <c r="E29" s="2440"/>
      <c r="F29" s="2440"/>
    </row>
    <row r="30" spans="1:6" ht="12" customHeight="1" x14ac:dyDescent="0.2">
      <c r="A30" s="328"/>
      <c r="B30" s="328"/>
      <c r="C30" s="1461"/>
      <c r="D30" s="1900"/>
      <c r="E30" s="1282"/>
    </row>
    <row r="31" spans="1:6" ht="12" customHeight="1" x14ac:dyDescent="0.2">
      <c r="A31" s="1283" t="s">
        <v>1549</v>
      </c>
      <c r="B31" s="328"/>
      <c r="C31" s="1461"/>
      <c r="D31" s="1900"/>
      <c r="E31" s="1282"/>
    </row>
    <row r="32" spans="1:6" ht="30" customHeight="1" x14ac:dyDescent="0.2">
      <c r="A32" s="2444" t="s">
        <v>2147</v>
      </c>
      <c r="B32" s="2444"/>
      <c r="C32" s="2444"/>
      <c r="D32" s="2444"/>
      <c r="E32" s="2444"/>
      <c r="F32" s="2444"/>
    </row>
    <row r="33" spans="1:6" ht="13.5" customHeight="1" x14ac:dyDescent="0.2">
      <c r="A33" s="328" t="s">
        <v>1434</v>
      </c>
      <c r="B33" s="328"/>
      <c r="C33" s="1284">
        <v>36179</v>
      </c>
      <c r="D33" s="1900"/>
      <c r="E33" s="1282"/>
    </row>
    <row r="34" spans="1:6" ht="13.5" customHeight="1" x14ac:dyDescent="0.2">
      <c r="A34" s="328" t="s">
        <v>1835</v>
      </c>
      <c r="B34" s="328"/>
      <c r="C34" s="1285">
        <v>63318</v>
      </c>
      <c r="D34" s="1900" t="s">
        <v>1589</v>
      </c>
      <c r="E34" s="2445">
        <f>+C33+C34</f>
        <v>99497</v>
      </c>
      <c r="F34" s="2446"/>
    </row>
    <row r="35" spans="1:6" ht="12" customHeight="1" x14ac:dyDescent="0.2">
      <c r="A35" s="328"/>
      <c r="B35" s="328"/>
      <c r="C35" s="1901"/>
      <c r="D35" s="1900"/>
      <c r="E35" s="1286"/>
      <c r="F35" s="1287"/>
    </row>
    <row r="36" spans="1:6" ht="13.5" customHeight="1" x14ac:dyDescent="0.2">
      <c r="A36" s="1283" t="s">
        <v>1550</v>
      </c>
      <c r="B36" s="328"/>
      <c r="C36" s="1461"/>
      <c r="D36" s="1900"/>
      <c r="E36" s="1282"/>
    </row>
    <row r="37" spans="1:6" ht="14.25" customHeight="1" x14ac:dyDescent="0.2">
      <c r="A37" s="328" t="s">
        <v>1484</v>
      </c>
      <c r="B37" s="328"/>
      <c r="C37" s="1902"/>
      <c r="D37" s="1900"/>
      <c r="E37" s="1282"/>
    </row>
    <row r="38" spans="1:6" ht="14.25" customHeight="1" x14ac:dyDescent="0.2">
      <c r="A38" s="328"/>
      <c r="B38" s="328" t="s">
        <v>1435</v>
      </c>
      <c r="C38" s="1288" t="s">
        <v>383</v>
      </c>
      <c r="D38" s="1900"/>
      <c r="E38" s="1282"/>
    </row>
    <row r="39" spans="1:6" ht="14.25" customHeight="1" x14ac:dyDescent="0.2">
      <c r="A39" s="328"/>
      <c r="B39" s="328" t="s">
        <v>1436</v>
      </c>
      <c r="C39" s="1288" t="s">
        <v>383</v>
      </c>
      <c r="D39" s="1900"/>
      <c r="E39" s="1282"/>
    </row>
    <row r="40" spans="1:6" ht="14.25" customHeight="1" x14ac:dyDescent="0.2">
      <c r="A40" s="328"/>
      <c r="B40" s="328" t="s">
        <v>1437</v>
      </c>
      <c r="C40" s="1288" t="s">
        <v>383</v>
      </c>
      <c r="D40" s="1900"/>
      <c r="E40" s="1282"/>
    </row>
    <row r="41" spans="1:6" ht="14.25" customHeight="1" x14ac:dyDescent="0.2">
      <c r="A41" s="328"/>
      <c r="B41" s="328" t="s">
        <v>1438</v>
      </c>
      <c r="C41" s="1288" t="s">
        <v>383</v>
      </c>
      <c r="D41" s="1900"/>
      <c r="E41" s="1282"/>
    </row>
    <row r="42" spans="1:6" ht="14.25" customHeight="1" x14ac:dyDescent="0.2">
      <c r="A42" s="328" t="s">
        <v>1439</v>
      </c>
      <c r="B42" s="328"/>
      <c r="C42" s="1898" t="s">
        <v>383</v>
      </c>
      <c r="D42" s="1900"/>
      <c r="E42" s="1282"/>
    </row>
    <row r="43" spans="1:6" ht="14.25" customHeight="1" x14ac:dyDescent="0.2">
      <c r="A43" s="328" t="s">
        <v>1440</v>
      </c>
      <c r="B43" s="328"/>
      <c r="C43" s="1289" t="s">
        <v>383</v>
      </c>
      <c r="D43" s="1900"/>
      <c r="E43" s="1282"/>
    </row>
    <row r="44" spans="1:6" ht="14.25" customHeight="1" x14ac:dyDescent="0.2">
      <c r="A44" s="328"/>
      <c r="B44" s="328"/>
      <c r="C44" s="1902" t="s">
        <v>1441</v>
      </c>
      <c r="D44" s="1900"/>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7" t="s">
        <v>1590</v>
      </c>
      <c r="C49" s="2447"/>
      <c r="D49" s="2447"/>
      <c r="E49" s="1395"/>
    </row>
    <row r="50" spans="1:5" s="1296" customFormat="1" ht="3.75" customHeight="1" x14ac:dyDescent="0.2">
      <c r="A50" s="1295"/>
      <c r="B50" s="1842"/>
      <c r="C50" s="1842"/>
      <c r="D50" s="1842"/>
      <c r="E50" s="1395"/>
    </row>
    <row r="51" spans="1:5" s="1296" customFormat="1" ht="20.25" customHeight="1" x14ac:dyDescent="0.2">
      <c r="A51" s="1297">
        <v>6</v>
      </c>
      <c r="B51" s="2443" t="s">
        <v>1551</v>
      </c>
      <c r="C51" s="2443"/>
      <c r="D51" s="2443"/>
    </row>
    <row r="52" spans="1:5" ht="14.25" customHeight="1" x14ac:dyDescent="0.2">
      <c r="A52" s="1297"/>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0" zoomScale="110" zoomScaleNormal="110" workbookViewId="0">
      <selection activeCell="G66" sqref="G66"/>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Glenview CCSD 34</v>
      </c>
      <c r="C1" s="2453"/>
      <c r="D1" s="2453"/>
      <c r="E1" s="2453"/>
      <c r="F1" s="2453"/>
      <c r="G1" s="2453"/>
      <c r="H1" s="2453"/>
      <c r="I1" s="2453"/>
      <c r="J1" s="1405"/>
    </row>
    <row r="2" spans="2:10" s="317" customFormat="1" ht="12.75" customHeight="1" x14ac:dyDescent="0.2">
      <c r="B2" s="2454">
        <f>'Single Audit Cover'!E7</f>
        <v>5016034004</v>
      </c>
      <c r="C2" s="2455"/>
      <c r="D2" s="2455"/>
      <c r="E2" s="2455"/>
      <c r="F2" s="2455"/>
      <c r="G2" s="2455"/>
      <c r="H2" s="2455"/>
      <c r="I2" s="2455"/>
      <c r="J2" s="1405"/>
    </row>
    <row r="3" spans="2:10" s="317" customFormat="1" ht="12.75" customHeight="1" x14ac:dyDescent="0.2">
      <c r="B3" s="2456" t="s">
        <v>1285</v>
      </c>
      <c r="C3" s="2457"/>
      <c r="D3" s="2457"/>
      <c r="E3" s="2457"/>
      <c r="F3" s="2457"/>
      <c r="G3" s="2457"/>
      <c r="H3" s="2457"/>
      <c r="I3" s="2457"/>
      <c r="J3" s="1406"/>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6" t="s">
        <v>1284</v>
      </c>
      <c r="C7" s="2457"/>
      <c r="D7" s="2457"/>
      <c r="E7" s="2457"/>
      <c r="F7" s="2457"/>
      <c r="G7" s="2457"/>
      <c r="H7" s="2457"/>
      <c r="I7" s="2457"/>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58" t="s">
        <v>1164</v>
      </c>
      <c r="D11" s="2458"/>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2061</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2061</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2061</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2061</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2061</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59" t="s">
        <v>2148</v>
      </c>
      <c r="E29" s="2459"/>
      <c r="F29" s="2459"/>
      <c r="G29" s="2459"/>
      <c r="H29" s="2459"/>
      <c r="I29" s="2459"/>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t="s">
        <v>2061</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460" t="s">
        <v>1748</v>
      </c>
      <c r="D37" s="2461"/>
      <c r="E37" s="2461"/>
      <c r="F37" s="2462"/>
      <c r="G37" s="2460" t="s">
        <v>1592</v>
      </c>
      <c r="H37" s="2461"/>
      <c r="I37" s="2462"/>
    </row>
    <row r="38" spans="2:9" ht="16.5" customHeight="1" x14ac:dyDescent="0.2">
      <c r="B38" s="1427" t="s">
        <v>2109</v>
      </c>
      <c r="C38" s="2448" t="s">
        <v>2149</v>
      </c>
      <c r="D38" s="2449"/>
      <c r="E38" s="2449"/>
      <c r="F38" s="2450"/>
      <c r="G38" s="2463">
        <v>88305</v>
      </c>
      <c r="H38" s="2464"/>
      <c r="I38" s="2465"/>
    </row>
    <row r="39" spans="2:9" ht="16.5" customHeight="1" x14ac:dyDescent="0.2">
      <c r="B39" s="1427" t="s">
        <v>2109</v>
      </c>
      <c r="C39" s="2448" t="s">
        <v>2150</v>
      </c>
      <c r="D39" s="2449"/>
      <c r="E39" s="2449"/>
      <c r="F39" s="2450"/>
      <c r="G39" s="2451">
        <v>986893</v>
      </c>
      <c r="H39" s="2451"/>
      <c r="I39" s="2451"/>
    </row>
    <row r="40" spans="2:9" ht="16.5" customHeight="1" x14ac:dyDescent="0.2">
      <c r="B40" s="1427" t="s">
        <v>2109</v>
      </c>
      <c r="C40" s="2448" t="s">
        <v>2151</v>
      </c>
      <c r="D40" s="2449"/>
      <c r="E40" s="2449"/>
      <c r="F40" s="2450"/>
      <c r="G40" s="2451">
        <v>613875</v>
      </c>
      <c r="H40" s="2451"/>
      <c r="I40" s="2451"/>
    </row>
    <row r="41" spans="2:9" ht="16.5" customHeight="1" x14ac:dyDescent="0.2">
      <c r="B41" s="1427"/>
      <c r="C41" s="2448"/>
      <c r="D41" s="2449"/>
      <c r="E41" s="2449"/>
      <c r="F41" s="2450"/>
      <c r="G41" s="2451"/>
      <c r="H41" s="2451"/>
      <c r="I41" s="2451"/>
    </row>
    <row r="42" spans="2:9" ht="16.5" customHeight="1" x14ac:dyDescent="0.2">
      <c r="B42" s="1427"/>
      <c r="C42" s="2448"/>
      <c r="D42" s="2449"/>
      <c r="E42" s="2449"/>
      <c r="F42" s="2450"/>
      <c r="G42" s="2451"/>
      <c r="H42" s="2451"/>
      <c r="I42" s="2451"/>
    </row>
    <row r="43" spans="2:9" ht="16.5" customHeight="1" x14ac:dyDescent="0.2">
      <c r="B43" s="1427"/>
      <c r="C43" s="2466" t="s">
        <v>1593</v>
      </c>
      <c r="D43" s="2467"/>
      <c r="E43" s="2467"/>
      <c r="F43" s="2468"/>
      <c r="G43" s="2469">
        <f>SUM(G38:I42)</f>
        <v>1689073</v>
      </c>
      <c r="H43" s="2469"/>
      <c r="I43" s="2469"/>
    </row>
    <row r="44" spans="2:9" ht="12.75" customHeight="1" x14ac:dyDescent="0.2"/>
    <row r="45" spans="2:9" ht="12.75" customHeight="1" x14ac:dyDescent="0.2">
      <c r="B45" s="1418" t="s">
        <v>1838</v>
      </c>
      <c r="D45" s="2470">
        <v>3016424</v>
      </c>
      <c r="E45" s="2471"/>
    </row>
    <row r="46" spans="2:9" ht="5.25" customHeight="1" x14ac:dyDescent="0.2">
      <c r="B46" s="1428"/>
      <c r="D46" s="1429"/>
      <c r="E46" s="1430"/>
    </row>
    <row r="47" spans="2:9" ht="12.75" customHeight="1" x14ac:dyDescent="0.2">
      <c r="B47" s="1296" t="s">
        <v>1594</v>
      </c>
      <c r="C47" s="1296"/>
      <c r="D47" s="1431">
        <f>+G43/D45</f>
        <v>0.55995874585270511</v>
      </c>
      <c r="E47" s="1432"/>
      <c r="F47" s="1433"/>
      <c r="I47" s="1434"/>
    </row>
    <row r="48" spans="2:9" ht="9.9499999999999993" customHeight="1" x14ac:dyDescent="0.2"/>
    <row r="49" spans="1:9" x14ac:dyDescent="0.2">
      <c r="B49" s="1364" t="s">
        <v>1273</v>
      </c>
      <c r="C49" s="1278"/>
      <c r="D49" s="1278"/>
      <c r="E49" s="2472">
        <v>750000</v>
      </c>
      <c r="F49" s="2472"/>
      <c r="G49" s="2472"/>
      <c r="H49" s="322"/>
    </row>
    <row r="51" spans="1:9" ht="13.5" customHeight="1" x14ac:dyDescent="0.2">
      <c r="B51" s="1364" t="s">
        <v>1272</v>
      </c>
      <c r="C51" s="1278"/>
      <c r="E51" s="1421"/>
      <c r="F51" s="1296" t="s">
        <v>885</v>
      </c>
      <c r="G51" s="1421" t="s">
        <v>2061</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Glenview CCSD 34</v>
      </c>
      <c r="C1" s="2452"/>
      <c r="D1" s="2452"/>
      <c r="E1" s="2452"/>
      <c r="F1" s="2452"/>
      <c r="G1" s="2452"/>
      <c r="H1" s="2452"/>
      <c r="I1" s="2452"/>
      <c r="J1" s="2452"/>
      <c r="K1" s="2452"/>
      <c r="L1" s="1370"/>
      <c r="M1" s="1370"/>
    </row>
    <row r="2" spans="1:13" ht="12" customHeight="1" x14ac:dyDescent="0.2">
      <c r="B2" s="2454">
        <f>'Single Audit Cover'!E7</f>
        <v>5016034004</v>
      </c>
      <c r="C2" s="2454"/>
      <c r="D2" s="2454"/>
      <c r="E2" s="2454"/>
      <c r="F2" s="2454"/>
      <c r="G2" s="2454"/>
      <c r="H2" s="2454"/>
      <c r="I2" s="2454"/>
      <c r="J2" s="2454"/>
      <c r="K2" s="2454"/>
      <c r="L2" s="1371"/>
      <c r="M2" s="1372"/>
    </row>
    <row r="3" spans="1:13" ht="10.35" customHeight="1" x14ac:dyDescent="0.2">
      <c r="B3" s="2475" t="s">
        <v>1285</v>
      </c>
      <c r="C3" s="2475"/>
      <c r="D3" s="2475"/>
      <c r="E3" s="2475"/>
      <c r="F3" s="2475"/>
      <c r="G3" s="2475"/>
      <c r="H3" s="2475"/>
      <c r="I3" s="2475"/>
      <c r="J3" s="2475"/>
      <c r="K3" s="2475"/>
      <c r="L3" s="1373"/>
      <c r="M3" s="1373"/>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6" t="s">
        <v>1296</v>
      </c>
      <c r="C7" s="2476"/>
      <c r="D7" s="2477"/>
      <c r="E7" s="2477"/>
      <c r="F7" s="2477"/>
      <c r="G7" s="2477"/>
      <c r="H7" s="2477"/>
      <c r="I7" s="2477"/>
      <c r="J7" s="2477"/>
      <c r="K7" s="247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1988</v>
      </c>
      <c r="D10" s="1382" t="s">
        <v>2146</v>
      </c>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4"/>
      <c r="C14" s="2474"/>
      <c r="D14" s="2474"/>
      <c r="E14" s="2474"/>
      <c r="F14" s="2474"/>
      <c r="G14" s="2474"/>
      <c r="H14" s="2474"/>
      <c r="I14" s="2474"/>
      <c r="J14" s="2474"/>
      <c r="K14" s="247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4"/>
      <c r="C17" s="2474"/>
      <c r="D17" s="2474"/>
      <c r="E17" s="2474"/>
      <c r="F17" s="2474"/>
      <c r="G17" s="2474"/>
      <c r="H17" s="2474"/>
      <c r="I17" s="2474"/>
      <c r="J17" s="2474"/>
      <c r="K17" s="2474"/>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478"/>
      <c r="C20" s="2478"/>
      <c r="D20" s="2474"/>
      <c r="E20" s="2474"/>
      <c r="F20" s="2474"/>
      <c r="G20" s="2474"/>
      <c r="H20" s="2474"/>
      <c r="I20" s="2474"/>
      <c r="J20" s="2474"/>
      <c r="K20" s="247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4"/>
      <c r="C23" s="2474"/>
      <c r="D23" s="2474"/>
      <c r="E23" s="2474"/>
      <c r="F23" s="2474"/>
      <c r="G23" s="2474"/>
      <c r="H23" s="2474"/>
      <c r="I23" s="2474"/>
      <c r="J23" s="2474"/>
      <c r="K23" s="247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4"/>
      <c r="C26" s="2474"/>
      <c r="D26" s="2474"/>
      <c r="E26" s="2474"/>
      <c r="F26" s="2474"/>
      <c r="G26" s="2474"/>
      <c r="H26" s="2474"/>
      <c r="I26" s="2474"/>
      <c r="J26" s="2474"/>
      <c r="K26" s="247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3"/>
      <c r="C29" s="2473"/>
      <c r="D29" s="2474"/>
      <c r="E29" s="2474"/>
      <c r="F29" s="2474"/>
      <c r="G29" s="2474"/>
      <c r="H29" s="2474"/>
      <c r="I29" s="2474"/>
      <c r="J29" s="2474"/>
      <c r="K29" s="247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473"/>
      <c r="C32" s="2473"/>
      <c r="D32" s="2474"/>
      <c r="E32" s="2474"/>
      <c r="F32" s="2474"/>
      <c r="G32" s="2474"/>
      <c r="H32" s="2474"/>
      <c r="I32" s="2474"/>
      <c r="J32" s="2474"/>
      <c r="K32" s="247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Glenview CCSD 34</v>
      </c>
      <c r="C1" s="2479"/>
      <c r="D1" s="2479"/>
      <c r="E1" s="2479"/>
      <c r="F1" s="2479"/>
      <c r="G1" s="2479"/>
      <c r="H1" s="2479"/>
      <c r="I1" s="2479"/>
      <c r="J1" s="2479"/>
      <c r="K1" s="2479"/>
      <c r="L1" s="1448"/>
    </row>
    <row r="2" spans="1:12" ht="12.75" customHeight="1" x14ac:dyDescent="0.2">
      <c r="B2" s="2480">
        <f>'Single Audit Cover'!E7</f>
        <v>5016034004</v>
      </c>
      <c r="C2" s="2480"/>
      <c r="D2" s="2480"/>
      <c r="E2" s="2480"/>
      <c r="F2" s="2480"/>
      <c r="G2" s="2480"/>
      <c r="H2" s="2480"/>
      <c r="I2" s="2480"/>
      <c r="J2" s="2480"/>
      <c r="K2" s="2480"/>
      <c r="L2" s="1449"/>
    </row>
    <row r="3" spans="1:12" ht="12.75" customHeight="1" x14ac:dyDescent="0.2">
      <c r="B3" s="2475" t="s">
        <v>1285</v>
      </c>
      <c r="C3" s="2475"/>
      <c r="D3" s="2475"/>
      <c r="E3" s="2475"/>
      <c r="F3" s="2475"/>
      <c r="G3" s="2475"/>
      <c r="H3" s="2475"/>
      <c r="I3" s="2475"/>
      <c r="J3" s="2475"/>
      <c r="K3" s="2475"/>
      <c r="L3" s="1373"/>
    </row>
    <row r="4" spans="1:12" ht="12.75" customHeight="1" x14ac:dyDescent="0.2">
      <c r="B4" s="2475" t="str">
        <f>'Single Audit Cover'!A4</f>
        <v>Year Ending June 30, 2019</v>
      </c>
      <c r="C4" s="2475"/>
      <c r="D4" s="2475"/>
      <c r="E4" s="2475"/>
      <c r="F4" s="2475"/>
      <c r="G4" s="2475"/>
      <c r="H4" s="2475"/>
      <c r="I4" s="2475"/>
      <c r="J4" s="2475"/>
      <c r="K4" s="2475"/>
      <c r="L4" s="1373"/>
    </row>
    <row r="5" spans="1:12" ht="5.25" customHeight="1" x14ac:dyDescent="0.2">
      <c r="B5" s="1256" t="s">
        <v>1169</v>
      </c>
      <c r="C5" s="1256"/>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1988</v>
      </c>
      <c r="D8" s="1451" t="s">
        <v>2146</v>
      </c>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59"/>
      <c r="G12" s="2459"/>
      <c r="H12" s="2459"/>
      <c r="I12" s="2459"/>
      <c r="J12" s="2459"/>
      <c r="K12" s="245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2"/>
      <c r="E14" s="2482"/>
      <c r="F14" s="2482"/>
      <c r="H14" s="1458" t="s">
        <v>1303</v>
      </c>
      <c r="I14" s="2483"/>
      <c r="J14" s="2483"/>
      <c r="K14" s="2483"/>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3"/>
      <c r="E16" s="2483"/>
      <c r="F16" s="2483"/>
      <c r="G16" s="2483"/>
      <c r="H16" s="2483"/>
      <c r="I16" s="2483"/>
      <c r="J16" s="2483"/>
      <c r="K16" s="2483"/>
      <c r="L16" s="322"/>
    </row>
    <row r="17" spans="2:12" ht="13.5" customHeight="1" x14ac:dyDescent="0.2">
      <c r="B17" s="1383" t="s">
        <v>1301</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4"/>
      <c r="C20" s="2474"/>
      <c r="D20" s="2474"/>
      <c r="E20" s="2474"/>
      <c r="F20" s="2474"/>
      <c r="G20" s="2474"/>
      <c r="H20" s="2474"/>
      <c r="I20" s="2474"/>
      <c r="J20" s="2474"/>
      <c r="K20" s="247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2" t="str">
        <f>'Single Audit Cover'!A7</f>
        <v>Glenview CCSD 34</v>
      </c>
      <c r="C1" s="2452"/>
      <c r="D1" s="2452"/>
      <c r="E1" s="1468"/>
    </row>
    <row r="2" spans="2:5" s="1278" customFormat="1" ht="12.75" customHeight="1" x14ac:dyDescent="0.2">
      <c r="B2" s="2454">
        <f>'Single Audit Cover'!E7</f>
        <v>5016034004</v>
      </c>
      <c r="C2" s="2454"/>
      <c r="D2" s="2454"/>
      <c r="E2" s="1469"/>
    </row>
    <row r="3" spans="2:5" ht="12.75" customHeight="1" x14ac:dyDescent="0.2">
      <c r="B3" s="2475" t="s">
        <v>1763</v>
      </c>
      <c r="C3" s="2475"/>
      <c r="D3" s="2475"/>
      <c r="E3" s="1270"/>
    </row>
    <row r="4" spans="2:5" s="1278" customFormat="1" ht="12.75" customHeight="1" x14ac:dyDescent="0.2">
      <c r="B4" s="2485" t="str">
        <f>'Single Audit Cover'!A4</f>
        <v>Year Ending June 30, 2019</v>
      </c>
      <c r="C4" s="2485"/>
      <c r="D4" s="2485"/>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c r="C7" s="324"/>
      <c r="D7" s="324"/>
      <c r="E7" s="324"/>
    </row>
    <row r="8" spans="2:5" ht="13.5" customHeight="1" x14ac:dyDescent="0.2">
      <c r="B8" s="1473" t="s">
        <v>2146</v>
      </c>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1907406679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2.1708000000000002E-2</v>
      </c>
      <c r="E10" s="356" t="s">
        <v>1005</v>
      </c>
      <c r="F10" s="355">
        <v>2.3649999999999999E-3</v>
      </c>
      <c r="G10" s="356" t="s">
        <v>1005</v>
      </c>
      <c r="H10" s="355">
        <v>1.5479999999999999E-3</v>
      </c>
      <c r="I10" s="356" t="s">
        <v>1006</v>
      </c>
      <c r="J10" s="1729">
        <f>ROUND(D10+F10+H10,5)</f>
        <v>2.562E-2</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67760995</v>
      </c>
      <c r="E16" s="356"/>
      <c r="F16" s="1730">
        <f>SUM('Acct Summary 7-8'!C17,'Acct Summary 7-8'!D17,'Acct Summary 7-8'!F17)</f>
        <v>65967644</v>
      </c>
      <c r="G16" s="356"/>
      <c r="H16" s="1730">
        <f>SUM(D16-F16)</f>
        <v>1793351</v>
      </c>
      <c r="I16" s="222"/>
      <c r="J16" s="1730">
        <f>SUM('Acct Summary 7-8'!C81,'Acct Summary 7-8'!D81,'Acct Summary 7-8'!F81,'Acct Summary 7-8'!I81)</f>
        <v>50418727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2">
        <f>IF(B31="X",(J7*0.069),IF(B32="X",(J7*0.138),"Enter x in a.or b."))</f>
        <v>131611060.85100001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21305000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Glenview CCSD 34</v>
      </c>
      <c r="E7" s="391"/>
      <c r="G7" s="252"/>
      <c r="H7" s="387"/>
      <c r="I7" s="387"/>
      <c r="J7" s="387"/>
      <c r="K7" s="387"/>
      <c r="L7" s="329"/>
      <c r="M7" s="329"/>
      <c r="N7" s="329"/>
      <c r="O7" s="329"/>
      <c r="P7" s="329"/>
    </row>
    <row r="8" spans="1:18" ht="12.75" x14ac:dyDescent="0.2">
      <c r="A8" s="329"/>
      <c r="B8" s="329"/>
      <c r="C8" s="389" t="s">
        <v>1125</v>
      </c>
      <c r="D8" s="392">
        <f>COVER!A13</f>
        <v>5016034004</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50418727</v>
      </c>
      <c r="I12" s="404"/>
      <c r="J12" s="404"/>
      <c r="K12" s="405">
        <f>TRUNC((H12/H13*100000),5)/100000</f>
        <v>0.74406709929999992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67760995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65967644</v>
      </c>
      <c r="I17" s="404"/>
      <c r="J17" s="416"/>
      <c r="K17" s="405">
        <f>TRUNC((H17/H18*100000),5)/100000</f>
        <v>0.97353416960000005</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67760995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50598406</v>
      </c>
      <c r="I24" s="422"/>
      <c r="J24" s="422"/>
      <c r="K24" s="423">
        <f>TRUNC(((H24/H25*100000)/100000),2)</f>
        <v>276.12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183243.45556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41537595.248580001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21305000</v>
      </c>
      <c r="I32" s="420"/>
      <c r="J32" s="420"/>
      <c r="K32" s="423">
        <f>TRUNC(100-((((H32/H33*100))*100)/100),2)</f>
        <v>83.81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131611060.85100001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5"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8"/>
      <c r="D3" s="1559"/>
      <c r="E3" s="1559"/>
      <c r="F3" s="1559"/>
      <c r="G3" s="1559"/>
      <c r="H3" s="1559"/>
      <c r="I3" s="1559"/>
      <c r="J3" s="1559"/>
      <c r="K3" s="1559"/>
      <c r="L3" s="1559"/>
      <c r="M3" s="1560"/>
      <c r="N3" s="1561"/>
    </row>
    <row r="4" spans="1:14" ht="13.5" customHeight="1" x14ac:dyDescent="0.2">
      <c r="A4" s="463" t="s">
        <v>1651</v>
      </c>
      <c r="B4" s="464"/>
      <c r="C4" s="465">
        <f>3978180+1107122+36786290+1041</f>
        <v>41872633</v>
      </c>
      <c r="D4" s="466">
        <v>3295491</v>
      </c>
      <c r="E4" s="466">
        <v>1185173</v>
      </c>
      <c r="F4" s="466">
        <v>3453770</v>
      </c>
      <c r="G4" s="466">
        <v>1829749</v>
      </c>
      <c r="H4" s="466">
        <v>9332120</v>
      </c>
      <c r="I4" s="466">
        <v>1976512</v>
      </c>
      <c r="J4" s="467">
        <v>733633</v>
      </c>
      <c r="K4" s="466">
        <v>130182</v>
      </c>
      <c r="L4" s="466">
        <v>318396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41872633</v>
      </c>
      <c r="D13" s="1734">
        <f t="shared" ref="D13:L13" si="0">SUM(D4:D12)</f>
        <v>3295491</v>
      </c>
      <c r="E13" s="1734">
        <f t="shared" si="0"/>
        <v>1185173</v>
      </c>
      <c r="F13" s="1734">
        <f t="shared" si="0"/>
        <v>3453770</v>
      </c>
      <c r="G13" s="1734">
        <f t="shared" si="0"/>
        <v>1829749</v>
      </c>
      <c r="H13" s="1734">
        <f t="shared" si="0"/>
        <v>9332120</v>
      </c>
      <c r="I13" s="1734">
        <f t="shared" si="0"/>
        <v>1976512</v>
      </c>
      <c r="J13" s="1734">
        <f t="shared" si="0"/>
        <v>733633</v>
      </c>
      <c r="K13" s="1734">
        <f t="shared" si="0"/>
        <v>130182</v>
      </c>
      <c r="L13" s="1734">
        <f t="shared" si="0"/>
        <v>318396</v>
      </c>
      <c r="M13" s="468"/>
      <c r="N13" s="469"/>
    </row>
    <row r="14" spans="1:14" ht="18" customHeight="1" thickTop="1" x14ac:dyDescent="0.2">
      <c r="A14" s="2109" t="s">
        <v>147</v>
      </c>
      <c r="B14" s="2110"/>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194077</v>
      </c>
      <c r="N16" s="484"/>
    </row>
    <row r="17" spans="1:14" s="485" customFormat="1" ht="12.75" customHeight="1" x14ac:dyDescent="0.2">
      <c r="A17" s="482" t="s">
        <v>1403</v>
      </c>
      <c r="B17" s="483">
        <v>230</v>
      </c>
      <c r="C17" s="477"/>
      <c r="D17" s="477"/>
      <c r="E17" s="477"/>
      <c r="F17" s="477"/>
      <c r="G17" s="477"/>
      <c r="H17" s="477"/>
      <c r="I17" s="477"/>
      <c r="J17" s="477"/>
      <c r="K17" s="477"/>
      <c r="L17" s="477"/>
      <c r="M17" s="467">
        <v>108807076</v>
      </c>
      <c r="N17" s="484"/>
    </row>
    <row r="18" spans="1:14" s="485" customFormat="1" ht="12.75" customHeight="1" x14ac:dyDescent="0.2">
      <c r="A18" s="482" t="s">
        <v>1404</v>
      </c>
      <c r="B18" s="483">
        <v>240</v>
      </c>
      <c r="C18" s="477"/>
      <c r="D18" s="477"/>
      <c r="E18" s="477"/>
      <c r="F18" s="477"/>
      <c r="G18" s="477"/>
      <c r="H18" s="477"/>
      <c r="I18" s="477"/>
      <c r="J18" s="477"/>
      <c r="K18" s="477"/>
      <c r="L18" s="477"/>
      <c r="M18" s="467">
        <v>3857706</v>
      </c>
      <c r="N18" s="484"/>
    </row>
    <row r="19" spans="1:14" s="485" customFormat="1" ht="12.75" customHeight="1" x14ac:dyDescent="0.2">
      <c r="A19" s="482" t="s">
        <v>1405</v>
      </c>
      <c r="B19" s="483">
        <v>250</v>
      </c>
      <c r="C19" s="477"/>
      <c r="D19" s="477"/>
      <c r="E19" s="477"/>
      <c r="F19" s="477"/>
      <c r="G19" s="477"/>
      <c r="H19" s="477"/>
      <c r="I19" s="477"/>
      <c r="J19" s="477"/>
      <c r="K19" s="477"/>
      <c r="L19" s="477"/>
      <c r="M19" s="467">
        <v>30926708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1185173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20119827</v>
      </c>
    </row>
    <row r="23" spans="1:14" ht="13.5" customHeight="1" thickBot="1" x14ac:dyDescent="0.25">
      <c r="A23" s="1733" t="s">
        <v>643</v>
      </c>
      <c r="B23" s="1738"/>
      <c r="C23" s="468"/>
      <c r="D23" s="468"/>
      <c r="E23" s="468"/>
      <c r="F23" s="468"/>
      <c r="G23" s="468"/>
      <c r="H23" s="468"/>
      <c r="I23" s="468"/>
      <c r="J23" s="468"/>
      <c r="K23" s="468"/>
      <c r="L23" s="468"/>
      <c r="M23" s="1685">
        <f>SUM(M15:M22)</f>
        <v>143785567</v>
      </c>
      <c r="N23" s="1685">
        <f>SUM(N21:N22)</f>
        <v>21305000</v>
      </c>
    </row>
    <row r="24" spans="1:14" ht="18" customHeight="1" thickTop="1" x14ac:dyDescent="0.2">
      <c r="A24" s="2111" t="s">
        <v>598</v>
      </c>
      <c r="B24" s="2112"/>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176969</v>
      </c>
      <c r="D31" s="467">
        <v>2710</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318396</v>
      </c>
      <c r="M33" s="468"/>
      <c r="N33" s="469"/>
    </row>
    <row r="34" spans="1:14" ht="13.5" customHeight="1" thickBot="1" x14ac:dyDescent="0.25">
      <c r="A34" s="1735" t="s">
        <v>654</v>
      </c>
      <c r="B34" s="1736"/>
      <c r="C34" s="1737">
        <f>SUM(C25:C33)</f>
        <v>176969</v>
      </c>
      <c r="D34" s="1737">
        <f t="shared" ref="D34:K34" si="1">SUM(D25:D33)</f>
        <v>2710</v>
      </c>
      <c r="E34" s="1737">
        <f t="shared" si="1"/>
        <v>0</v>
      </c>
      <c r="F34" s="1737">
        <f t="shared" si="1"/>
        <v>0</v>
      </c>
      <c r="G34" s="1737">
        <f t="shared" si="1"/>
        <v>0</v>
      </c>
      <c r="H34" s="1737">
        <f t="shared" si="1"/>
        <v>0</v>
      </c>
      <c r="I34" s="1737">
        <f t="shared" si="1"/>
        <v>0</v>
      </c>
      <c r="J34" s="1737">
        <f t="shared" si="1"/>
        <v>0</v>
      </c>
      <c r="K34" s="1737">
        <f t="shared" si="1"/>
        <v>0</v>
      </c>
      <c r="L34" s="1718">
        <f>SUM(L33)</f>
        <v>318396</v>
      </c>
      <c r="M34" s="468"/>
      <c r="N34" s="480"/>
    </row>
    <row r="35" spans="1:14" ht="18" customHeight="1" thickTop="1" x14ac:dyDescent="0.2">
      <c r="A35" s="2113" t="s">
        <v>529</v>
      </c>
      <c r="B35" s="2114"/>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21305000</v>
      </c>
    </row>
    <row r="37" spans="1:14" ht="13.5" thickBot="1" x14ac:dyDescent="0.25">
      <c r="A37" s="1733" t="s">
        <v>653</v>
      </c>
      <c r="B37" s="1738"/>
      <c r="C37" s="477"/>
      <c r="D37" s="477"/>
      <c r="E37" s="477"/>
      <c r="F37" s="477"/>
      <c r="G37" s="477"/>
      <c r="H37" s="477"/>
      <c r="I37" s="477"/>
      <c r="J37" s="477"/>
      <c r="K37" s="477"/>
      <c r="L37" s="480"/>
      <c r="M37" s="468"/>
      <c r="N37" s="1685">
        <f>SUM(N36:N36)</f>
        <v>21305000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3978180+1107122+36609321+1041</f>
        <v>41695664</v>
      </c>
      <c r="D39" s="466">
        <v>3292781</v>
      </c>
      <c r="E39" s="466">
        <v>1185173</v>
      </c>
      <c r="F39" s="466">
        <v>3453770</v>
      </c>
      <c r="G39" s="466">
        <v>1829749</v>
      </c>
      <c r="H39" s="466">
        <v>9332120</v>
      </c>
      <c r="I39" s="466">
        <v>1976512</v>
      </c>
      <c r="J39" s="467">
        <v>733633</v>
      </c>
      <c r="K39" s="466">
        <v>130182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143785567</v>
      </c>
      <c r="N40" s="497"/>
    </row>
    <row r="41" spans="1:14" ht="13.5" customHeight="1" thickBot="1" x14ac:dyDescent="0.25">
      <c r="A41" s="1733" t="s">
        <v>655</v>
      </c>
      <c r="B41" s="1703"/>
      <c r="C41" s="1685">
        <f>(SUM(C34,C37,C38,C39))</f>
        <v>41872633</v>
      </c>
      <c r="D41" s="1685">
        <f t="shared" ref="D41:L41" si="2">SUM(D34,D37,D38:D39)</f>
        <v>3295491</v>
      </c>
      <c r="E41" s="1685">
        <f t="shared" si="2"/>
        <v>1185173</v>
      </c>
      <c r="F41" s="1685">
        <f t="shared" si="2"/>
        <v>3453770</v>
      </c>
      <c r="G41" s="1685">
        <f t="shared" si="2"/>
        <v>1829749</v>
      </c>
      <c r="H41" s="1685">
        <f t="shared" si="2"/>
        <v>9332120</v>
      </c>
      <c r="I41" s="1685">
        <f t="shared" si="2"/>
        <v>1976512</v>
      </c>
      <c r="J41" s="1685">
        <f t="shared" si="2"/>
        <v>733633</v>
      </c>
      <c r="K41" s="1685">
        <f t="shared" si="2"/>
        <v>130182</v>
      </c>
      <c r="L41" s="1685">
        <f t="shared" si="2"/>
        <v>318396</v>
      </c>
      <c r="M41" s="1685">
        <f>SUM(M40)</f>
        <v>143785567</v>
      </c>
      <c r="N41" s="1685">
        <f>SUM(N37)</f>
        <v>21305000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3"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2"/>
      <c r="D3" s="1573"/>
      <c r="E3" s="1573"/>
      <c r="F3" s="1573"/>
      <c r="G3" s="1573"/>
      <c r="H3" s="1573"/>
      <c r="I3" s="1573"/>
      <c r="J3" s="1573"/>
      <c r="K3" s="1574"/>
      <c r="L3" s="506"/>
    </row>
    <row r="4" spans="1:13" ht="15.75" customHeight="1" x14ac:dyDescent="0.2">
      <c r="A4" s="1925" t="s">
        <v>1499</v>
      </c>
      <c r="B4" s="1926">
        <v>1000</v>
      </c>
      <c r="C4" s="1739">
        <f>'Revenues 9-14'!C109</f>
        <v>50466395</v>
      </c>
      <c r="D4" s="1739">
        <f>'Revenues 9-14'!D109</f>
        <v>4813251</v>
      </c>
      <c r="E4" s="1739">
        <f>'Revenues 9-14'!E109</f>
        <v>3743849</v>
      </c>
      <c r="F4" s="1739">
        <f>'Revenues 9-14'!F109</f>
        <v>2956695</v>
      </c>
      <c r="G4" s="1739">
        <f>'Revenues 9-14'!G109</f>
        <v>2067319</v>
      </c>
      <c r="H4" s="1739">
        <f>'Revenues 9-14'!H109</f>
        <v>297028</v>
      </c>
      <c r="I4" s="1739">
        <f>'Revenues 9-14'!I109</f>
        <v>34287</v>
      </c>
      <c r="J4" s="1739">
        <f>'Revenues 9-14'!J109</f>
        <v>584723</v>
      </c>
      <c r="K4" s="1739">
        <f>'Revenues 9-14'!K109</f>
        <v>7259</v>
      </c>
      <c r="L4" s="347"/>
    </row>
    <row r="5" spans="1:13" ht="15.75" customHeight="1" x14ac:dyDescent="0.2">
      <c r="A5" s="1575" t="s">
        <v>1500</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1501</v>
      </c>
      <c r="B6" s="1577">
        <v>3000</v>
      </c>
      <c r="C6" s="1740">
        <f>'Revenues 9-14'!C170</f>
        <v>4568841</v>
      </c>
      <c r="D6" s="1740">
        <f>'Revenues 9-14'!D170</f>
        <v>0</v>
      </c>
      <c r="E6" s="1740">
        <f>'Revenues 9-14'!E170</f>
        <v>0</v>
      </c>
      <c r="F6" s="1740">
        <f>'Revenues 9-14'!F170</f>
        <v>1932222</v>
      </c>
      <c r="G6" s="1740">
        <f>'Revenues 9-14'!G170</f>
        <v>0</v>
      </c>
      <c r="H6" s="1740">
        <f>'Revenues 9-14'!H170</f>
        <v>0</v>
      </c>
      <c r="I6" s="1740">
        <f>'Revenues 9-14'!I170</f>
        <v>0</v>
      </c>
      <c r="J6" s="1740">
        <f>'Revenues 9-14'!J170</f>
        <v>0</v>
      </c>
      <c r="K6" s="1740">
        <f>'Revenues 9-14'!K170</f>
        <v>0</v>
      </c>
      <c r="L6" s="347"/>
      <c r="M6" s="513"/>
    </row>
    <row r="7" spans="1:13" ht="15.75" customHeight="1" x14ac:dyDescent="0.2">
      <c r="A7" s="1575" t="s">
        <v>1502</v>
      </c>
      <c r="B7" s="1577">
        <v>4000</v>
      </c>
      <c r="C7" s="1740">
        <f>'Revenues 9-14'!C267</f>
        <v>2989304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58024540</v>
      </c>
      <c r="D8" s="1685">
        <f t="shared" ref="D8:K8" si="0">SUM(D4:D7)</f>
        <v>4813251</v>
      </c>
      <c r="E8" s="1685">
        <f t="shared" si="0"/>
        <v>3743849</v>
      </c>
      <c r="F8" s="1685">
        <f t="shared" si="0"/>
        <v>4888917</v>
      </c>
      <c r="G8" s="1685">
        <f t="shared" si="0"/>
        <v>2067319</v>
      </c>
      <c r="H8" s="1685">
        <f t="shared" si="0"/>
        <v>297028</v>
      </c>
      <c r="I8" s="1685">
        <f t="shared" si="0"/>
        <v>34287</v>
      </c>
      <c r="J8" s="1685">
        <f t="shared" si="0"/>
        <v>584723</v>
      </c>
      <c r="K8" s="1685">
        <f t="shared" si="0"/>
        <v>7259</v>
      </c>
      <c r="L8" s="347"/>
    </row>
    <row r="9" spans="1:13" ht="15.75" thickTop="1" x14ac:dyDescent="0.2">
      <c r="A9" s="514" t="s">
        <v>1653</v>
      </c>
      <c r="B9" s="515">
        <v>3998</v>
      </c>
      <c r="C9" s="481">
        <v>24059009</v>
      </c>
      <c r="D9" s="516"/>
      <c r="E9" s="481"/>
      <c r="F9" s="481"/>
      <c r="G9" s="517"/>
      <c r="H9" s="481"/>
      <c r="I9" s="509" t="s">
        <v>1169</v>
      </c>
      <c r="J9" s="478"/>
      <c r="K9" s="481"/>
      <c r="L9" s="347"/>
    </row>
    <row r="10" spans="1:13" s="519" customFormat="1" ht="13.5" thickBot="1" x14ac:dyDescent="0.25">
      <c r="A10" s="1733" t="s">
        <v>1173</v>
      </c>
      <c r="B10" s="1706"/>
      <c r="C10" s="1685">
        <f>SUM(C8:C9)</f>
        <v>82083549</v>
      </c>
      <c r="D10" s="1685">
        <f t="shared" ref="D10:K10" si="1">SUM(D8:D9)</f>
        <v>4813251</v>
      </c>
      <c r="E10" s="1685">
        <f t="shared" si="1"/>
        <v>3743849</v>
      </c>
      <c r="F10" s="1685">
        <f t="shared" si="1"/>
        <v>4888917</v>
      </c>
      <c r="G10" s="1685">
        <f t="shared" si="1"/>
        <v>2067319</v>
      </c>
      <c r="H10" s="1685">
        <f t="shared" si="1"/>
        <v>297028</v>
      </c>
      <c r="I10" s="1685">
        <f t="shared" si="1"/>
        <v>34287</v>
      </c>
      <c r="J10" s="1685">
        <f t="shared" si="1"/>
        <v>584723</v>
      </c>
      <c r="K10" s="1685">
        <f t="shared" si="1"/>
        <v>7259</v>
      </c>
      <c r="L10" s="518"/>
    </row>
    <row r="11" spans="1:13" s="519" customFormat="1" ht="16.7" customHeight="1" thickTop="1" x14ac:dyDescent="0.2">
      <c r="A11" s="2109" t="s">
        <v>1176</v>
      </c>
      <c r="B11" s="2110"/>
      <c r="C11" s="1569"/>
      <c r="D11" s="1570"/>
      <c r="E11" s="1570"/>
      <c r="F11" s="1570"/>
      <c r="G11" s="1570"/>
      <c r="H11" s="1570"/>
      <c r="I11" s="1570"/>
      <c r="J11" s="1570"/>
      <c r="K11" s="1571"/>
      <c r="L11" s="518"/>
    </row>
    <row r="12" spans="1:13" ht="15.75" customHeight="1" x14ac:dyDescent="0.2">
      <c r="A12" s="1575" t="s">
        <v>456</v>
      </c>
      <c r="B12" s="1577">
        <v>1000</v>
      </c>
      <c r="C12" s="1739">
        <f>'Expenditures 15-22'!K33</f>
        <v>39510800</v>
      </c>
      <c r="D12" s="520" t="s">
        <v>1169</v>
      </c>
      <c r="E12" s="468" t="s">
        <v>1169</v>
      </c>
      <c r="F12" s="468" t="s">
        <v>1169</v>
      </c>
      <c r="G12" s="1739">
        <f>'Expenditures 15-22'!K229</f>
        <v>852284</v>
      </c>
      <c r="H12" s="521"/>
      <c r="I12" s="468" t="s">
        <v>1169</v>
      </c>
      <c r="J12" s="468" t="s">
        <v>1169</v>
      </c>
      <c r="K12" s="521" t="s">
        <v>1169</v>
      </c>
      <c r="L12" s="347"/>
    </row>
    <row r="13" spans="1:13" ht="15.75" customHeight="1" x14ac:dyDescent="0.2">
      <c r="A13" s="1575" t="s">
        <v>457</v>
      </c>
      <c r="B13" s="1577">
        <v>2000</v>
      </c>
      <c r="C13" s="1740">
        <f>'Expenditures 15-22'!K74</f>
        <v>17251299</v>
      </c>
      <c r="D13" s="1740">
        <f>'Expenditures 15-22'!K129</f>
        <v>4389767</v>
      </c>
      <c r="E13" s="469" t="s">
        <v>1169</v>
      </c>
      <c r="F13" s="1740">
        <f>'Expenditures 15-22'!K184</f>
        <v>3709079</v>
      </c>
      <c r="G13" s="1740">
        <f>'Expenditures 15-22'!K279</f>
        <v>945388</v>
      </c>
      <c r="H13" s="1740">
        <f>'Expenditures 15-22'!K303</f>
        <v>1170334</v>
      </c>
      <c r="I13" s="468" t="s">
        <v>1169</v>
      </c>
      <c r="J13" s="1740">
        <f>'Expenditures 15-22'!K330</f>
        <v>386703</v>
      </c>
      <c r="K13" s="1744">
        <f>'Expenditures 15-22'!K352</f>
        <v>723567</v>
      </c>
      <c r="L13" s="347"/>
    </row>
    <row r="14" spans="1:13" ht="15.75" customHeight="1" x14ac:dyDescent="0.2">
      <c r="A14" s="1575" t="s">
        <v>449</v>
      </c>
      <c r="B14" s="1577">
        <v>3000</v>
      </c>
      <c r="C14" s="1740">
        <f>'Expenditures 15-22'!K75</f>
        <v>28693</v>
      </c>
      <c r="D14" s="1740">
        <f>'Expenditures 15-22'!K130</f>
        <v>0</v>
      </c>
      <c r="E14" s="520" t="s">
        <v>1169</v>
      </c>
      <c r="F14" s="1740">
        <f>'Expenditures 15-22'!K185</f>
        <v>0</v>
      </c>
      <c r="G14" s="1740">
        <f>'Expenditures 15-22'!K280</f>
        <v>330</v>
      </c>
      <c r="H14" s="512"/>
      <c r="I14" s="468" t="s">
        <v>1169</v>
      </c>
      <c r="J14" s="468" t="s">
        <v>1169</v>
      </c>
      <c r="K14" s="512" t="s">
        <v>1169</v>
      </c>
      <c r="L14" s="347"/>
    </row>
    <row r="15" spans="1:13" ht="15.75" customHeight="1" x14ac:dyDescent="0.2">
      <c r="A15" s="1575" t="s">
        <v>107</v>
      </c>
      <c r="B15" s="1577">
        <v>4000</v>
      </c>
      <c r="C15" s="1740">
        <f>'Expenditures 15-22'!K102</f>
        <v>1078006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5" t="s">
        <v>450</v>
      </c>
      <c r="B16" s="1577">
        <v>5000</v>
      </c>
      <c r="C16" s="1740">
        <f>'Expenditures 15-22'!K112</f>
        <v>0</v>
      </c>
      <c r="D16" s="1740">
        <f>'Expenditures 15-22'!K149</f>
        <v>0</v>
      </c>
      <c r="E16" s="1740">
        <f>'Expenditures 15-22'!K172</f>
        <v>4499342</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57868798</v>
      </c>
      <c r="D17" s="1685">
        <f t="shared" si="2"/>
        <v>4389767</v>
      </c>
      <c r="E17" s="1685">
        <f t="shared" si="2"/>
        <v>4499342</v>
      </c>
      <c r="F17" s="1685">
        <f t="shared" si="2"/>
        <v>3709079</v>
      </c>
      <c r="G17" s="1685">
        <f t="shared" si="2"/>
        <v>1798002</v>
      </c>
      <c r="H17" s="1685">
        <f t="shared" si="2"/>
        <v>1170334</v>
      </c>
      <c r="I17" s="468"/>
      <c r="J17" s="1685">
        <f>SUM(J12:J16)</f>
        <v>386703</v>
      </c>
      <c r="K17" s="1685">
        <f>SUM(K12:K16)</f>
        <v>723567</v>
      </c>
      <c r="L17" s="347"/>
    </row>
    <row r="18" spans="1:12" ht="15" customHeight="1" thickTop="1" x14ac:dyDescent="0.2">
      <c r="A18" s="1741" t="s">
        <v>1654</v>
      </c>
      <c r="B18" s="1742">
        <v>4180</v>
      </c>
      <c r="C18" s="1739">
        <f t="shared" ref="C18:H18" si="3">C9</f>
        <v>24059009</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81927807</v>
      </c>
      <c r="D19" s="1685">
        <f t="shared" si="4"/>
        <v>4389767</v>
      </c>
      <c r="E19" s="1685">
        <f t="shared" si="4"/>
        <v>4499342</v>
      </c>
      <c r="F19" s="1685">
        <f t="shared" si="4"/>
        <v>3709079</v>
      </c>
      <c r="G19" s="1685">
        <f t="shared" si="4"/>
        <v>1798002</v>
      </c>
      <c r="H19" s="1685">
        <f t="shared" si="4"/>
        <v>1170334</v>
      </c>
      <c r="I19" s="468"/>
      <c r="J19" s="1685">
        <f>SUM(J17:J18)</f>
        <v>386703</v>
      </c>
      <c r="K19" s="1685">
        <f>SUM(K17:K18)</f>
        <v>723567</v>
      </c>
      <c r="L19" s="347"/>
    </row>
    <row r="20" spans="1:12" ht="16.5" thickTop="1" thickBot="1" x14ac:dyDescent="0.25">
      <c r="A20" s="2125" t="s">
        <v>1655</v>
      </c>
      <c r="B20" s="2126"/>
      <c r="C20" s="1743">
        <f>C8-C17</f>
        <v>155742</v>
      </c>
      <c r="D20" s="1743">
        <f t="shared" ref="D20:K20" si="5">D8-D17</f>
        <v>423484</v>
      </c>
      <c r="E20" s="1743">
        <f t="shared" si="5"/>
        <v>-755493</v>
      </c>
      <c r="F20" s="1743">
        <f t="shared" si="5"/>
        <v>1179838</v>
      </c>
      <c r="G20" s="1743">
        <f t="shared" si="5"/>
        <v>269317</v>
      </c>
      <c r="H20" s="1743">
        <f t="shared" si="5"/>
        <v>-873306</v>
      </c>
      <c r="I20" s="1743">
        <f t="shared" si="5"/>
        <v>34287</v>
      </c>
      <c r="J20" s="1743">
        <f t="shared" si="5"/>
        <v>198020</v>
      </c>
      <c r="K20" s="1743">
        <f t="shared" si="5"/>
        <v>-716308</v>
      </c>
      <c r="L20" s="347"/>
    </row>
    <row r="21" spans="1:12" ht="16.7" customHeight="1" thickTop="1" x14ac:dyDescent="0.2">
      <c r="A21" s="2137" t="s">
        <v>595</v>
      </c>
      <c r="B21" s="2138"/>
      <c r="C21" s="1569"/>
      <c r="D21" s="1570"/>
      <c r="E21" s="1570"/>
      <c r="F21" s="1570"/>
      <c r="G21" s="1570"/>
      <c r="H21" s="1570"/>
      <c r="I21" s="1570"/>
      <c r="J21" s="1570"/>
      <c r="K21" s="1571"/>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v>9804457</v>
      </c>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1791</v>
      </c>
      <c r="B30" s="527">
        <v>7160</v>
      </c>
      <c r="C30" s="477"/>
      <c r="D30" s="467"/>
      <c r="E30" s="477"/>
      <c r="F30" s="477"/>
      <c r="G30" s="477"/>
      <c r="H30" s="477"/>
      <c r="I30" s="477"/>
      <c r="J30" s="477"/>
      <c r="K30" s="477"/>
      <c r="L30" s="524"/>
    </row>
    <row r="31" spans="1:12" s="485" customFormat="1" ht="26.25" x14ac:dyDescent="0.2">
      <c r="A31" s="1488"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v>9025000</v>
      </c>
      <c r="J33" s="467"/>
      <c r="K33" s="467"/>
      <c r="L33" s="524"/>
    </row>
    <row r="34" spans="1:12" s="485" customFormat="1" x14ac:dyDescent="0.2">
      <c r="A34" s="1488" t="s">
        <v>1001</v>
      </c>
      <c r="B34" s="525">
        <v>7220</v>
      </c>
      <c r="C34" s="467"/>
      <c r="D34" s="467"/>
      <c r="E34" s="467"/>
      <c r="F34" s="467"/>
      <c r="G34" s="477"/>
      <c r="H34" s="478"/>
      <c r="I34" s="478">
        <v>782076</v>
      </c>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0">
        <f>SUM(C54:D57,H54:H57)</f>
        <v>0</v>
      </c>
      <c r="F37" s="475"/>
      <c r="G37" s="475"/>
      <c r="H37" s="475"/>
      <c r="I37" s="477"/>
      <c r="J37" s="475"/>
      <c r="K37" s="475"/>
      <c r="L37" s="524"/>
    </row>
    <row r="38" spans="1:12" s="485" customFormat="1" x14ac:dyDescent="0.2">
      <c r="A38" s="1488" t="s">
        <v>442</v>
      </c>
      <c r="B38" s="525">
        <v>7500</v>
      </c>
      <c r="C38" s="477"/>
      <c r="D38" s="477"/>
      <c r="E38" s="1740">
        <f>SUM(C58:D61,H58:H61)</f>
        <v>0</v>
      </c>
      <c r="F38" s="477"/>
      <c r="G38" s="477"/>
      <c r="H38" s="477"/>
      <c r="I38" s="477"/>
      <c r="J38" s="477"/>
      <c r="K38" s="477"/>
      <c r="L38" s="524"/>
    </row>
    <row r="39" spans="1:12" s="485" customFormat="1" x14ac:dyDescent="0.2">
      <c r="A39" s="1488" t="s">
        <v>443</v>
      </c>
      <c r="B39" s="525">
        <v>7600</v>
      </c>
      <c r="C39" s="477"/>
      <c r="D39" s="477"/>
      <c r="E39" s="1740">
        <f>SUM(C62:D65)</f>
        <v>0</v>
      </c>
      <c r="F39" s="477"/>
      <c r="G39" s="477"/>
      <c r="H39" s="477"/>
      <c r="I39" s="477"/>
      <c r="J39" s="477"/>
      <c r="K39" s="477"/>
      <c r="L39" s="524"/>
    </row>
    <row r="40" spans="1:12" s="485" customFormat="1" ht="13.5" customHeight="1" x14ac:dyDescent="0.2">
      <c r="A40" s="1488" t="s">
        <v>642</v>
      </c>
      <c r="B40" s="483">
        <v>7700</v>
      </c>
      <c r="C40" s="477"/>
      <c r="D40" s="477"/>
      <c r="E40" s="1740">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0">
        <f>SUM(C70:D73)</f>
        <v>9804457</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0">
        <f>SUM(C24:C43)</f>
        <v>0</v>
      </c>
      <c r="D44" s="1700">
        <f t="shared" ref="D44:K44" si="6">SUM(D24:D43)</f>
        <v>9804457</v>
      </c>
      <c r="E44" s="1700">
        <f t="shared" si="6"/>
        <v>0</v>
      </c>
      <c r="F44" s="1700">
        <f t="shared" si="6"/>
        <v>0</v>
      </c>
      <c r="G44" s="1700">
        <f t="shared" si="6"/>
        <v>0</v>
      </c>
      <c r="H44" s="1700">
        <f t="shared" si="6"/>
        <v>9804457</v>
      </c>
      <c r="I44" s="1700">
        <f t="shared" si="6"/>
        <v>9807076</v>
      </c>
      <c r="J44" s="1700">
        <f t="shared" si="6"/>
        <v>0</v>
      </c>
      <c r="K44" s="1700">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0">
        <f>SUM(C24,C25:H25,J25:K25)</f>
        <v>9804457</v>
      </c>
      <c r="J47" s="477"/>
      <c r="K47" s="477"/>
      <c r="L47" s="529"/>
    </row>
    <row r="48" spans="1:12" s="485" customFormat="1" ht="15" x14ac:dyDescent="0.2">
      <c r="A48" s="1489" t="s">
        <v>1660</v>
      </c>
      <c r="B48" s="483">
        <v>8120</v>
      </c>
      <c r="C48" s="480"/>
      <c r="D48" s="480"/>
      <c r="E48" s="477"/>
      <c r="F48" s="480"/>
      <c r="G48" s="477"/>
      <c r="H48" s="477"/>
      <c r="I48" s="1740">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0">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0">
        <f>D30</f>
        <v>0</v>
      </c>
      <c r="L52" s="524"/>
    </row>
    <row r="53" spans="1:12" s="485" customFormat="1" ht="26.25" x14ac:dyDescent="0.2">
      <c r="A53" s="1489" t="s">
        <v>1793</v>
      </c>
      <c r="B53" s="483">
        <v>8170</v>
      </c>
      <c r="C53" s="480"/>
      <c r="D53" s="480"/>
      <c r="E53" s="477"/>
      <c r="F53" s="477"/>
      <c r="G53" s="477"/>
      <c r="H53" s="480"/>
      <c r="I53" s="477"/>
      <c r="J53" s="477"/>
      <c r="K53" s="1740">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v>9804457</v>
      </c>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0">
        <f t="shared" ref="C76:K76" si="7">SUM(C47:C75)</f>
        <v>0</v>
      </c>
      <c r="D76" s="1700">
        <f t="shared" si="7"/>
        <v>9804457</v>
      </c>
      <c r="E76" s="1700">
        <f t="shared" si="7"/>
        <v>0</v>
      </c>
      <c r="F76" s="1700">
        <f t="shared" si="7"/>
        <v>0</v>
      </c>
      <c r="G76" s="1700">
        <f t="shared" si="7"/>
        <v>0</v>
      </c>
      <c r="H76" s="1700">
        <f t="shared" si="7"/>
        <v>0</v>
      </c>
      <c r="I76" s="1700">
        <f t="shared" si="7"/>
        <v>9804457</v>
      </c>
      <c r="J76" s="1700">
        <f t="shared" si="7"/>
        <v>0</v>
      </c>
      <c r="K76" s="1700">
        <f t="shared" si="7"/>
        <v>0</v>
      </c>
      <c r="L76" s="524"/>
    </row>
    <row r="77" spans="1:12" ht="14.25" thickTop="1" thickBot="1" x14ac:dyDescent="0.25">
      <c r="A77" s="2117" t="s">
        <v>1177</v>
      </c>
      <c r="B77" s="2118"/>
      <c r="C77" s="1700">
        <f t="shared" ref="C77:K77" si="8">C44-C76</f>
        <v>0</v>
      </c>
      <c r="D77" s="1700">
        <f t="shared" si="8"/>
        <v>0</v>
      </c>
      <c r="E77" s="1700">
        <f t="shared" si="8"/>
        <v>0</v>
      </c>
      <c r="F77" s="1700">
        <f t="shared" si="8"/>
        <v>0</v>
      </c>
      <c r="G77" s="1700">
        <f t="shared" si="8"/>
        <v>0</v>
      </c>
      <c r="H77" s="1700">
        <f t="shared" si="8"/>
        <v>9804457</v>
      </c>
      <c r="I77" s="1700">
        <f t="shared" si="8"/>
        <v>2619</v>
      </c>
      <c r="J77" s="1700">
        <f t="shared" si="8"/>
        <v>0</v>
      </c>
      <c r="K77" s="1700">
        <f t="shared" si="8"/>
        <v>0</v>
      </c>
      <c r="L77" s="347"/>
    </row>
    <row r="78" spans="1:12" ht="21.75" customHeight="1" thickTop="1" thickBot="1" x14ac:dyDescent="0.25">
      <c r="A78" s="2121" t="s">
        <v>597</v>
      </c>
      <c r="B78" s="2122"/>
      <c r="C78" s="1699">
        <f t="shared" ref="C78:K78" si="9">C20+C77</f>
        <v>155742</v>
      </c>
      <c r="D78" s="1699">
        <f t="shared" si="9"/>
        <v>423484</v>
      </c>
      <c r="E78" s="1699">
        <f t="shared" si="9"/>
        <v>-755493</v>
      </c>
      <c r="F78" s="1699">
        <f t="shared" si="9"/>
        <v>1179838</v>
      </c>
      <c r="G78" s="1699">
        <f t="shared" si="9"/>
        <v>269317</v>
      </c>
      <c r="H78" s="1699">
        <f t="shared" si="9"/>
        <v>8931151</v>
      </c>
      <c r="I78" s="1699">
        <f t="shared" si="9"/>
        <v>36906</v>
      </c>
      <c r="J78" s="1699">
        <f t="shared" si="9"/>
        <v>198020</v>
      </c>
      <c r="K78" s="1699">
        <f t="shared" si="9"/>
        <v>-716308</v>
      </c>
      <c r="L78" s="533"/>
    </row>
    <row r="79" spans="1:12" ht="13.5" thickTop="1" x14ac:dyDescent="0.2">
      <c r="A79" s="1493" t="s">
        <v>1946</v>
      </c>
      <c r="B79" s="534"/>
      <c r="C79" s="478">
        <v>41539922</v>
      </c>
      <c r="D79" s="535">
        <v>2869297</v>
      </c>
      <c r="E79" s="535">
        <v>1940666</v>
      </c>
      <c r="F79" s="535">
        <v>2273932</v>
      </c>
      <c r="G79" s="535">
        <v>1560432</v>
      </c>
      <c r="H79" s="535">
        <v>400969</v>
      </c>
      <c r="I79" s="535">
        <v>1939606</v>
      </c>
      <c r="J79" s="535">
        <v>535613</v>
      </c>
      <c r="K79" s="535">
        <v>846490</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5">
        <f>(SUM(C78:C80))</f>
        <v>41695664</v>
      </c>
      <c r="D81" s="1685">
        <f>SUM(D78:D80)</f>
        <v>3292781</v>
      </c>
      <c r="E81" s="1685">
        <f t="shared" ref="E81:K81" si="10">SUM(E78:E80)</f>
        <v>1185173</v>
      </c>
      <c r="F81" s="1685">
        <f t="shared" si="10"/>
        <v>3453770</v>
      </c>
      <c r="G81" s="1685">
        <f t="shared" si="10"/>
        <v>1829749</v>
      </c>
      <c r="H81" s="1685">
        <f t="shared" si="10"/>
        <v>9332120</v>
      </c>
      <c r="I81" s="1685">
        <f t="shared" si="10"/>
        <v>1976512</v>
      </c>
      <c r="J81" s="1685">
        <f t="shared" si="10"/>
        <v>733633</v>
      </c>
      <c r="K81" s="1685">
        <f t="shared" si="10"/>
        <v>130182</v>
      </c>
      <c r="L81" s="347"/>
    </row>
    <row r="82" spans="1:12" ht="0.75" customHeight="1" thickTop="1" thickBot="1" x14ac:dyDescent="0.25">
      <c r="A82" s="536" t="s">
        <v>343</v>
      </c>
      <c r="B82" s="537"/>
      <c r="C82" s="538">
        <f>(C81-C79)</f>
        <v>155742</v>
      </c>
      <c r="D82" s="538">
        <f t="shared" ref="D82:K82" si="11">(D81-D79)</f>
        <v>423484</v>
      </c>
      <c r="E82" s="538">
        <f t="shared" si="11"/>
        <v>-755493</v>
      </c>
      <c r="F82" s="538">
        <f t="shared" si="11"/>
        <v>1179838</v>
      </c>
      <c r="G82" s="538">
        <f t="shared" si="11"/>
        <v>269317</v>
      </c>
      <c r="H82" s="538">
        <f t="shared" si="11"/>
        <v>8931151</v>
      </c>
      <c r="I82" s="538">
        <f t="shared" si="11"/>
        <v>36906</v>
      </c>
      <c r="J82" s="538">
        <f t="shared" si="11"/>
        <v>198020</v>
      </c>
      <c r="K82" s="538">
        <f t="shared" si="11"/>
        <v>-716308</v>
      </c>
    </row>
    <row r="83" spans="1:12" ht="14.25" hidden="1" thickTop="1" thickBot="1" x14ac:dyDescent="0.25">
      <c r="A83" s="539" t="s">
        <v>344</v>
      </c>
      <c r="B83" s="464"/>
      <c r="C83" s="540">
        <f>C82/C81</f>
        <v>3.7352085339137421E-3</v>
      </c>
      <c r="D83" s="540">
        <f t="shared" ref="D83:K83" si="12">D82/D81</f>
        <v>0.12860982859169803</v>
      </c>
      <c r="E83" s="540">
        <f t="shared" si="12"/>
        <v>-0.6374537725715993</v>
      </c>
      <c r="F83" s="540">
        <f t="shared" si="12"/>
        <v>0.34160873480283865</v>
      </c>
      <c r="G83" s="540">
        <f t="shared" si="12"/>
        <v>0.14718794763653376</v>
      </c>
      <c r="H83" s="540">
        <f t="shared" si="12"/>
        <v>0.95703345006279383</v>
      </c>
      <c r="I83" s="540">
        <f t="shared" si="12"/>
        <v>1.8672287342550917E-2</v>
      </c>
      <c r="J83" s="540">
        <f t="shared" si="12"/>
        <v>0.26991697483619193</v>
      </c>
      <c r="K83" s="540">
        <f t="shared" si="12"/>
        <v>-5.5023582369298367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24" sqref="C2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39978986</v>
      </c>
      <c r="D5" s="481">
        <v>4364832</v>
      </c>
      <c r="E5" s="466">
        <v>3694887</v>
      </c>
      <c r="F5" s="548">
        <v>2864224</v>
      </c>
      <c r="G5" s="466">
        <v>1107010</v>
      </c>
      <c r="H5" s="466"/>
      <c r="I5" s="466"/>
      <c r="J5" s="467">
        <v>542545</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857415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39978986</v>
      </c>
      <c r="D12" s="1704">
        <f t="shared" si="0"/>
        <v>4364832</v>
      </c>
      <c r="E12" s="1704">
        <f t="shared" si="0"/>
        <v>3694887</v>
      </c>
      <c r="F12" s="1704">
        <f t="shared" si="0"/>
        <v>2864224</v>
      </c>
      <c r="G12" s="1704">
        <f t="shared" si="0"/>
        <v>1964425</v>
      </c>
      <c r="H12" s="1704">
        <f t="shared" si="0"/>
        <v>0</v>
      </c>
      <c r="I12" s="1704">
        <f t="shared" si="0"/>
        <v>0</v>
      </c>
      <c r="J12" s="1704">
        <f t="shared" si="0"/>
        <v>542545</v>
      </c>
      <c r="K12" s="1685">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568157</v>
      </c>
      <c r="D16" s="466"/>
      <c r="E16" s="466"/>
      <c r="F16" s="466"/>
      <c r="G16" s="466">
        <v>70000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568157</v>
      </c>
      <c r="D18" s="1707">
        <f t="shared" ref="D18:K18" si="1">SUM(D14:D17)</f>
        <v>0</v>
      </c>
      <c r="E18" s="1707">
        <f t="shared" si="1"/>
        <v>0</v>
      </c>
      <c r="F18" s="1707">
        <f t="shared" si="1"/>
        <v>0</v>
      </c>
      <c r="G18" s="1707">
        <f t="shared" si="1"/>
        <v>70000</v>
      </c>
      <c r="H18" s="1707">
        <f t="shared" si="1"/>
        <v>0</v>
      </c>
      <c r="I18" s="1707">
        <f t="shared" si="1"/>
        <v>0</v>
      </c>
      <c r="J18" s="1707">
        <f t="shared" si="1"/>
        <v>0</v>
      </c>
      <c r="K18" s="1708">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9950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5" t="s">
        <v>538</v>
      </c>
      <c r="B40" s="1706"/>
      <c r="C40" s="1685">
        <f>SUM(C20:C39)</f>
        <v>9950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33545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400</v>
      </c>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33945</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49027+23048+669808</f>
        <v>741883</v>
      </c>
      <c r="D65" s="466">
        <v>75663</v>
      </c>
      <c r="E65" s="466">
        <v>48962</v>
      </c>
      <c r="F65" s="467">
        <v>58526</v>
      </c>
      <c r="G65" s="466">
        <v>32894</v>
      </c>
      <c r="H65" s="466">
        <v>78768</v>
      </c>
      <c r="I65" s="466">
        <v>34287</v>
      </c>
      <c r="J65" s="467">
        <v>12393</v>
      </c>
      <c r="K65" s="466">
        <v>7259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741883</v>
      </c>
      <c r="D67" s="1685">
        <f t="shared" ref="D67:K67" si="2">SUM(D65:D66)</f>
        <v>75663</v>
      </c>
      <c r="E67" s="1685">
        <f t="shared" si="2"/>
        <v>48962</v>
      </c>
      <c r="F67" s="1685">
        <f t="shared" si="2"/>
        <v>58526</v>
      </c>
      <c r="G67" s="1685">
        <f t="shared" si="2"/>
        <v>32894</v>
      </c>
      <c r="H67" s="1685">
        <f t="shared" si="2"/>
        <v>78768</v>
      </c>
      <c r="I67" s="1685">
        <f t="shared" si="2"/>
        <v>34287</v>
      </c>
      <c r="J67" s="1685">
        <f t="shared" si="2"/>
        <v>12393</v>
      </c>
      <c r="K67" s="1685">
        <f t="shared" si="2"/>
        <v>7259</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840525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10459</v>
      </c>
      <c r="D73" s="468"/>
      <c r="E73" s="468"/>
      <c r="F73" s="468"/>
      <c r="G73" s="468"/>
      <c r="H73" s="468"/>
      <c r="I73" s="468"/>
      <c r="J73" s="468"/>
      <c r="K73" s="468"/>
    </row>
    <row r="74" spans="1:11" ht="12.75" customHeight="1" x14ac:dyDescent="0.2">
      <c r="A74" s="463" t="s">
        <v>25</v>
      </c>
      <c r="B74" s="470">
        <v>1690</v>
      </c>
      <c r="C74" s="551">
        <f>18214-1112</f>
        <v>17102</v>
      </c>
      <c r="D74" s="468"/>
      <c r="E74" s="468"/>
      <c r="F74" s="468"/>
      <c r="G74" s="468"/>
      <c r="H74" s="468"/>
      <c r="I74" s="468"/>
      <c r="J74" s="468"/>
      <c r="K74" s="468"/>
    </row>
    <row r="75" spans="1:11" ht="12.75" customHeight="1" thickBot="1" x14ac:dyDescent="0.25">
      <c r="A75" s="1705" t="s">
        <v>548</v>
      </c>
      <c r="B75" s="1706"/>
      <c r="C75" s="1685">
        <f>SUM(C69:C74)</f>
        <v>868086</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185942</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185942</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808730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808730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71331</v>
      </c>
      <c r="E95" s="521"/>
      <c r="F95" s="521"/>
      <c r="G95" s="521"/>
      <c r="H95" s="521"/>
      <c r="I95" s="521"/>
      <c r="J95" s="521"/>
      <c r="K95" s="521"/>
    </row>
    <row r="96" spans="1:11" ht="12.75" customHeight="1" x14ac:dyDescent="0.2">
      <c r="A96" s="463" t="s">
        <v>391</v>
      </c>
      <c r="B96" s="470">
        <v>1920</v>
      </c>
      <c r="C96" s="551"/>
      <c r="D96" s="551">
        <v>298609</v>
      </c>
      <c r="E96" s="479"/>
      <c r="F96" s="478"/>
      <c r="G96" s="478"/>
      <c r="H96" s="478">
        <v>218260</v>
      </c>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v>29785</v>
      </c>
      <c r="K99" s="466"/>
    </row>
    <row r="100" spans="1:12" ht="12.75" customHeight="1" x14ac:dyDescent="0.2">
      <c r="A100" s="463" t="s">
        <v>245</v>
      </c>
      <c r="B100" s="470">
        <v>1960</v>
      </c>
      <c r="C100" s="489">
        <v>7043158</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60566</v>
      </c>
      <c r="D106" s="489">
        <v>2816</v>
      </c>
      <c r="E106" s="467"/>
      <c r="F106" s="467"/>
      <c r="G106" s="467"/>
      <c r="H106" s="467"/>
      <c r="I106" s="521"/>
      <c r="J106" s="467"/>
      <c r="K106" s="467"/>
    </row>
    <row r="107" spans="1:12" ht="12.75" customHeight="1" x14ac:dyDescent="0.2">
      <c r="A107" s="463" t="s">
        <v>78</v>
      </c>
      <c r="B107" s="470">
        <v>1999</v>
      </c>
      <c r="C107" s="551">
        <v>200937</v>
      </c>
      <c r="D107" s="466"/>
      <c r="E107" s="466"/>
      <c r="F107" s="466"/>
      <c r="G107" s="466"/>
      <c r="H107" s="466"/>
      <c r="I107" s="466"/>
      <c r="J107" s="467"/>
      <c r="K107" s="466"/>
    </row>
    <row r="108" spans="1:12" ht="12.75" customHeight="1" thickBot="1" x14ac:dyDescent="0.25">
      <c r="A108" s="1705" t="s">
        <v>487</v>
      </c>
      <c r="B108" s="1709"/>
      <c r="C108" s="1704">
        <f>SUM(C95:C107)</f>
        <v>7304661</v>
      </c>
      <c r="D108" s="1704">
        <f t="shared" ref="D108:K108" si="3">SUM(D95:D107)</f>
        <v>372756</v>
      </c>
      <c r="E108" s="1704">
        <f t="shared" si="3"/>
        <v>0</v>
      </c>
      <c r="F108" s="1704">
        <f t="shared" si="3"/>
        <v>0</v>
      </c>
      <c r="G108" s="1704">
        <f t="shared" si="3"/>
        <v>0</v>
      </c>
      <c r="H108" s="1704">
        <f t="shared" si="3"/>
        <v>218260</v>
      </c>
      <c r="I108" s="1704">
        <f t="shared" si="3"/>
        <v>0</v>
      </c>
      <c r="J108" s="1704">
        <f t="shared" si="3"/>
        <v>29785</v>
      </c>
      <c r="K108" s="1685">
        <f t="shared" si="3"/>
        <v>0</v>
      </c>
    </row>
    <row r="109" spans="1:12" ht="14.25" thickTop="1" thickBot="1" x14ac:dyDescent="0.25">
      <c r="A109" s="1710" t="s">
        <v>248</v>
      </c>
      <c r="B109" s="1711" t="s">
        <v>570</v>
      </c>
      <c r="C109" s="1712">
        <f t="shared" ref="C109:K109" si="4">SUM(C12,C18,C40,C63,C67,C75,C82,C93,C108,)</f>
        <v>50466395</v>
      </c>
      <c r="D109" s="1712">
        <f t="shared" si="4"/>
        <v>4813251</v>
      </c>
      <c r="E109" s="1712">
        <f t="shared" si="4"/>
        <v>3743849</v>
      </c>
      <c r="F109" s="1712">
        <f t="shared" si="4"/>
        <v>2956695</v>
      </c>
      <c r="G109" s="1712">
        <f t="shared" si="4"/>
        <v>2067319</v>
      </c>
      <c r="H109" s="1712">
        <f t="shared" si="4"/>
        <v>297028</v>
      </c>
      <c r="I109" s="1712">
        <f t="shared" si="4"/>
        <v>34287</v>
      </c>
      <c r="J109" s="1712">
        <f t="shared" si="4"/>
        <v>584723</v>
      </c>
      <c r="K109" s="1699">
        <f t="shared" si="4"/>
        <v>7259</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4256282</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1933</v>
      </c>
      <c r="B120" s="562">
        <v>3030</v>
      </c>
      <c r="C120" s="551"/>
      <c r="D120" s="466"/>
      <c r="E120" s="466"/>
      <c r="F120" s="466"/>
      <c r="G120" s="466"/>
      <c r="H120" s="466"/>
      <c r="I120" s="468"/>
      <c r="J120" s="467"/>
      <c r="K120" s="466"/>
    </row>
    <row r="121" spans="1:11" x14ac:dyDescent="0.2">
      <c r="A121" s="1495" t="s">
        <v>1798</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4256282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298000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304143</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7" t="s">
        <v>1056</v>
      </c>
      <c r="B146" s="568">
        <v>3360</v>
      </c>
      <c r="C146" s="569">
        <v>8416</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1167234</v>
      </c>
      <c r="G152" s="467"/>
      <c r="H152" s="468"/>
      <c r="I152" s="468"/>
      <c r="J152" s="468"/>
      <c r="K152" s="468"/>
    </row>
    <row r="153" spans="1:11" ht="12.75" customHeight="1" x14ac:dyDescent="0.2">
      <c r="A153" s="463" t="s">
        <v>1057</v>
      </c>
      <c r="B153" s="562">
        <v>3510</v>
      </c>
      <c r="C153" s="551"/>
      <c r="D153" s="466"/>
      <c r="E153" s="561"/>
      <c r="F153" s="466">
        <v>764988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1932222</v>
      </c>
      <c r="G155" s="1704">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19">
        <f t="shared" ref="C169:K169" si="6">SUM(C132,C141,C145,C146:C150,C155,C156:C167,C168)</f>
        <v>312559</v>
      </c>
      <c r="D169" s="1719">
        <f t="shared" si="6"/>
        <v>0</v>
      </c>
      <c r="E169" s="1719">
        <f t="shared" si="6"/>
        <v>0</v>
      </c>
      <c r="F169" s="1719">
        <f t="shared" si="6"/>
        <v>1932222</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4568841</v>
      </c>
      <c r="D170" s="1712">
        <f t="shared" si="7"/>
        <v>0</v>
      </c>
      <c r="E170" s="1712">
        <f t="shared" si="7"/>
        <v>0</v>
      </c>
      <c r="F170" s="1712">
        <f t="shared" si="7"/>
        <v>1932222</v>
      </c>
      <c r="G170" s="1712">
        <f t="shared" si="7"/>
        <v>0</v>
      </c>
      <c r="H170" s="1712">
        <f t="shared" si="7"/>
        <v>0</v>
      </c>
      <c r="I170" s="1712">
        <f t="shared" si="7"/>
        <v>0</v>
      </c>
      <c r="J170" s="1712">
        <f t="shared" si="7"/>
        <v>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475266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74427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549693</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492251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15421</v>
      </c>
      <c r="D203" s="466"/>
      <c r="E203" s="468"/>
      <c r="F203" s="466"/>
      <c r="G203" s="466"/>
      <c r="H203" s="468"/>
      <c r="I203" s="468"/>
      <c r="J203" s="468"/>
      <c r="K203" s="468"/>
    </row>
    <row r="204" spans="1:11" ht="12.75" customHeight="1" thickBot="1" x14ac:dyDescent="0.25">
      <c r="A204" s="1705" t="s">
        <v>400</v>
      </c>
      <c r="B204" s="1706"/>
      <c r="C204" s="1704">
        <f>SUM(C200:C203)</f>
        <v>507672</v>
      </c>
      <c r="D204" s="1704">
        <f>SUM(D200:D203)</f>
        <v>0</v>
      </c>
      <c r="E204" s="468"/>
      <c r="F204" s="1704">
        <f>SUM(F200:F203)</f>
        <v>0</v>
      </c>
      <c r="G204" s="1704">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31113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31113</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93477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755383</v>
      </c>
      <c r="D213" s="466"/>
      <c r="E213" s="468"/>
      <c r="F213" s="466"/>
      <c r="G213" s="466"/>
      <c r="H213" s="468"/>
      <c r="I213" s="468"/>
      <c r="J213" s="468"/>
      <c r="K213" s="468"/>
    </row>
    <row r="214" spans="1:11" ht="12.75" customHeight="1" x14ac:dyDescent="0.2">
      <c r="A214" s="463" t="s">
        <v>1054</v>
      </c>
      <c r="B214" s="470">
        <v>4625</v>
      </c>
      <c r="C214" s="551">
        <v>637145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1486005</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59228</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118121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1934</v>
      </c>
      <c r="B261" s="470">
        <v>4981</v>
      </c>
      <c r="C261" s="575"/>
      <c r="D261" s="576"/>
      <c r="E261" s="468"/>
      <c r="F261" s="576"/>
      <c r="G261" s="576"/>
      <c r="H261" s="468"/>
      <c r="I261" s="468"/>
      <c r="J261" s="468"/>
      <c r="K261" s="468"/>
    </row>
    <row r="262" spans="1:11" ht="12.75" customHeight="1" thickTop="1" thickBot="1" x14ac:dyDescent="0.25">
      <c r="A262" s="1928"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34800</v>
      </c>
      <c r="D263" s="576"/>
      <c r="E263" s="468"/>
      <c r="F263" s="576"/>
      <c r="G263" s="576"/>
      <c r="H263" s="468"/>
      <c r="I263" s="468"/>
      <c r="J263" s="468"/>
      <c r="K263" s="468"/>
    </row>
    <row r="264" spans="1:11" ht="12.75" customHeight="1" thickTop="1" thickBot="1" x14ac:dyDescent="0.25">
      <c r="A264" s="463" t="s">
        <v>377</v>
      </c>
      <c r="B264" s="470">
        <v>4992</v>
      </c>
      <c r="C264" s="575">
        <v>202672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2989304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2989304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58024540</v>
      </c>
      <c r="D268" s="1712">
        <f t="shared" si="12"/>
        <v>4813251</v>
      </c>
      <c r="E268" s="1712">
        <f t="shared" si="12"/>
        <v>3743849</v>
      </c>
      <c r="F268" s="1712">
        <f t="shared" si="12"/>
        <v>4888917</v>
      </c>
      <c r="G268" s="1712">
        <f t="shared" si="12"/>
        <v>2067319</v>
      </c>
      <c r="H268" s="1712">
        <f t="shared" si="12"/>
        <v>297028</v>
      </c>
      <c r="I268" s="1712">
        <f t="shared" si="12"/>
        <v>34287</v>
      </c>
      <c r="J268" s="1712">
        <f t="shared" si="12"/>
        <v>584723</v>
      </c>
      <c r="K268" s="1699">
        <f t="shared" si="12"/>
        <v>7259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3" activePane="bottomLeft" state="frozen"/>
      <selection pane="bottomLeft" activeCell="D6" sqref="D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f>19863805+1254</f>
        <v>19865059</v>
      </c>
      <c r="D5" s="466">
        <f>505073+3046113+17-1041</f>
        <v>3550162</v>
      </c>
      <c r="E5" s="466">
        <v>222615</v>
      </c>
      <c r="F5" s="466">
        <v>916193</v>
      </c>
      <c r="G5" s="466">
        <v>60583</v>
      </c>
      <c r="H5" s="466">
        <v>5618</v>
      </c>
      <c r="I5" s="467"/>
      <c r="J5" s="467">
        <v>7436</v>
      </c>
      <c r="K5" s="1668">
        <f>SUM(C5:J5)</f>
        <v>24627666</v>
      </c>
      <c r="L5" s="466">
        <v>24224411</v>
      </c>
    </row>
    <row r="6" spans="1:14" x14ac:dyDescent="0.2">
      <c r="A6" s="1503" t="s">
        <v>1433</v>
      </c>
      <c r="B6" s="614" t="s">
        <v>1431</v>
      </c>
      <c r="C6" s="477"/>
      <c r="D6" s="477"/>
      <c r="E6" s="466"/>
      <c r="F6" s="477"/>
      <c r="G6" s="477"/>
      <c r="H6" s="477"/>
      <c r="I6" s="477"/>
      <c r="J6" s="477"/>
      <c r="K6" s="1668">
        <f>SUM(C6,E6)</f>
        <v>0</v>
      </c>
      <c r="L6" s="466"/>
    </row>
    <row r="7" spans="1:14" x14ac:dyDescent="0.2">
      <c r="A7" s="1503" t="s">
        <v>163</v>
      </c>
      <c r="B7" s="614" t="s">
        <v>967</v>
      </c>
      <c r="C7" s="467"/>
      <c r="D7" s="467"/>
      <c r="E7" s="467"/>
      <c r="F7" s="467"/>
      <c r="G7" s="467"/>
      <c r="H7" s="467"/>
      <c r="I7" s="467"/>
      <c r="J7" s="467"/>
      <c r="K7" s="1668">
        <f t="shared" ref="K7:K32" si="0">SUM(C7:J7)</f>
        <v>0</v>
      </c>
      <c r="L7" s="466"/>
    </row>
    <row r="8" spans="1:14" x14ac:dyDescent="0.2">
      <c r="A8" s="1503" t="s">
        <v>164</v>
      </c>
      <c r="B8" s="614">
        <v>1200</v>
      </c>
      <c r="C8" s="466">
        <v>5259860</v>
      </c>
      <c r="D8" s="466">
        <v>1235656</v>
      </c>
      <c r="E8" s="466">
        <v>1044702</v>
      </c>
      <c r="F8" s="466">
        <v>149309</v>
      </c>
      <c r="G8" s="466">
        <v>59425</v>
      </c>
      <c r="H8" s="466">
        <v>2646</v>
      </c>
      <c r="I8" s="467"/>
      <c r="J8" s="467"/>
      <c r="K8" s="1668">
        <f t="shared" si="0"/>
        <v>7751598</v>
      </c>
      <c r="L8" s="466">
        <v>8082184</v>
      </c>
    </row>
    <row r="9" spans="1:14" x14ac:dyDescent="0.2">
      <c r="A9" s="1503" t="s">
        <v>721</v>
      </c>
      <c r="B9" s="614" t="s">
        <v>968</v>
      </c>
      <c r="C9" s="467"/>
      <c r="D9" s="467"/>
      <c r="E9" s="467"/>
      <c r="F9" s="467">
        <v>7645</v>
      </c>
      <c r="G9" s="467"/>
      <c r="H9" s="467"/>
      <c r="I9" s="467"/>
      <c r="J9" s="467"/>
      <c r="K9" s="1668">
        <f t="shared" si="0"/>
        <v>7645</v>
      </c>
      <c r="L9" s="466">
        <v>7500</v>
      </c>
    </row>
    <row r="10" spans="1:14" x14ac:dyDescent="0.2">
      <c r="A10" s="1503" t="s">
        <v>722</v>
      </c>
      <c r="B10" s="614">
        <v>1250</v>
      </c>
      <c r="C10" s="466"/>
      <c r="D10" s="466"/>
      <c r="E10" s="466"/>
      <c r="F10" s="466"/>
      <c r="G10" s="466"/>
      <c r="H10" s="466"/>
      <c r="I10" s="467"/>
      <c r="J10" s="467"/>
      <c r="K10" s="1668">
        <f t="shared" si="0"/>
        <v>0</v>
      </c>
      <c r="L10" s="466"/>
    </row>
    <row r="11" spans="1:14" x14ac:dyDescent="0.2">
      <c r="A11" s="1503" t="s">
        <v>1130</v>
      </c>
      <c r="B11" s="614" t="s">
        <v>161</v>
      </c>
      <c r="C11" s="467"/>
      <c r="D11" s="467"/>
      <c r="E11" s="467"/>
      <c r="F11" s="467"/>
      <c r="G11" s="467"/>
      <c r="H11" s="467"/>
      <c r="I11" s="467"/>
      <c r="J11" s="467"/>
      <c r="K11" s="1668">
        <f t="shared" si="0"/>
        <v>0</v>
      </c>
      <c r="L11" s="466"/>
    </row>
    <row r="12" spans="1:14" x14ac:dyDescent="0.2">
      <c r="A12" s="1503" t="s">
        <v>962</v>
      </c>
      <c r="B12" s="614">
        <v>1300</v>
      </c>
      <c r="C12" s="466"/>
      <c r="D12" s="466"/>
      <c r="E12" s="466"/>
      <c r="F12" s="466"/>
      <c r="G12" s="466"/>
      <c r="H12" s="466"/>
      <c r="I12" s="467"/>
      <c r="J12" s="467"/>
      <c r="K12" s="1668">
        <f t="shared" si="0"/>
        <v>0</v>
      </c>
      <c r="L12" s="466"/>
    </row>
    <row r="13" spans="1:14" x14ac:dyDescent="0.2">
      <c r="A13" s="1503" t="s">
        <v>723</v>
      </c>
      <c r="B13" s="614">
        <v>1400</v>
      </c>
      <c r="C13" s="466"/>
      <c r="D13" s="466"/>
      <c r="E13" s="466"/>
      <c r="F13" s="466"/>
      <c r="G13" s="466"/>
      <c r="H13" s="466"/>
      <c r="I13" s="467"/>
      <c r="J13" s="467"/>
      <c r="K13" s="1668">
        <f t="shared" si="0"/>
        <v>0</v>
      </c>
      <c r="L13" s="466"/>
    </row>
    <row r="14" spans="1:14" x14ac:dyDescent="0.2">
      <c r="A14" s="1503" t="s">
        <v>963</v>
      </c>
      <c r="B14" s="614">
        <v>1500</v>
      </c>
      <c r="C14" s="466">
        <v>50</v>
      </c>
      <c r="D14" s="466">
        <v>1</v>
      </c>
      <c r="E14" s="466">
        <v>8951</v>
      </c>
      <c r="F14" s="466">
        <v>463</v>
      </c>
      <c r="G14" s="466"/>
      <c r="H14" s="466">
        <v>1660</v>
      </c>
      <c r="I14" s="467"/>
      <c r="J14" s="467"/>
      <c r="K14" s="1668">
        <f t="shared" si="0"/>
        <v>11125</v>
      </c>
      <c r="L14" s="466">
        <v>11900</v>
      </c>
    </row>
    <row r="15" spans="1:14" x14ac:dyDescent="0.2">
      <c r="A15" s="1503" t="s">
        <v>964</v>
      </c>
      <c r="B15" s="614">
        <v>1600</v>
      </c>
      <c r="C15" s="466">
        <v>206545</v>
      </c>
      <c r="D15" s="466">
        <v>2194</v>
      </c>
      <c r="E15" s="466"/>
      <c r="F15" s="466">
        <v>2961</v>
      </c>
      <c r="G15" s="466"/>
      <c r="H15" s="466"/>
      <c r="I15" s="467"/>
      <c r="J15" s="467"/>
      <c r="K15" s="1668">
        <f t="shared" si="0"/>
        <v>211700</v>
      </c>
      <c r="L15" s="466">
        <v>223638</v>
      </c>
    </row>
    <row r="16" spans="1:14" x14ac:dyDescent="0.2">
      <c r="A16" s="1503" t="s">
        <v>987</v>
      </c>
      <c r="B16" s="614" t="s">
        <v>424</v>
      </c>
      <c r="C16" s="466">
        <v>773151</v>
      </c>
      <c r="D16" s="466">
        <v>105793</v>
      </c>
      <c r="E16" s="466">
        <v>19926</v>
      </c>
      <c r="F16" s="466">
        <v>4664</v>
      </c>
      <c r="G16" s="466"/>
      <c r="H16" s="466"/>
      <c r="I16" s="467"/>
      <c r="J16" s="467"/>
      <c r="K16" s="1668">
        <f t="shared" si="0"/>
        <v>903534</v>
      </c>
      <c r="L16" s="466">
        <v>1206218</v>
      </c>
    </row>
    <row r="17" spans="1:12" x14ac:dyDescent="0.2">
      <c r="A17" s="1503" t="s">
        <v>724</v>
      </c>
      <c r="B17" s="614" t="s">
        <v>162</v>
      </c>
      <c r="C17" s="467"/>
      <c r="D17" s="467"/>
      <c r="E17" s="467"/>
      <c r="F17" s="467"/>
      <c r="G17" s="467"/>
      <c r="H17" s="467"/>
      <c r="I17" s="467"/>
      <c r="J17" s="467"/>
      <c r="K17" s="1668">
        <f t="shared" si="0"/>
        <v>0</v>
      </c>
      <c r="L17" s="466"/>
    </row>
    <row r="18" spans="1:12" x14ac:dyDescent="0.2">
      <c r="A18" s="1503" t="s">
        <v>1087</v>
      </c>
      <c r="B18" s="614">
        <v>1800</v>
      </c>
      <c r="C18" s="466">
        <v>2777932</v>
      </c>
      <c r="D18" s="466">
        <v>456010</v>
      </c>
      <c r="E18" s="466">
        <v>18918</v>
      </c>
      <c r="F18" s="466">
        <v>18332</v>
      </c>
      <c r="G18" s="466"/>
      <c r="H18" s="466"/>
      <c r="I18" s="467"/>
      <c r="J18" s="467"/>
      <c r="K18" s="1668">
        <f t="shared" si="0"/>
        <v>3271192</v>
      </c>
      <c r="L18" s="466">
        <v>3345814</v>
      </c>
    </row>
    <row r="19" spans="1:12" x14ac:dyDescent="0.2">
      <c r="A19" s="1503" t="s">
        <v>134</v>
      </c>
      <c r="B19" s="614">
        <v>1900</v>
      </c>
      <c r="C19" s="466"/>
      <c r="D19" s="466"/>
      <c r="E19" s="466"/>
      <c r="F19" s="466"/>
      <c r="G19" s="466"/>
      <c r="H19" s="466"/>
      <c r="I19" s="467"/>
      <c r="J19" s="467"/>
      <c r="K19" s="1668">
        <f t="shared" si="0"/>
        <v>0</v>
      </c>
      <c r="L19" s="466"/>
    </row>
    <row r="20" spans="1:12" x14ac:dyDescent="0.2">
      <c r="A20" s="1504" t="s">
        <v>738</v>
      </c>
      <c r="B20" s="602" t="s">
        <v>725</v>
      </c>
      <c r="C20" s="477"/>
      <c r="D20" s="477"/>
      <c r="E20" s="477"/>
      <c r="F20" s="477"/>
      <c r="G20" s="477"/>
      <c r="H20" s="474"/>
      <c r="I20" s="616"/>
      <c r="J20" s="475"/>
      <c r="K20" s="1668">
        <f t="shared" si="0"/>
        <v>0</v>
      </c>
      <c r="L20" s="471"/>
    </row>
    <row r="21" spans="1:12" x14ac:dyDescent="0.2">
      <c r="A21" s="1504" t="s">
        <v>739</v>
      </c>
      <c r="B21" s="602" t="s">
        <v>726</v>
      </c>
      <c r="C21" s="477"/>
      <c r="D21" s="477"/>
      <c r="E21" s="477"/>
      <c r="F21" s="477"/>
      <c r="G21" s="477"/>
      <c r="H21" s="474"/>
      <c r="I21" s="616"/>
      <c r="J21" s="477"/>
      <c r="K21" s="1668">
        <f t="shared" si="0"/>
        <v>0</v>
      </c>
      <c r="L21" s="471"/>
    </row>
    <row r="22" spans="1:12" x14ac:dyDescent="0.2">
      <c r="A22" s="1504" t="s">
        <v>740</v>
      </c>
      <c r="B22" s="602" t="s">
        <v>727</v>
      </c>
      <c r="C22" s="477"/>
      <c r="D22" s="477"/>
      <c r="E22" s="477"/>
      <c r="F22" s="477"/>
      <c r="G22" s="477"/>
      <c r="H22" s="474">
        <v>2726340</v>
      </c>
      <c r="I22" s="616"/>
      <c r="J22" s="477"/>
      <c r="K22" s="1668">
        <f t="shared" si="0"/>
        <v>2726340</v>
      </c>
      <c r="L22" s="471">
        <v>2900335</v>
      </c>
    </row>
    <row r="23" spans="1:12" x14ac:dyDescent="0.2">
      <c r="A23" s="1504" t="s">
        <v>741</v>
      </c>
      <c r="B23" s="602" t="s">
        <v>728</v>
      </c>
      <c r="C23" s="477"/>
      <c r="D23" s="477"/>
      <c r="E23" s="477"/>
      <c r="F23" s="477"/>
      <c r="G23" s="477"/>
      <c r="H23" s="474"/>
      <c r="I23" s="616"/>
      <c r="J23" s="477"/>
      <c r="K23" s="1668">
        <f t="shared" si="0"/>
        <v>0</v>
      </c>
      <c r="L23" s="471"/>
    </row>
    <row r="24" spans="1:12" ht="12.75" customHeight="1" x14ac:dyDescent="0.2">
      <c r="A24" s="1504" t="s">
        <v>742</v>
      </c>
      <c r="B24" s="602" t="s">
        <v>729</v>
      </c>
      <c r="C24" s="477"/>
      <c r="D24" s="477"/>
      <c r="E24" s="477"/>
      <c r="F24" s="477"/>
      <c r="G24" s="477"/>
      <c r="H24" s="474"/>
      <c r="I24" s="616"/>
      <c r="J24" s="477"/>
      <c r="K24" s="1668">
        <f t="shared" si="0"/>
        <v>0</v>
      </c>
      <c r="L24" s="471"/>
    </row>
    <row r="25" spans="1:12" ht="12.75" customHeight="1" x14ac:dyDescent="0.2">
      <c r="A25" s="1504" t="s">
        <v>802</v>
      </c>
      <c r="B25" s="602" t="s">
        <v>730</v>
      </c>
      <c r="C25" s="477"/>
      <c r="D25" s="477"/>
      <c r="E25" s="477"/>
      <c r="F25" s="477"/>
      <c r="G25" s="477"/>
      <c r="H25" s="474"/>
      <c r="I25" s="616"/>
      <c r="J25" s="477"/>
      <c r="K25" s="1668">
        <f t="shared" si="0"/>
        <v>0</v>
      </c>
      <c r="L25" s="471"/>
    </row>
    <row r="26" spans="1:12" x14ac:dyDescent="0.2">
      <c r="A26" s="1504" t="s">
        <v>622</v>
      </c>
      <c r="B26" s="602" t="s">
        <v>731</v>
      </c>
      <c r="C26" s="477"/>
      <c r="D26" s="477"/>
      <c r="E26" s="477"/>
      <c r="F26" s="477"/>
      <c r="G26" s="477"/>
      <c r="H26" s="474"/>
      <c r="I26" s="616"/>
      <c r="J26" s="477"/>
      <c r="K26" s="1668">
        <f t="shared" si="0"/>
        <v>0</v>
      </c>
      <c r="L26" s="471"/>
    </row>
    <row r="27" spans="1:12" x14ac:dyDescent="0.2">
      <c r="A27" s="1504" t="s">
        <v>623</v>
      </c>
      <c r="B27" s="602" t="s">
        <v>732</v>
      </c>
      <c r="C27" s="477"/>
      <c r="D27" s="477"/>
      <c r="E27" s="477"/>
      <c r="F27" s="477"/>
      <c r="G27" s="477"/>
      <c r="H27" s="474"/>
      <c r="I27" s="616"/>
      <c r="J27" s="477"/>
      <c r="K27" s="1668">
        <f t="shared" si="0"/>
        <v>0</v>
      </c>
      <c r="L27" s="471"/>
    </row>
    <row r="28" spans="1:12" x14ac:dyDescent="0.2">
      <c r="A28" s="1504" t="s">
        <v>150</v>
      </c>
      <c r="B28" s="602" t="s">
        <v>733</v>
      </c>
      <c r="C28" s="477"/>
      <c r="D28" s="477"/>
      <c r="E28" s="477"/>
      <c r="F28" s="477"/>
      <c r="G28" s="477"/>
      <c r="H28" s="474"/>
      <c r="I28" s="616"/>
      <c r="J28" s="477"/>
      <c r="K28" s="1668">
        <f t="shared" si="0"/>
        <v>0</v>
      </c>
      <c r="L28" s="471"/>
    </row>
    <row r="29" spans="1:12" x14ac:dyDescent="0.2">
      <c r="A29" s="1504" t="s">
        <v>151</v>
      </c>
      <c r="B29" s="602" t="s">
        <v>734</v>
      </c>
      <c r="C29" s="477"/>
      <c r="D29" s="477"/>
      <c r="E29" s="477"/>
      <c r="F29" s="477"/>
      <c r="G29" s="477"/>
      <c r="H29" s="474"/>
      <c r="I29" s="616"/>
      <c r="J29" s="477"/>
      <c r="K29" s="1668">
        <f t="shared" si="0"/>
        <v>0</v>
      </c>
      <c r="L29" s="471"/>
    </row>
    <row r="30" spans="1:12" x14ac:dyDescent="0.2">
      <c r="A30" s="1504" t="s">
        <v>152</v>
      </c>
      <c r="B30" s="602" t="s">
        <v>735</v>
      </c>
      <c r="C30" s="477"/>
      <c r="D30" s="477"/>
      <c r="E30" s="477"/>
      <c r="F30" s="477"/>
      <c r="G30" s="477"/>
      <c r="H30" s="474"/>
      <c r="I30" s="616"/>
      <c r="J30" s="477"/>
      <c r="K30" s="1668">
        <f t="shared" si="0"/>
        <v>0</v>
      </c>
      <c r="L30" s="471"/>
    </row>
    <row r="31" spans="1:12" x14ac:dyDescent="0.2">
      <c r="A31" s="1504" t="s">
        <v>153</v>
      </c>
      <c r="B31" s="602" t="s">
        <v>736</v>
      </c>
      <c r="C31" s="477"/>
      <c r="D31" s="477"/>
      <c r="E31" s="477"/>
      <c r="F31" s="477"/>
      <c r="G31" s="477"/>
      <c r="H31" s="474"/>
      <c r="I31" s="616"/>
      <c r="J31" s="477"/>
      <c r="K31" s="1668">
        <f t="shared" si="0"/>
        <v>0</v>
      </c>
      <c r="L31" s="471"/>
    </row>
    <row r="32" spans="1:12" x14ac:dyDescent="0.2">
      <c r="A32" s="1505"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28882597</v>
      </c>
      <c r="D33" s="1667">
        <f t="shared" ref="D33:L33" si="1">SUM(D5:D32)</f>
        <v>5349816</v>
      </c>
      <c r="E33" s="1667">
        <f t="shared" si="1"/>
        <v>1315112</v>
      </c>
      <c r="F33" s="1667">
        <f t="shared" si="1"/>
        <v>1099567</v>
      </c>
      <c r="G33" s="1667">
        <f t="shared" si="1"/>
        <v>120008</v>
      </c>
      <c r="H33" s="1667">
        <f t="shared" si="1"/>
        <v>2736264</v>
      </c>
      <c r="I33" s="1667">
        <f t="shared" si="1"/>
        <v>0</v>
      </c>
      <c r="J33" s="1667">
        <f t="shared" si="1"/>
        <v>7436</v>
      </c>
      <c r="K33" s="1667">
        <f t="shared" si="1"/>
        <v>39510800</v>
      </c>
      <c r="L33" s="1667">
        <f t="shared" si="1"/>
        <v>40002000</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1770836</v>
      </c>
      <c r="D36" s="481">
        <v>291040</v>
      </c>
      <c r="E36" s="481">
        <f>200</f>
        <v>200</v>
      </c>
      <c r="F36" s="481">
        <v>3190</v>
      </c>
      <c r="G36" s="481"/>
      <c r="H36" s="481"/>
      <c r="I36" s="467"/>
      <c r="J36" s="467"/>
      <c r="K36" s="1668">
        <f t="shared" ref="K36:K41" si="2">SUM(C36:J36)</f>
        <v>2065266</v>
      </c>
      <c r="L36" s="466">
        <v>2023608</v>
      </c>
    </row>
    <row r="37" spans="1:14" x14ac:dyDescent="0.2">
      <c r="A37" s="1503" t="s">
        <v>1090</v>
      </c>
      <c r="B37" s="614">
        <v>2120</v>
      </c>
      <c r="C37" s="466"/>
      <c r="D37" s="466"/>
      <c r="E37" s="466">
        <v>1362</v>
      </c>
      <c r="F37" s="466"/>
      <c r="G37" s="466"/>
      <c r="H37" s="466"/>
      <c r="I37" s="467"/>
      <c r="J37" s="467"/>
      <c r="K37" s="1668">
        <f t="shared" si="2"/>
        <v>1362</v>
      </c>
      <c r="L37" s="466">
        <v>11500</v>
      </c>
    </row>
    <row r="38" spans="1:14" x14ac:dyDescent="0.2">
      <c r="A38" s="1503" t="s">
        <v>198</v>
      </c>
      <c r="B38" s="614">
        <v>2130</v>
      </c>
      <c r="C38" s="466">
        <v>453123</v>
      </c>
      <c r="D38" s="466">
        <v>97090</v>
      </c>
      <c r="E38" s="466">
        <v>2003</v>
      </c>
      <c r="F38" s="466">
        <v>8598</v>
      </c>
      <c r="G38" s="466"/>
      <c r="H38" s="466"/>
      <c r="I38" s="467"/>
      <c r="J38" s="467"/>
      <c r="K38" s="1668">
        <f t="shared" si="2"/>
        <v>560814</v>
      </c>
      <c r="L38" s="466">
        <v>508663</v>
      </c>
    </row>
    <row r="39" spans="1:14" x14ac:dyDescent="0.2">
      <c r="A39" s="1503" t="s">
        <v>199</v>
      </c>
      <c r="B39" s="614">
        <v>2140</v>
      </c>
      <c r="C39" s="466">
        <v>663393</v>
      </c>
      <c r="D39" s="466">
        <v>92129</v>
      </c>
      <c r="E39" s="466"/>
      <c r="F39" s="466">
        <v>947</v>
      </c>
      <c r="G39" s="466"/>
      <c r="H39" s="466"/>
      <c r="I39" s="467"/>
      <c r="J39" s="467"/>
      <c r="K39" s="1668">
        <f t="shared" si="2"/>
        <v>756469</v>
      </c>
      <c r="L39" s="466">
        <v>704753</v>
      </c>
    </row>
    <row r="40" spans="1:14" x14ac:dyDescent="0.2">
      <c r="A40" s="1503" t="s">
        <v>200</v>
      </c>
      <c r="B40" s="614">
        <v>2150</v>
      </c>
      <c r="C40" s="466">
        <v>1581742</v>
      </c>
      <c r="D40" s="466">
        <v>205458</v>
      </c>
      <c r="E40" s="466">
        <v>9533</v>
      </c>
      <c r="F40" s="466">
        <v>2159</v>
      </c>
      <c r="G40" s="466"/>
      <c r="H40" s="466"/>
      <c r="I40" s="467"/>
      <c r="J40" s="467"/>
      <c r="K40" s="1668">
        <f t="shared" si="2"/>
        <v>1798892</v>
      </c>
      <c r="L40" s="466">
        <v>1829138</v>
      </c>
    </row>
    <row r="41" spans="1:14" x14ac:dyDescent="0.2">
      <c r="A41" s="1503" t="s">
        <v>1669</v>
      </c>
      <c r="B41" s="614">
        <v>2190</v>
      </c>
      <c r="C41" s="466"/>
      <c r="D41" s="466"/>
      <c r="E41" s="466"/>
      <c r="F41" s="466"/>
      <c r="G41" s="466"/>
      <c r="H41" s="466"/>
      <c r="I41" s="467"/>
      <c r="J41" s="467"/>
      <c r="K41" s="1668">
        <f t="shared" si="2"/>
        <v>0</v>
      </c>
      <c r="L41" s="466"/>
    </row>
    <row r="42" spans="1:14" ht="12.75" customHeight="1" thickBot="1" x14ac:dyDescent="0.25">
      <c r="A42" s="1665" t="s">
        <v>560</v>
      </c>
      <c r="B42" s="1666" t="s">
        <v>716</v>
      </c>
      <c r="C42" s="1667">
        <f>SUM(C36:C41)</f>
        <v>4469094</v>
      </c>
      <c r="D42" s="1667">
        <f t="shared" ref="D42:L42" si="3">SUM(D36:D41)</f>
        <v>685717</v>
      </c>
      <c r="E42" s="1667">
        <f t="shared" si="3"/>
        <v>13098</v>
      </c>
      <c r="F42" s="1667">
        <f t="shared" si="3"/>
        <v>14894</v>
      </c>
      <c r="G42" s="1667">
        <f t="shared" si="3"/>
        <v>0</v>
      </c>
      <c r="H42" s="1667">
        <f t="shared" si="3"/>
        <v>0</v>
      </c>
      <c r="I42" s="1667">
        <f t="shared" si="3"/>
        <v>0</v>
      </c>
      <c r="J42" s="1667">
        <f t="shared" si="3"/>
        <v>0</v>
      </c>
      <c r="K42" s="1667">
        <f t="shared" si="3"/>
        <v>5182803</v>
      </c>
      <c r="L42" s="1667">
        <f t="shared" si="3"/>
        <v>5077662</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983691</v>
      </c>
      <c r="D44" s="481">
        <v>113426</v>
      </c>
      <c r="E44" s="481">
        <v>178181</v>
      </c>
      <c r="F44" s="481">
        <v>10488</v>
      </c>
      <c r="G44" s="481"/>
      <c r="H44" s="481">
        <v>1154</v>
      </c>
      <c r="I44" s="467"/>
      <c r="J44" s="467"/>
      <c r="K44" s="1669">
        <f>SUM(C44:J44)</f>
        <v>1286940</v>
      </c>
      <c r="L44" s="481">
        <v>1473959</v>
      </c>
    </row>
    <row r="45" spans="1:14" x14ac:dyDescent="0.2">
      <c r="A45" s="1503" t="s">
        <v>815</v>
      </c>
      <c r="B45" s="614">
        <v>2220</v>
      </c>
      <c r="C45" s="466">
        <v>2184962</v>
      </c>
      <c r="D45" s="466">
        <v>317340</v>
      </c>
      <c r="E45" s="466">
        <v>177170</v>
      </c>
      <c r="F45" s="466">
        <v>311276</v>
      </c>
      <c r="G45" s="466">
        <v>946097</v>
      </c>
      <c r="H45" s="466"/>
      <c r="I45" s="467"/>
      <c r="J45" s="467"/>
      <c r="K45" s="1669">
        <f>SUM(C45:J45)</f>
        <v>3936845</v>
      </c>
      <c r="L45" s="466">
        <v>4127022</v>
      </c>
    </row>
    <row r="46" spans="1:14" x14ac:dyDescent="0.2">
      <c r="A46" s="1503" t="s">
        <v>816</v>
      </c>
      <c r="B46" s="614">
        <v>2230</v>
      </c>
      <c r="C46" s="466"/>
      <c r="D46" s="466"/>
      <c r="E46" s="466">
        <v>116131</v>
      </c>
      <c r="F46" s="466">
        <v>6295</v>
      </c>
      <c r="G46" s="466"/>
      <c r="H46" s="466"/>
      <c r="I46" s="467"/>
      <c r="J46" s="467"/>
      <c r="K46" s="1669">
        <f>SUM(C46:J46)</f>
        <v>122426</v>
      </c>
      <c r="L46" s="466">
        <v>119000</v>
      </c>
    </row>
    <row r="47" spans="1:14" ht="12.75" customHeight="1" thickBot="1" x14ac:dyDescent="0.25">
      <c r="A47" s="1665" t="s">
        <v>561</v>
      </c>
      <c r="B47" s="1666" t="s">
        <v>32</v>
      </c>
      <c r="C47" s="1667">
        <f>SUM(C44:C46)</f>
        <v>3168653</v>
      </c>
      <c r="D47" s="1667">
        <f t="shared" ref="D47:K47" si="4">SUM(D44:D46)</f>
        <v>430766</v>
      </c>
      <c r="E47" s="1667">
        <f t="shared" si="4"/>
        <v>471482</v>
      </c>
      <c r="F47" s="1667">
        <f t="shared" si="4"/>
        <v>328059</v>
      </c>
      <c r="G47" s="1667">
        <f t="shared" si="4"/>
        <v>946097</v>
      </c>
      <c r="H47" s="1667">
        <f t="shared" si="4"/>
        <v>1154</v>
      </c>
      <c r="I47" s="1667">
        <f t="shared" si="4"/>
        <v>0</v>
      </c>
      <c r="J47" s="1667">
        <f t="shared" si="4"/>
        <v>0</v>
      </c>
      <c r="K47" s="1667">
        <f t="shared" si="4"/>
        <v>5346211</v>
      </c>
      <c r="L47" s="1667">
        <f>SUM(L44:L46)</f>
        <v>5719981</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42000</v>
      </c>
      <c r="D49" s="481">
        <v>270</v>
      </c>
      <c r="E49" s="481">
        <v>299501</v>
      </c>
      <c r="F49" s="481">
        <v>158</v>
      </c>
      <c r="G49" s="481"/>
      <c r="H49" s="481">
        <v>25895</v>
      </c>
      <c r="I49" s="467"/>
      <c r="J49" s="467"/>
      <c r="K49" s="1669">
        <f>SUM(C49:J49)</f>
        <v>367824</v>
      </c>
      <c r="L49" s="481">
        <v>408500</v>
      </c>
    </row>
    <row r="50" spans="1:14" x14ac:dyDescent="0.2">
      <c r="A50" s="1503" t="s">
        <v>818</v>
      </c>
      <c r="B50" s="614">
        <v>2320</v>
      </c>
      <c r="C50" s="466">
        <v>388606</v>
      </c>
      <c r="D50" s="466">
        <v>97287</v>
      </c>
      <c r="E50" s="466">
        <v>8897</v>
      </c>
      <c r="F50" s="466">
        <v>882</v>
      </c>
      <c r="G50" s="466"/>
      <c r="H50" s="466">
        <v>22513</v>
      </c>
      <c r="I50" s="467"/>
      <c r="J50" s="467"/>
      <c r="K50" s="1669">
        <f>SUM(C50:J50)</f>
        <v>518185</v>
      </c>
      <c r="L50" s="466">
        <v>416878</v>
      </c>
    </row>
    <row r="51" spans="1:14" x14ac:dyDescent="0.2">
      <c r="A51" s="1503" t="s">
        <v>42</v>
      </c>
      <c r="B51" s="614">
        <v>2330</v>
      </c>
      <c r="C51" s="466">
        <v>7273</v>
      </c>
      <c r="D51" s="466"/>
      <c r="E51" s="466">
        <v>300</v>
      </c>
      <c r="F51" s="466"/>
      <c r="G51" s="466"/>
      <c r="H51" s="466"/>
      <c r="I51" s="467"/>
      <c r="J51" s="467"/>
      <c r="K51" s="1669">
        <f>SUM(C51:J51)</f>
        <v>7573</v>
      </c>
      <c r="L51" s="466">
        <v>19000</v>
      </c>
    </row>
    <row r="52" spans="1:14" ht="22.5" x14ac:dyDescent="0.2">
      <c r="A52" s="1504" t="s">
        <v>298</v>
      </c>
      <c r="B52" s="627" t="s">
        <v>366</v>
      </c>
      <c r="C52" s="474"/>
      <c r="D52" s="474"/>
      <c r="E52" s="474"/>
      <c r="F52" s="474"/>
      <c r="G52" s="474"/>
      <c r="H52" s="474"/>
      <c r="I52" s="474"/>
      <c r="J52" s="474"/>
      <c r="K52" s="1669">
        <f>SUM(C52:J52)</f>
        <v>0</v>
      </c>
      <c r="L52" s="474"/>
    </row>
    <row r="53" spans="1:14" ht="12.75" customHeight="1" thickBot="1" x14ac:dyDescent="0.25">
      <c r="A53" s="1665" t="s">
        <v>717</v>
      </c>
      <c r="B53" s="1666" t="s">
        <v>33</v>
      </c>
      <c r="C53" s="1667">
        <f>SUM(C49:C52)</f>
        <v>437879</v>
      </c>
      <c r="D53" s="1667">
        <f t="shared" ref="D53:L53" si="5">SUM(D49:D52)</f>
        <v>97557</v>
      </c>
      <c r="E53" s="1667">
        <f t="shared" si="5"/>
        <v>308698</v>
      </c>
      <c r="F53" s="1667">
        <f t="shared" si="5"/>
        <v>1040</v>
      </c>
      <c r="G53" s="1667">
        <f t="shared" si="5"/>
        <v>0</v>
      </c>
      <c r="H53" s="1667">
        <f t="shared" si="5"/>
        <v>48408</v>
      </c>
      <c r="I53" s="1667">
        <f t="shared" si="5"/>
        <v>0</v>
      </c>
      <c r="J53" s="1667">
        <f t="shared" si="5"/>
        <v>0</v>
      </c>
      <c r="K53" s="1667">
        <f t="shared" si="5"/>
        <v>893582</v>
      </c>
      <c r="L53" s="1667">
        <f t="shared" si="5"/>
        <v>844378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2103627</v>
      </c>
      <c r="D55" s="481">
        <v>471048</v>
      </c>
      <c r="E55" s="481">
        <v>1628</v>
      </c>
      <c r="F55" s="481">
        <v>31033</v>
      </c>
      <c r="G55" s="481">
        <v>1278</v>
      </c>
      <c r="H55" s="481">
        <v>9568</v>
      </c>
      <c r="I55" s="467"/>
      <c r="J55" s="467"/>
      <c r="K55" s="1669">
        <f>SUM(C55:J55)</f>
        <v>2618182</v>
      </c>
      <c r="L55" s="481">
        <v>2378401</v>
      </c>
    </row>
    <row r="56" spans="1:14" ht="12.75" customHeight="1" x14ac:dyDescent="0.2">
      <c r="A56" s="1507" t="s">
        <v>376</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2103627</v>
      </c>
      <c r="D57" s="1671">
        <f t="shared" ref="D57:K57" si="6">SUM(D55:D56)</f>
        <v>471048</v>
      </c>
      <c r="E57" s="1671">
        <f t="shared" si="6"/>
        <v>1628</v>
      </c>
      <c r="F57" s="1671">
        <f t="shared" si="6"/>
        <v>31033</v>
      </c>
      <c r="G57" s="1671">
        <f t="shared" si="6"/>
        <v>1278</v>
      </c>
      <c r="H57" s="1671">
        <f t="shared" si="6"/>
        <v>9568</v>
      </c>
      <c r="I57" s="1671">
        <f t="shared" si="6"/>
        <v>0</v>
      </c>
      <c r="J57" s="1671">
        <f t="shared" si="6"/>
        <v>0</v>
      </c>
      <c r="K57" s="1671">
        <f t="shared" si="6"/>
        <v>2618182</v>
      </c>
      <c r="L57" s="1667">
        <f>SUM(L55:L56)</f>
        <v>2378401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195797</v>
      </c>
      <c r="D59" s="481">
        <v>47124</v>
      </c>
      <c r="E59" s="481">
        <v>20627</v>
      </c>
      <c r="F59" s="481">
        <v>61754</v>
      </c>
      <c r="G59" s="481">
        <v>4699</v>
      </c>
      <c r="H59" s="481">
        <v>1933</v>
      </c>
      <c r="I59" s="467"/>
      <c r="J59" s="467"/>
      <c r="K59" s="1669">
        <f t="shared" ref="K59:K64" si="7">SUM(C59:J59)</f>
        <v>331934</v>
      </c>
      <c r="L59" s="481">
        <v>304551</v>
      </c>
      <c r="M59" s="609"/>
      <c r="N59" s="609"/>
    </row>
    <row r="60" spans="1:14" s="343" customFormat="1" x14ac:dyDescent="0.2">
      <c r="A60" s="1503" t="s">
        <v>463</v>
      </c>
      <c r="B60" s="614">
        <v>2520</v>
      </c>
      <c r="C60" s="466">
        <v>344906</v>
      </c>
      <c r="D60" s="466">
        <v>33289</v>
      </c>
      <c r="E60" s="466">
        <v>34007</v>
      </c>
      <c r="F60" s="466">
        <v>13307</v>
      </c>
      <c r="G60" s="466"/>
      <c r="H60" s="466"/>
      <c r="I60" s="467"/>
      <c r="J60" s="467"/>
      <c r="K60" s="1669">
        <f t="shared" si="7"/>
        <v>425509</v>
      </c>
      <c r="L60" s="466">
        <v>480676</v>
      </c>
      <c r="M60" s="609"/>
      <c r="N60" s="609"/>
    </row>
    <row r="61" spans="1:14" s="343" customFormat="1" x14ac:dyDescent="0.2">
      <c r="A61" s="1503" t="s">
        <v>197</v>
      </c>
      <c r="B61" s="614">
        <v>2540</v>
      </c>
      <c r="C61" s="466"/>
      <c r="D61" s="466"/>
      <c r="E61" s="466"/>
      <c r="F61" s="466"/>
      <c r="G61" s="466"/>
      <c r="H61" s="466"/>
      <c r="I61" s="467"/>
      <c r="J61" s="467"/>
      <c r="K61" s="1669">
        <f t="shared" si="7"/>
        <v>0</v>
      </c>
      <c r="L61" s="466"/>
      <c r="M61" s="609"/>
      <c r="N61" s="609"/>
    </row>
    <row r="62" spans="1:14" s="343" customFormat="1" x14ac:dyDescent="0.2">
      <c r="A62" s="1503" t="s">
        <v>953</v>
      </c>
      <c r="B62" s="614">
        <v>2550</v>
      </c>
      <c r="C62" s="466"/>
      <c r="D62" s="466"/>
      <c r="E62" s="466">
        <v>25402</v>
      </c>
      <c r="F62" s="466"/>
      <c r="G62" s="466"/>
      <c r="H62" s="466"/>
      <c r="I62" s="467"/>
      <c r="J62" s="467"/>
      <c r="K62" s="1669">
        <f t="shared" si="7"/>
        <v>25402</v>
      </c>
      <c r="L62" s="466">
        <v>47000</v>
      </c>
      <c r="M62" s="609"/>
      <c r="N62" s="609"/>
    </row>
    <row r="63" spans="1:14" s="609" customFormat="1" x14ac:dyDescent="0.2">
      <c r="A63" s="1503" t="s">
        <v>100</v>
      </c>
      <c r="B63" s="614">
        <v>2560</v>
      </c>
      <c r="C63" s="466">
        <f>618504+315</f>
        <v>618819</v>
      </c>
      <c r="D63" s="466">
        <f>205852</f>
        <v>205852</v>
      </c>
      <c r="E63" s="466">
        <f>89381</f>
        <v>89381</v>
      </c>
      <c r="F63" s="466">
        <f>538405+14479</f>
        <v>552884</v>
      </c>
      <c r="G63" s="466">
        <f>11293</f>
        <v>11293</v>
      </c>
      <c r="H63" s="466">
        <f>2009</f>
        <v>2009</v>
      </c>
      <c r="I63" s="467"/>
      <c r="J63" s="467">
        <v>7100</v>
      </c>
      <c r="K63" s="1669">
        <f t="shared" si="7"/>
        <v>1487338</v>
      </c>
      <c r="L63" s="466">
        <v>1459876</v>
      </c>
    </row>
    <row r="64" spans="1:14" s="609" customFormat="1" x14ac:dyDescent="0.2">
      <c r="A64" s="1508" t="s">
        <v>101</v>
      </c>
      <c r="B64" s="630">
        <v>2570</v>
      </c>
      <c r="C64" s="481"/>
      <c r="D64" s="481"/>
      <c r="E64" s="481">
        <v>150875</v>
      </c>
      <c r="F64" s="481">
        <v>457</v>
      </c>
      <c r="G64" s="481"/>
      <c r="H64" s="481"/>
      <c r="I64" s="467"/>
      <c r="J64" s="467"/>
      <c r="K64" s="1669">
        <f t="shared" si="7"/>
        <v>151332</v>
      </c>
      <c r="L64" s="481">
        <v>107000</v>
      </c>
    </row>
    <row r="65" spans="1:14" s="343" customFormat="1" ht="12.75" customHeight="1" thickBot="1" x14ac:dyDescent="0.25">
      <c r="A65" s="1665" t="s">
        <v>719</v>
      </c>
      <c r="B65" s="1666" t="s">
        <v>35</v>
      </c>
      <c r="C65" s="1667">
        <f>SUM(C59:C64)</f>
        <v>1159522</v>
      </c>
      <c r="D65" s="1667">
        <f t="shared" ref="D65:L65" si="8">SUM(D59:D64)</f>
        <v>286265</v>
      </c>
      <c r="E65" s="1667">
        <f t="shared" si="8"/>
        <v>320292</v>
      </c>
      <c r="F65" s="1667">
        <f t="shared" si="8"/>
        <v>628402</v>
      </c>
      <c r="G65" s="1667">
        <f t="shared" si="8"/>
        <v>15992</v>
      </c>
      <c r="H65" s="1667">
        <f t="shared" si="8"/>
        <v>3942</v>
      </c>
      <c r="I65" s="1667">
        <f t="shared" si="8"/>
        <v>0</v>
      </c>
      <c r="J65" s="1667">
        <f t="shared" si="8"/>
        <v>7100</v>
      </c>
      <c r="K65" s="1667">
        <f t="shared" si="8"/>
        <v>2421515</v>
      </c>
      <c r="L65" s="1667">
        <f t="shared" si="8"/>
        <v>2399103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69">
        <f>SUM(C67:J67)</f>
        <v>0</v>
      </c>
      <c r="L67" s="481"/>
      <c r="M67" s="609"/>
      <c r="N67" s="609"/>
    </row>
    <row r="68" spans="1:14" s="343" customFormat="1" x14ac:dyDescent="0.2">
      <c r="A68" s="1503" t="s">
        <v>607</v>
      </c>
      <c r="B68" s="614">
        <v>2620</v>
      </c>
      <c r="C68" s="466"/>
      <c r="D68" s="466"/>
      <c r="E68" s="466"/>
      <c r="F68" s="466"/>
      <c r="G68" s="466"/>
      <c r="H68" s="466"/>
      <c r="I68" s="467"/>
      <c r="J68" s="467"/>
      <c r="K68" s="1669">
        <f>SUM(C68:J68)</f>
        <v>0</v>
      </c>
      <c r="L68" s="466"/>
      <c r="M68" s="609"/>
      <c r="N68" s="609"/>
    </row>
    <row r="69" spans="1:14" s="343" customFormat="1" x14ac:dyDescent="0.2">
      <c r="A69" s="1503" t="s">
        <v>1061</v>
      </c>
      <c r="B69" s="614">
        <v>2630</v>
      </c>
      <c r="C69" s="466">
        <v>139594</v>
      </c>
      <c r="D69" s="466">
        <v>37324</v>
      </c>
      <c r="E69" s="466">
        <v>42227</v>
      </c>
      <c r="F69" s="466">
        <v>850</v>
      </c>
      <c r="G69" s="466"/>
      <c r="H69" s="466">
        <v>2077</v>
      </c>
      <c r="I69" s="467"/>
      <c r="J69" s="467"/>
      <c r="K69" s="1669">
        <f>SUM(C69:J69)</f>
        <v>222072</v>
      </c>
      <c r="L69" s="466">
        <v>337770</v>
      </c>
      <c r="M69" s="609"/>
      <c r="N69" s="609"/>
    </row>
    <row r="70" spans="1:14" s="343" customFormat="1" x14ac:dyDescent="0.2">
      <c r="A70" s="1503" t="s">
        <v>403</v>
      </c>
      <c r="B70" s="614">
        <v>2640</v>
      </c>
      <c r="C70" s="466">
        <v>349810</v>
      </c>
      <c r="D70" s="466">
        <v>39377</v>
      </c>
      <c r="E70" s="466">
        <v>132113</v>
      </c>
      <c r="F70" s="466">
        <v>7454</v>
      </c>
      <c r="G70" s="466"/>
      <c r="H70" s="466">
        <f>11922+47</f>
        <v>11969</v>
      </c>
      <c r="I70" s="467"/>
      <c r="J70" s="467">
        <v>26211</v>
      </c>
      <c r="K70" s="1669">
        <f>SUM(C70:J70)</f>
        <v>566934</v>
      </c>
      <c r="L70" s="466">
        <v>617961</v>
      </c>
      <c r="M70" s="609"/>
      <c r="N70" s="609"/>
    </row>
    <row r="71" spans="1:14" s="343" customFormat="1" x14ac:dyDescent="0.2">
      <c r="A71" s="1503" t="s">
        <v>404</v>
      </c>
      <c r="B71" s="614">
        <v>2660</v>
      </c>
      <c r="C71" s="466"/>
      <c r="D71" s="466"/>
      <c r="E71" s="466"/>
      <c r="F71" s="466"/>
      <c r="G71" s="466"/>
      <c r="H71" s="466"/>
      <c r="I71" s="467"/>
      <c r="J71" s="467"/>
      <c r="K71" s="1669">
        <f>SUM(C71:J71)</f>
        <v>0</v>
      </c>
      <c r="L71" s="466"/>
      <c r="M71" s="609"/>
      <c r="N71" s="609"/>
    </row>
    <row r="72" spans="1:14" s="343" customFormat="1" ht="12.75" customHeight="1" thickBot="1" x14ac:dyDescent="0.25">
      <c r="A72" s="1665" t="s">
        <v>37</v>
      </c>
      <c r="B72" s="1672" t="s">
        <v>36</v>
      </c>
      <c r="C72" s="1667">
        <f>SUM(C67:C71)</f>
        <v>489404</v>
      </c>
      <c r="D72" s="1667">
        <f t="shared" ref="D72:K72" si="9">SUM(D67:D71)</f>
        <v>76701</v>
      </c>
      <c r="E72" s="1667">
        <f t="shared" si="9"/>
        <v>174340</v>
      </c>
      <c r="F72" s="1667">
        <f t="shared" si="9"/>
        <v>8304</v>
      </c>
      <c r="G72" s="1667">
        <f t="shared" si="9"/>
        <v>0</v>
      </c>
      <c r="H72" s="1667">
        <f t="shared" si="9"/>
        <v>14046</v>
      </c>
      <c r="I72" s="1667">
        <f t="shared" si="9"/>
        <v>0</v>
      </c>
      <c r="J72" s="1667">
        <f t="shared" si="9"/>
        <v>26211</v>
      </c>
      <c r="K72" s="1667">
        <f t="shared" si="9"/>
        <v>789006</v>
      </c>
      <c r="L72" s="1667">
        <f>SUM(L67:L71)</f>
        <v>955731</v>
      </c>
      <c r="M72" s="609"/>
      <c r="N72" s="609"/>
    </row>
    <row r="73" spans="1:14" s="343" customFormat="1" ht="14.25" thickTop="1" thickBot="1" x14ac:dyDescent="0.25">
      <c r="A73" s="1509" t="s">
        <v>980</v>
      </c>
      <c r="B73" s="632" t="s">
        <v>574</v>
      </c>
      <c r="C73" s="573"/>
      <c r="D73" s="573"/>
      <c r="E73" s="573"/>
      <c r="F73" s="573"/>
      <c r="G73" s="573"/>
      <c r="H73" s="573"/>
      <c r="I73" s="531"/>
      <c r="J73" s="531"/>
      <c r="K73" s="1667">
        <f>SUM(C73:J73)</f>
        <v>0</v>
      </c>
      <c r="L73" s="576"/>
      <c r="M73" s="609"/>
      <c r="N73" s="609"/>
    </row>
    <row r="74" spans="1:14" ht="12.75" customHeight="1" thickTop="1" thickBot="1" x14ac:dyDescent="0.25">
      <c r="A74" s="1665" t="s">
        <v>811</v>
      </c>
      <c r="B74" s="1673">
        <v>2000</v>
      </c>
      <c r="C74" s="1674">
        <f>SUM(C42,C47,C53,C57,C65,C72,C73)</f>
        <v>11828179</v>
      </c>
      <c r="D74" s="1674">
        <f t="shared" ref="D74:K74" si="10">SUM(D42,D47,D53,D57,D65,D72,D73)</f>
        <v>2048054</v>
      </c>
      <c r="E74" s="1674">
        <f t="shared" si="10"/>
        <v>1289538</v>
      </c>
      <c r="F74" s="1674">
        <f t="shared" si="10"/>
        <v>1011732</v>
      </c>
      <c r="G74" s="1674">
        <f t="shared" si="10"/>
        <v>963367</v>
      </c>
      <c r="H74" s="1674">
        <f t="shared" si="10"/>
        <v>77118</v>
      </c>
      <c r="I74" s="1674">
        <f t="shared" si="10"/>
        <v>0</v>
      </c>
      <c r="J74" s="1674">
        <f t="shared" si="10"/>
        <v>33311</v>
      </c>
      <c r="K74" s="1674">
        <f t="shared" si="10"/>
        <v>17251299</v>
      </c>
      <c r="L74" s="1674">
        <f>SUM(L42,L47,L53,L57,L65,L72,L73)</f>
        <v>17375256</v>
      </c>
    </row>
    <row r="75" spans="1:14" s="259" customFormat="1" ht="15.75" customHeight="1" thickTop="1" thickBot="1" x14ac:dyDescent="0.25">
      <c r="A75" s="1609" t="s">
        <v>47</v>
      </c>
      <c r="B75" s="1610" t="s">
        <v>575</v>
      </c>
      <c r="C75" s="573">
        <v>6586</v>
      </c>
      <c r="D75" s="573">
        <v>80</v>
      </c>
      <c r="E75" s="573">
        <v>4629</v>
      </c>
      <c r="F75" s="573">
        <v>17398</v>
      </c>
      <c r="G75" s="573"/>
      <c r="H75" s="573"/>
      <c r="I75" s="531"/>
      <c r="J75" s="531"/>
      <c r="K75" s="1667">
        <f>SUM(C75:J75)</f>
        <v>28693</v>
      </c>
      <c r="L75" s="576">
        <v>116308</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68">
        <f t="shared" ref="K78:K83" si="11">SUM(C78:J78)</f>
        <v>0</v>
      </c>
      <c r="L78" s="481"/>
    </row>
    <row r="79" spans="1:14" x14ac:dyDescent="0.2">
      <c r="A79" s="1503" t="s">
        <v>304</v>
      </c>
      <c r="B79" s="614">
        <v>4120</v>
      </c>
      <c r="C79" s="616"/>
      <c r="D79" s="616"/>
      <c r="E79" s="466">
        <v>866361</v>
      </c>
      <c r="F79" s="616"/>
      <c r="G79" s="616"/>
      <c r="H79" s="466">
        <v>113054</v>
      </c>
      <c r="I79" s="477"/>
      <c r="J79" s="477"/>
      <c r="K79" s="1668">
        <f t="shared" si="11"/>
        <v>979415</v>
      </c>
      <c r="L79" s="466">
        <v>860297</v>
      </c>
    </row>
    <row r="80" spans="1:14" x14ac:dyDescent="0.2">
      <c r="A80" s="1503" t="s">
        <v>305</v>
      </c>
      <c r="B80" s="614">
        <v>4130</v>
      </c>
      <c r="C80" s="616"/>
      <c r="D80" s="616"/>
      <c r="E80" s="466"/>
      <c r="F80" s="616"/>
      <c r="G80" s="616"/>
      <c r="H80" s="466"/>
      <c r="I80" s="477"/>
      <c r="J80" s="477"/>
      <c r="K80" s="1668">
        <f t="shared" si="11"/>
        <v>0</v>
      </c>
      <c r="L80" s="466"/>
    </row>
    <row r="81" spans="1:12" x14ac:dyDescent="0.2">
      <c r="A81" s="1503" t="s">
        <v>697</v>
      </c>
      <c r="B81" s="614">
        <v>4140</v>
      </c>
      <c r="C81" s="616"/>
      <c r="D81" s="616"/>
      <c r="E81" s="466"/>
      <c r="F81" s="616"/>
      <c r="G81" s="616"/>
      <c r="H81" s="466"/>
      <c r="I81" s="477"/>
      <c r="J81" s="477"/>
      <c r="K81" s="1668">
        <f t="shared" si="11"/>
        <v>0</v>
      </c>
      <c r="L81" s="466"/>
    </row>
    <row r="82" spans="1:12" x14ac:dyDescent="0.2">
      <c r="A82" s="1503" t="s">
        <v>86</v>
      </c>
      <c r="B82" s="614">
        <v>4170</v>
      </c>
      <c r="C82" s="616"/>
      <c r="D82" s="616"/>
      <c r="E82" s="466"/>
      <c r="F82" s="616"/>
      <c r="G82" s="616"/>
      <c r="H82" s="466"/>
      <c r="I82" s="477"/>
      <c r="J82" s="477"/>
      <c r="K82" s="1668">
        <f t="shared" si="11"/>
        <v>0</v>
      </c>
      <c r="L82" s="466"/>
    </row>
    <row r="83" spans="1:12" x14ac:dyDescent="0.2">
      <c r="A83" s="1507" t="s">
        <v>698</v>
      </c>
      <c r="B83" s="628">
        <v>4190</v>
      </c>
      <c r="C83" s="616"/>
      <c r="D83" s="616"/>
      <c r="E83" s="466"/>
      <c r="F83" s="616"/>
      <c r="G83" s="616"/>
      <c r="H83" s="466">
        <v>98591</v>
      </c>
      <c r="I83" s="477"/>
      <c r="J83" s="477"/>
      <c r="K83" s="1668">
        <f t="shared" si="11"/>
        <v>98591</v>
      </c>
      <c r="L83" s="466"/>
    </row>
    <row r="84" spans="1:12" ht="13.5" thickBot="1" x14ac:dyDescent="0.25">
      <c r="A84" s="1665" t="s">
        <v>1485</v>
      </c>
      <c r="B84" s="1675">
        <v>4100</v>
      </c>
      <c r="C84" s="616"/>
      <c r="D84" s="616"/>
      <c r="E84" s="1667">
        <f>SUM(E78:E83)</f>
        <v>866361</v>
      </c>
      <c r="F84" s="616"/>
      <c r="G84" s="616"/>
      <c r="H84" s="1667">
        <f>SUM(H78:H83)</f>
        <v>211645</v>
      </c>
      <c r="I84" s="477"/>
      <c r="J84" s="477"/>
      <c r="K84" s="1667">
        <f>SUM(K78:K83)</f>
        <v>1078006</v>
      </c>
      <c r="L84" s="1667">
        <f>SUM(L78:L83)</f>
        <v>860297</v>
      </c>
    </row>
    <row r="85" spans="1:12" ht="12.75" customHeight="1" thickTop="1" thickBot="1" x14ac:dyDescent="0.25">
      <c r="A85" s="1510" t="s">
        <v>255</v>
      </c>
      <c r="B85" s="635">
        <v>4210</v>
      </c>
      <c r="C85" s="616"/>
      <c r="D85" s="616"/>
      <c r="E85" s="636"/>
      <c r="F85" s="616"/>
      <c r="G85" s="616"/>
      <c r="H85" s="535"/>
      <c r="I85" s="477"/>
      <c r="J85" s="477"/>
      <c r="K85" s="1674">
        <f>H85</f>
        <v>0</v>
      </c>
      <c r="L85" s="530"/>
    </row>
    <row r="86" spans="1:12" ht="12.75" customHeight="1" thickTop="1" thickBot="1" x14ac:dyDescent="0.25">
      <c r="A86" s="1511" t="s">
        <v>699</v>
      </c>
      <c r="B86" s="637">
        <v>4220</v>
      </c>
      <c r="C86" s="616"/>
      <c r="D86" s="616"/>
      <c r="E86" s="638"/>
      <c r="F86" s="616"/>
      <c r="G86" s="616"/>
      <c r="H86" s="467"/>
      <c r="I86" s="477"/>
      <c r="J86" s="477"/>
      <c r="K86" s="1674">
        <f t="shared" ref="K86:K98" si="12">H86</f>
        <v>0</v>
      </c>
      <c r="L86" s="530"/>
    </row>
    <row r="87" spans="1:12" ht="14.25" thickTop="1" thickBot="1" x14ac:dyDescent="0.25">
      <c r="A87" s="1512" t="s">
        <v>700</v>
      </c>
      <c r="B87" s="639">
        <v>4230</v>
      </c>
      <c r="C87" s="616"/>
      <c r="D87" s="616"/>
      <c r="E87" s="638"/>
      <c r="F87" s="616"/>
      <c r="G87" s="616"/>
      <c r="H87" s="467"/>
      <c r="I87" s="477"/>
      <c r="J87" s="477"/>
      <c r="K87" s="1674">
        <f t="shared" si="12"/>
        <v>0</v>
      </c>
      <c r="L87" s="530"/>
    </row>
    <row r="88" spans="1:12" ht="12.75" customHeight="1" thickTop="1" thickBot="1" x14ac:dyDescent="0.25">
      <c r="A88" s="1512" t="s">
        <v>765</v>
      </c>
      <c r="B88" s="639">
        <v>4240</v>
      </c>
      <c r="C88" s="616"/>
      <c r="D88" s="616"/>
      <c r="E88" s="638"/>
      <c r="F88" s="616"/>
      <c r="G88" s="616"/>
      <c r="H88" s="467"/>
      <c r="I88" s="477"/>
      <c r="J88" s="477"/>
      <c r="K88" s="1674">
        <f t="shared" si="12"/>
        <v>0</v>
      </c>
      <c r="L88" s="530"/>
    </row>
    <row r="89" spans="1:12" ht="12.75" customHeight="1" thickTop="1" thickBot="1" x14ac:dyDescent="0.25">
      <c r="A89" s="1512" t="s">
        <v>701</v>
      </c>
      <c r="B89" s="639">
        <v>4270</v>
      </c>
      <c r="C89" s="616"/>
      <c r="D89" s="616"/>
      <c r="E89" s="638"/>
      <c r="F89" s="616"/>
      <c r="G89" s="616"/>
      <c r="H89" s="467"/>
      <c r="I89" s="477"/>
      <c r="J89" s="477"/>
      <c r="K89" s="1674">
        <f t="shared" si="12"/>
        <v>0</v>
      </c>
      <c r="L89" s="530"/>
    </row>
    <row r="90" spans="1:12" ht="12.75" customHeight="1" thickTop="1" thickBot="1" x14ac:dyDescent="0.25">
      <c r="A90" s="1512" t="s">
        <v>686</v>
      </c>
      <c r="B90" s="639">
        <v>4280</v>
      </c>
      <c r="C90" s="616"/>
      <c r="D90" s="616"/>
      <c r="E90" s="638"/>
      <c r="F90" s="616"/>
      <c r="G90" s="616"/>
      <c r="H90" s="467"/>
      <c r="I90" s="477"/>
      <c r="J90" s="477"/>
      <c r="K90" s="1674">
        <f t="shared" si="12"/>
        <v>0</v>
      </c>
      <c r="L90" s="530"/>
    </row>
    <row r="91" spans="1:12" ht="12.75" customHeight="1" thickTop="1" thickBot="1" x14ac:dyDescent="0.25">
      <c r="A91" s="1512" t="s">
        <v>687</v>
      </c>
      <c r="B91" s="639">
        <v>4290</v>
      </c>
      <c r="C91" s="616"/>
      <c r="D91" s="616"/>
      <c r="E91" s="638"/>
      <c r="F91" s="616"/>
      <c r="G91" s="616"/>
      <c r="H91" s="467"/>
      <c r="I91" s="477"/>
      <c r="J91" s="477"/>
      <c r="K91" s="1674">
        <f t="shared" si="12"/>
        <v>0</v>
      </c>
      <c r="L91" s="530"/>
    </row>
    <row r="92" spans="1:12" ht="14.25" thickTop="1" thickBot="1" x14ac:dyDescent="0.25">
      <c r="A92" s="1677" t="s">
        <v>1560</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11" t="s">
        <v>688</v>
      </c>
      <c r="B93" s="640">
        <v>4310</v>
      </c>
      <c r="C93" s="616"/>
      <c r="D93" s="616"/>
      <c r="E93" s="638"/>
      <c r="F93" s="616"/>
      <c r="G93" s="616"/>
      <c r="H93" s="641"/>
      <c r="I93" s="477"/>
      <c r="J93" s="477"/>
      <c r="K93" s="1674">
        <f t="shared" si="12"/>
        <v>0</v>
      </c>
      <c r="L93" s="532"/>
    </row>
    <row r="94" spans="1:12" ht="12.75" customHeight="1" thickTop="1" thickBot="1" x14ac:dyDescent="0.25">
      <c r="A94" s="1512" t="s">
        <v>689</v>
      </c>
      <c r="B94" s="639">
        <v>4320</v>
      </c>
      <c r="C94" s="616"/>
      <c r="D94" s="616"/>
      <c r="E94" s="638"/>
      <c r="F94" s="616"/>
      <c r="G94" s="616"/>
      <c r="H94" s="467"/>
      <c r="I94" s="477"/>
      <c r="J94" s="477"/>
      <c r="K94" s="1674">
        <f t="shared" si="12"/>
        <v>0</v>
      </c>
      <c r="L94" s="530"/>
    </row>
    <row r="95" spans="1:12" ht="15" customHeight="1" thickTop="1" thickBot="1" x14ac:dyDescent="0.25">
      <c r="A95" s="1512" t="s">
        <v>1488</v>
      </c>
      <c r="B95" s="639">
        <v>4330</v>
      </c>
      <c r="C95" s="616"/>
      <c r="D95" s="616"/>
      <c r="E95" s="638"/>
      <c r="F95" s="616"/>
      <c r="G95" s="616"/>
      <c r="H95" s="467"/>
      <c r="I95" s="477"/>
      <c r="J95" s="477"/>
      <c r="K95" s="1674">
        <f t="shared" si="12"/>
        <v>0</v>
      </c>
      <c r="L95" s="530"/>
    </row>
    <row r="96" spans="1:12" ht="14.25" thickTop="1" thickBot="1" x14ac:dyDescent="0.25">
      <c r="A96" s="1512" t="s">
        <v>690</v>
      </c>
      <c r="B96" s="639">
        <v>4340</v>
      </c>
      <c r="C96" s="616"/>
      <c r="D96" s="616"/>
      <c r="E96" s="638"/>
      <c r="F96" s="616"/>
      <c r="G96" s="616"/>
      <c r="H96" s="467"/>
      <c r="I96" s="477"/>
      <c r="J96" s="477"/>
      <c r="K96" s="1674">
        <f t="shared" si="12"/>
        <v>0</v>
      </c>
      <c r="L96" s="530"/>
    </row>
    <row r="97" spans="1:14" ht="12.75" customHeight="1" thickTop="1" thickBot="1" x14ac:dyDescent="0.25">
      <c r="A97" s="1512" t="s">
        <v>763</v>
      </c>
      <c r="B97" s="639">
        <v>4370</v>
      </c>
      <c r="C97" s="616"/>
      <c r="D97" s="616"/>
      <c r="E97" s="638"/>
      <c r="F97" s="616"/>
      <c r="G97" s="616"/>
      <c r="H97" s="467"/>
      <c r="I97" s="477"/>
      <c r="J97" s="477"/>
      <c r="K97" s="1674">
        <f t="shared" si="12"/>
        <v>0</v>
      </c>
      <c r="L97" s="530"/>
    </row>
    <row r="98" spans="1:14" ht="14.25" thickTop="1" thickBot="1" x14ac:dyDescent="0.25">
      <c r="A98" s="1512" t="s">
        <v>764</v>
      </c>
      <c r="B98" s="639">
        <v>4380</v>
      </c>
      <c r="C98" s="616"/>
      <c r="D98" s="616"/>
      <c r="E98" s="642"/>
      <c r="F98" s="616"/>
      <c r="G98" s="616"/>
      <c r="H98" s="467"/>
      <c r="I98" s="477"/>
      <c r="J98" s="477"/>
      <c r="K98" s="1674">
        <f t="shared" si="12"/>
        <v>0</v>
      </c>
      <c r="L98" s="530"/>
    </row>
    <row r="99" spans="1:14" ht="14.25" thickTop="1" thickBot="1" x14ac:dyDescent="0.25">
      <c r="A99" s="1512" t="s">
        <v>367</v>
      </c>
      <c r="B99" s="639">
        <v>4390</v>
      </c>
      <c r="C99" s="616"/>
      <c r="D99" s="616"/>
      <c r="E99" s="532"/>
      <c r="F99" s="616"/>
      <c r="G99" s="616"/>
      <c r="H99" s="467"/>
      <c r="I99" s="477"/>
      <c r="J99" s="477"/>
      <c r="K99" s="1674">
        <f>SUM(E99,H99)</f>
        <v>0</v>
      </c>
      <c r="L99" s="530"/>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9" t="s">
        <v>1489</v>
      </c>
      <c r="B101" s="643" t="s">
        <v>931</v>
      </c>
      <c r="C101" s="616"/>
      <c r="D101" s="616"/>
      <c r="E101" s="531"/>
      <c r="F101" s="616"/>
      <c r="G101" s="616"/>
      <c r="H101" s="531"/>
      <c r="I101" s="477"/>
      <c r="J101" s="477"/>
      <c r="K101" s="1676">
        <f>SUM(C101:J101)</f>
        <v>0</v>
      </c>
      <c r="L101" s="530"/>
    </row>
    <row r="102" spans="1:14" ht="12.75" customHeight="1" thickTop="1" thickBot="1" x14ac:dyDescent="0.25">
      <c r="A102" s="1665" t="s">
        <v>1487</v>
      </c>
      <c r="B102" s="1675">
        <v>4000</v>
      </c>
      <c r="C102" s="616"/>
      <c r="D102" s="616"/>
      <c r="E102" s="1674">
        <f>SUM(E84,E92,E100,E101)</f>
        <v>866361</v>
      </c>
      <c r="F102" s="616"/>
      <c r="G102" s="616"/>
      <c r="H102" s="1674">
        <f>SUM(H84,H92,H100,H101)</f>
        <v>211645</v>
      </c>
      <c r="I102" s="477"/>
      <c r="J102" s="477"/>
      <c r="K102" s="1674">
        <f>SUM(K84,K92,K100,K101)</f>
        <v>1078006</v>
      </c>
      <c r="L102" s="1674">
        <f>SUM(L84,L92,L100,L101)</f>
        <v>860297</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8">
        <f>H105</f>
        <v>0</v>
      </c>
      <c r="L105" s="481"/>
      <c r="M105" s="210"/>
      <c r="N105" s="210"/>
    </row>
    <row r="106" spans="1:14" s="597" customFormat="1" x14ac:dyDescent="0.2">
      <c r="A106" s="1503" t="s">
        <v>88</v>
      </c>
      <c r="B106" s="614">
        <v>5120</v>
      </c>
      <c r="C106" s="616"/>
      <c r="D106" s="616"/>
      <c r="E106" s="616"/>
      <c r="F106" s="616"/>
      <c r="G106" s="616"/>
      <c r="H106" s="466"/>
      <c r="I106" s="468"/>
      <c r="J106" s="468"/>
      <c r="K106" s="1668">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68">
        <f>H107</f>
        <v>0</v>
      </c>
      <c r="L107" s="466"/>
      <c r="M107" s="210"/>
      <c r="N107" s="210"/>
    </row>
    <row r="108" spans="1:14" s="597" customFormat="1" x14ac:dyDescent="0.2">
      <c r="A108" s="1503" t="s">
        <v>89</v>
      </c>
      <c r="B108" s="614" t="s">
        <v>589</v>
      </c>
      <c r="C108" s="616"/>
      <c r="D108" s="616"/>
      <c r="E108" s="616"/>
      <c r="F108" s="616"/>
      <c r="G108" s="616"/>
      <c r="H108" s="466"/>
      <c r="I108" s="468"/>
      <c r="J108" s="468"/>
      <c r="K108" s="1668">
        <f>H108</f>
        <v>0</v>
      </c>
      <c r="L108" s="466"/>
      <c r="M108" s="210"/>
      <c r="N108" s="210"/>
    </row>
    <row r="109" spans="1:14" s="597" customFormat="1" x14ac:dyDescent="0.2">
      <c r="A109" s="1503"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5" t="s">
        <v>48</v>
      </c>
      <c r="B114" s="1679"/>
      <c r="C114" s="1667">
        <f>SUM(C33,C74,C75,C102,C112,C113)</f>
        <v>40717362</v>
      </c>
      <c r="D114" s="1667">
        <f t="shared" ref="D114:K114" si="13">SUM(D33,D74,D75,D102,D112,D113)</f>
        <v>7397950</v>
      </c>
      <c r="E114" s="1667">
        <f t="shared" si="13"/>
        <v>3475640</v>
      </c>
      <c r="F114" s="1667">
        <f t="shared" si="13"/>
        <v>2128697</v>
      </c>
      <c r="G114" s="1667">
        <f t="shared" si="13"/>
        <v>1083375</v>
      </c>
      <c r="H114" s="1667">
        <f>SUM(H33,H74,H75,H102,H112,H113)</f>
        <v>3025027</v>
      </c>
      <c r="I114" s="1667">
        <f t="shared" si="13"/>
        <v>0</v>
      </c>
      <c r="J114" s="1667">
        <f t="shared" si="13"/>
        <v>40747</v>
      </c>
      <c r="K114" s="1667">
        <f t="shared" si="13"/>
        <v>57868798</v>
      </c>
      <c r="L114" s="1667">
        <f>SUM(L33,L74,L75,L102,L112,L113)</f>
        <v>58353861</v>
      </c>
    </row>
    <row r="115" spans="1:14" ht="13.5" thickTop="1" x14ac:dyDescent="0.2">
      <c r="A115" s="2155" t="s">
        <v>996</v>
      </c>
      <c r="B115" s="2156"/>
      <c r="C115" s="618"/>
      <c r="D115" s="618"/>
      <c r="E115" s="618"/>
      <c r="F115" s="618"/>
      <c r="G115" s="618"/>
      <c r="H115" s="618"/>
      <c r="I115" s="618"/>
      <c r="J115" s="618"/>
      <c r="K115" s="1681">
        <f>'Revenues 9-14'!C268-'Expenditures 15-22'!K114</f>
        <v>155742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2057</v>
      </c>
      <c r="B120" s="628" t="s">
        <v>716</v>
      </c>
      <c r="C120" s="466"/>
      <c r="D120" s="466"/>
      <c r="E120" s="466"/>
      <c r="F120" s="466"/>
      <c r="G120" s="466"/>
      <c r="H120" s="466"/>
      <c r="I120" s="467"/>
      <c r="J120" s="467"/>
      <c r="K120" s="1668">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7">
        <f>SUM(C122:J122)</f>
        <v>0</v>
      </c>
      <c r="L122" s="466"/>
    </row>
    <row r="123" spans="1:14" ht="14.25" thickTop="1" thickBot="1" x14ac:dyDescent="0.25">
      <c r="A123" s="1503" t="s">
        <v>4</v>
      </c>
      <c r="B123" s="614">
        <v>2530</v>
      </c>
      <c r="C123" s="466"/>
      <c r="D123" s="466"/>
      <c r="E123" s="466"/>
      <c r="F123" s="466"/>
      <c r="G123" s="466">
        <v>21388</v>
      </c>
      <c r="H123" s="466"/>
      <c r="I123" s="467"/>
      <c r="J123" s="467"/>
      <c r="K123" s="1667">
        <f>SUM(C123:J123)</f>
        <v>21388</v>
      </c>
      <c r="L123" s="466">
        <v>35000</v>
      </c>
    </row>
    <row r="124" spans="1:14" ht="14.25" thickTop="1" thickBot="1" x14ac:dyDescent="0.25">
      <c r="A124" s="1503" t="s">
        <v>197</v>
      </c>
      <c r="B124" s="614">
        <v>2540</v>
      </c>
      <c r="C124" s="466">
        <v>1881227</v>
      </c>
      <c r="D124" s="466">
        <v>414655</v>
      </c>
      <c r="E124" s="466">
        <f>480606+14831+54957</f>
        <v>550394</v>
      </c>
      <c r="F124" s="466">
        <f>1359295+15263</f>
        <v>1374558</v>
      </c>
      <c r="G124" s="466">
        <f>55018+90830</f>
        <v>145848</v>
      </c>
      <c r="H124" s="466">
        <f>1697</f>
        <v>1697</v>
      </c>
      <c r="I124" s="467"/>
      <c r="J124" s="467"/>
      <c r="K124" s="1667">
        <f>SUM(C124:J124)</f>
        <v>4368379</v>
      </c>
      <c r="L124" s="466">
        <v>4384503</v>
      </c>
    </row>
    <row r="125" spans="1:14" ht="14.25" thickTop="1" thickBot="1" x14ac:dyDescent="0.25">
      <c r="A125" s="1503" t="s">
        <v>953</v>
      </c>
      <c r="B125" s="614">
        <v>2550</v>
      </c>
      <c r="C125" s="466"/>
      <c r="D125" s="466"/>
      <c r="E125" s="466"/>
      <c r="F125" s="466"/>
      <c r="G125" s="466"/>
      <c r="H125" s="466"/>
      <c r="I125" s="467"/>
      <c r="J125" s="467"/>
      <c r="K125" s="1667">
        <f>SUM(C125:J125)</f>
        <v>0</v>
      </c>
      <c r="L125" s="466"/>
    </row>
    <row r="126" spans="1:14" ht="14.25" thickTop="1" thickBot="1" x14ac:dyDescent="0.25">
      <c r="A126" s="1503"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719</v>
      </c>
      <c r="B127" s="1666" t="s">
        <v>35</v>
      </c>
      <c r="C127" s="1667">
        <f>SUM(C122:C126)</f>
        <v>1881227</v>
      </c>
      <c r="D127" s="1667">
        <f t="shared" ref="D127:L127" si="14">SUM(D122:D126)</f>
        <v>414655</v>
      </c>
      <c r="E127" s="1667">
        <f t="shared" si="14"/>
        <v>550394</v>
      </c>
      <c r="F127" s="1667">
        <f t="shared" si="14"/>
        <v>1374558</v>
      </c>
      <c r="G127" s="1667">
        <f t="shared" si="14"/>
        <v>167236</v>
      </c>
      <c r="H127" s="1667">
        <f t="shared" si="14"/>
        <v>1697</v>
      </c>
      <c r="I127" s="1667">
        <f t="shared" si="14"/>
        <v>0</v>
      </c>
      <c r="J127" s="1667">
        <f t="shared" si="14"/>
        <v>0</v>
      </c>
      <c r="K127" s="1667">
        <f t="shared" si="14"/>
        <v>4389767</v>
      </c>
      <c r="L127" s="1667">
        <f t="shared" si="14"/>
        <v>4419503</v>
      </c>
    </row>
    <row r="128" spans="1:14" ht="12.75" customHeight="1" thickTop="1" x14ac:dyDescent="0.2">
      <c r="A128" s="1510" t="s">
        <v>980</v>
      </c>
      <c r="B128" s="655" t="s">
        <v>574</v>
      </c>
      <c r="C128" s="656"/>
      <c r="D128" s="656"/>
      <c r="E128" s="656"/>
      <c r="F128" s="656"/>
      <c r="G128" s="656"/>
      <c r="H128" s="656"/>
      <c r="I128" s="535"/>
      <c r="J128" s="535"/>
      <c r="K128" s="1682">
        <f>SUM(C128:J128)</f>
        <v>0</v>
      </c>
      <c r="L128" s="656"/>
    </row>
    <row r="129" spans="1:14" ht="12.75" customHeight="1" thickBot="1" x14ac:dyDescent="0.25">
      <c r="A129" s="1683" t="s">
        <v>811</v>
      </c>
      <c r="B129" s="1684" t="s">
        <v>569</v>
      </c>
      <c r="C129" s="1674">
        <f>SUM(C120,C127,C128)</f>
        <v>1881227</v>
      </c>
      <c r="D129" s="1674">
        <f t="shared" ref="D129:L129" si="15">SUM(D120,D127,D128)</f>
        <v>414655</v>
      </c>
      <c r="E129" s="1674">
        <f t="shared" si="15"/>
        <v>550394</v>
      </c>
      <c r="F129" s="1674">
        <f t="shared" si="15"/>
        <v>1374558</v>
      </c>
      <c r="G129" s="1674">
        <f t="shared" si="15"/>
        <v>167236</v>
      </c>
      <c r="H129" s="1674">
        <f t="shared" si="15"/>
        <v>1697</v>
      </c>
      <c r="I129" s="1674">
        <f t="shared" si="15"/>
        <v>0</v>
      </c>
      <c r="J129" s="1674">
        <f t="shared" si="15"/>
        <v>0</v>
      </c>
      <c r="K129" s="1674">
        <f t="shared" si="15"/>
        <v>4389767</v>
      </c>
      <c r="L129" s="1674">
        <f t="shared" si="15"/>
        <v>4419503</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8" t="s">
        <v>1842</v>
      </c>
      <c r="C133" s="468"/>
      <c r="D133" s="468"/>
      <c r="E133" s="641"/>
      <c r="F133" s="468"/>
      <c r="G133" s="468"/>
      <c r="H133" s="641"/>
      <c r="I133" s="468"/>
      <c r="J133" s="468"/>
      <c r="K133" s="1818">
        <f>SUM(E133,H133)</f>
        <v>0</v>
      </c>
      <c r="L133" s="641"/>
      <c r="M133" s="206"/>
      <c r="N133" s="206"/>
    </row>
    <row r="134" spans="1:14" x14ac:dyDescent="0.2">
      <c r="A134" s="1503" t="s">
        <v>304</v>
      </c>
      <c r="B134" s="614">
        <v>4120</v>
      </c>
      <c r="C134" s="616"/>
      <c r="D134" s="616"/>
      <c r="E134" s="478"/>
      <c r="F134" s="616"/>
      <c r="G134" s="616"/>
      <c r="H134" s="481"/>
      <c r="I134" s="477"/>
      <c r="J134" s="616"/>
      <c r="K134" s="1669">
        <f>SUM(E134,H134)</f>
        <v>0</v>
      </c>
      <c r="L134" s="481"/>
    </row>
    <row r="135" spans="1:14" x14ac:dyDescent="0.2">
      <c r="A135" s="1503" t="s">
        <v>697</v>
      </c>
      <c r="B135" s="614">
        <v>4140</v>
      </c>
      <c r="C135" s="616"/>
      <c r="D135" s="616"/>
      <c r="E135" s="467"/>
      <c r="F135" s="616"/>
      <c r="G135" s="616"/>
      <c r="H135" s="466"/>
      <c r="I135" s="477"/>
      <c r="J135" s="616"/>
      <c r="K135" s="1669">
        <f>SUM(E135,H135)</f>
        <v>0</v>
      </c>
      <c r="L135" s="466"/>
    </row>
    <row r="136" spans="1:14" x14ac:dyDescent="0.2">
      <c r="A136" s="1507" t="s">
        <v>698</v>
      </c>
      <c r="B136" s="628">
        <v>4190</v>
      </c>
      <c r="C136" s="616"/>
      <c r="D136" s="616"/>
      <c r="E136" s="467"/>
      <c r="F136" s="616"/>
      <c r="G136" s="616"/>
      <c r="H136" s="466"/>
      <c r="I136" s="477"/>
      <c r="J136" s="616"/>
      <c r="K136" s="1669">
        <f>SUM(E136,H136)</f>
        <v>0</v>
      </c>
      <c r="L136" s="466"/>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9" t="s">
        <v>96</v>
      </c>
      <c r="B138" s="643" t="s">
        <v>931</v>
      </c>
      <c r="C138" s="616"/>
      <c r="D138" s="616"/>
      <c r="E138" s="479"/>
      <c r="F138" s="616"/>
      <c r="G138" s="616"/>
      <c r="H138" s="576"/>
      <c r="I138" s="477"/>
      <c r="J138" s="616"/>
      <c r="K138" s="1669">
        <f>SUM(E138,H138)</f>
        <v>0</v>
      </c>
      <c r="L138" s="576"/>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69">
        <f>SUM(H142)</f>
        <v>0</v>
      </c>
      <c r="L142" s="481"/>
    </row>
    <row r="143" spans="1:14" x14ac:dyDescent="0.2">
      <c r="A143" s="1503" t="s">
        <v>88</v>
      </c>
      <c r="B143" s="614">
        <v>5120</v>
      </c>
      <c r="C143" s="616"/>
      <c r="D143" s="616"/>
      <c r="E143" s="616"/>
      <c r="F143" s="616"/>
      <c r="G143" s="616"/>
      <c r="H143" s="466"/>
      <c r="I143" s="468"/>
      <c r="J143" s="616"/>
      <c r="K143" s="1669">
        <f>SUM(H143)</f>
        <v>0</v>
      </c>
      <c r="L143" s="466"/>
    </row>
    <row r="144" spans="1:14" ht="12.75" customHeight="1" x14ac:dyDescent="0.2">
      <c r="A144" s="1503" t="s">
        <v>1170</v>
      </c>
      <c r="B144" s="628" t="s">
        <v>617</v>
      </c>
      <c r="C144" s="616"/>
      <c r="D144" s="616"/>
      <c r="E144" s="616"/>
      <c r="F144" s="616"/>
      <c r="G144" s="616"/>
      <c r="H144" s="466"/>
      <c r="I144" s="468"/>
      <c r="J144" s="616"/>
      <c r="K144" s="1669">
        <f>SUM(H144)</f>
        <v>0</v>
      </c>
      <c r="L144" s="466"/>
    </row>
    <row r="145" spans="1:14" x14ac:dyDescent="0.2">
      <c r="A145" s="1503" t="s">
        <v>89</v>
      </c>
      <c r="B145" s="614" t="s">
        <v>589</v>
      </c>
      <c r="C145" s="616"/>
      <c r="D145" s="616"/>
      <c r="E145" s="616"/>
      <c r="F145" s="616"/>
      <c r="G145" s="616"/>
      <c r="H145" s="466"/>
      <c r="I145" s="468"/>
      <c r="J145" s="616"/>
      <c r="K145" s="1669">
        <f>SUM(H145)</f>
        <v>0</v>
      </c>
      <c r="L145" s="466"/>
    </row>
    <row r="146" spans="1:14" ht="12.75" customHeight="1" x14ac:dyDescent="0.2">
      <c r="A146" s="1503" t="s">
        <v>619</v>
      </c>
      <c r="B146" s="614" t="s">
        <v>618</v>
      </c>
      <c r="C146" s="616"/>
      <c r="D146" s="616"/>
      <c r="E146" s="616"/>
      <c r="F146" s="616"/>
      <c r="G146" s="616"/>
      <c r="H146" s="466"/>
      <c r="I146" s="468"/>
      <c r="J146" s="616"/>
      <c r="K146" s="1669">
        <f>SUM(H146)</f>
        <v>0</v>
      </c>
      <c r="L146" s="466"/>
    </row>
    <row r="147" spans="1:14" ht="12.75" customHeight="1" thickBot="1" x14ac:dyDescent="0.25">
      <c r="A147" s="1514"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row>
    <row r="149" spans="1:14" ht="12.75" customHeight="1" thickBot="1" x14ac:dyDescent="0.25">
      <c r="A149" s="1506"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2" t="s">
        <v>620</v>
      </c>
      <c r="B151" s="2152"/>
      <c r="C151" s="1667">
        <f>SUM(C129,C130,C139,C149,C150)</f>
        <v>1881227</v>
      </c>
      <c r="D151" s="1667">
        <f t="shared" ref="D151:K151" si="16">SUM(D129,D130,D139,D149,D150)</f>
        <v>414655</v>
      </c>
      <c r="E151" s="1667">
        <f t="shared" si="16"/>
        <v>550394</v>
      </c>
      <c r="F151" s="1667">
        <f t="shared" si="16"/>
        <v>1374558</v>
      </c>
      <c r="G151" s="1667">
        <f t="shared" si="16"/>
        <v>167236</v>
      </c>
      <c r="H151" s="1667">
        <f t="shared" si="16"/>
        <v>1697</v>
      </c>
      <c r="I151" s="1667">
        <f t="shared" si="16"/>
        <v>0</v>
      </c>
      <c r="J151" s="1667">
        <f t="shared" si="16"/>
        <v>0</v>
      </c>
      <c r="K151" s="1667">
        <f t="shared" si="16"/>
        <v>4389767</v>
      </c>
      <c r="L151" s="1667">
        <f>SUM(L129,L130,L139,L149,L150)</f>
        <v>4419503</v>
      </c>
    </row>
    <row r="152" spans="1:14" ht="12.75" customHeight="1" thickTop="1" x14ac:dyDescent="0.2">
      <c r="A152" s="2175" t="s">
        <v>1178</v>
      </c>
      <c r="B152" s="2176"/>
      <c r="C152" s="618"/>
      <c r="D152" s="618"/>
      <c r="E152" s="618"/>
      <c r="F152" s="618"/>
      <c r="G152" s="618"/>
      <c r="H152" s="618"/>
      <c r="I152" s="618"/>
      <c r="J152" s="616"/>
      <c r="K152" s="1681">
        <f>'Revenues 9-14'!D268-'Expenditures 15-22'!K151</f>
        <v>423484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1843</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1842</v>
      </c>
      <c r="C157" s="616"/>
      <c r="D157" s="616"/>
      <c r="E157" s="616"/>
      <c r="F157" s="616"/>
      <c r="G157" s="616"/>
      <c r="H157" s="641"/>
      <c r="I157" s="616"/>
      <c r="J157" s="616"/>
      <c r="K157" s="1668">
        <f>H157</f>
        <v>0</v>
      </c>
      <c r="L157" s="467"/>
      <c r="M157" s="619"/>
      <c r="N157" s="619"/>
    </row>
    <row r="158" spans="1:14" s="620" customFormat="1" ht="12" x14ac:dyDescent="0.2">
      <c r="A158" s="1823" t="s">
        <v>304</v>
      </c>
      <c r="B158" s="1824" t="s">
        <v>1844</v>
      </c>
      <c r="C158" s="616"/>
      <c r="D158" s="616"/>
      <c r="E158" s="616"/>
      <c r="F158" s="616"/>
      <c r="G158" s="616"/>
      <c r="H158" s="467"/>
      <c r="I158" s="616"/>
      <c r="J158" s="616"/>
      <c r="K158" s="1668">
        <f>H158</f>
        <v>0</v>
      </c>
      <c r="L158" s="467"/>
      <c r="M158" s="619"/>
      <c r="N158" s="619"/>
    </row>
    <row r="159" spans="1:14" s="620" customFormat="1" ht="12" x14ac:dyDescent="0.2">
      <c r="A159" s="1823" t="s">
        <v>1845</v>
      </c>
      <c r="B159" s="1824" t="s">
        <v>558</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1846</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8">
        <f>SUM(C163:J163)</f>
        <v>0</v>
      </c>
      <c r="L163" s="466"/>
    </row>
    <row r="164" spans="1:14" x14ac:dyDescent="0.2">
      <c r="A164" s="1503" t="s">
        <v>88</v>
      </c>
      <c r="B164" s="614">
        <v>5120</v>
      </c>
      <c r="C164" s="616"/>
      <c r="D164" s="616"/>
      <c r="E164" s="616"/>
      <c r="F164" s="616"/>
      <c r="G164" s="616"/>
      <c r="H164" s="466"/>
      <c r="I164" s="616"/>
      <c r="J164" s="616"/>
      <c r="K164" s="1668">
        <f>SUM(C164:J164)</f>
        <v>0</v>
      </c>
      <c r="L164" s="466"/>
    </row>
    <row r="165" spans="1:14" ht="12.75" customHeight="1" x14ac:dyDescent="0.2">
      <c r="A165" s="1503" t="s">
        <v>1170</v>
      </c>
      <c r="B165" s="614" t="s">
        <v>617</v>
      </c>
      <c r="C165" s="616"/>
      <c r="D165" s="616"/>
      <c r="E165" s="616"/>
      <c r="F165" s="616"/>
      <c r="G165" s="616"/>
      <c r="H165" s="466"/>
      <c r="I165" s="616"/>
      <c r="J165" s="616"/>
      <c r="K165" s="1668">
        <f>SUM(C165:J165)</f>
        <v>0</v>
      </c>
      <c r="L165" s="466"/>
    </row>
    <row r="166" spans="1:14" x14ac:dyDescent="0.2">
      <c r="A166" s="1503" t="s">
        <v>89</v>
      </c>
      <c r="B166" s="628" t="s">
        <v>589</v>
      </c>
      <c r="C166" s="616"/>
      <c r="D166" s="616"/>
      <c r="E166" s="616"/>
      <c r="F166" s="616"/>
      <c r="G166" s="616"/>
      <c r="H166" s="466"/>
      <c r="I166" s="616"/>
      <c r="J166" s="616"/>
      <c r="K166" s="1668">
        <f>SUM(C166:J166)</f>
        <v>0</v>
      </c>
      <c r="L166" s="466"/>
    </row>
    <row r="167" spans="1:14" ht="12.75" customHeight="1" x14ac:dyDescent="0.2">
      <c r="A167" s="1503" t="s">
        <v>619</v>
      </c>
      <c r="B167" s="614" t="s">
        <v>618</v>
      </c>
      <c r="C167" s="616"/>
      <c r="D167" s="616"/>
      <c r="E167" s="616"/>
      <c r="F167" s="616"/>
      <c r="G167" s="616"/>
      <c r="H167" s="466"/>
      <c r="I167" s="616"/>
      <c r="J167" s="616"/>
      <c r="K167" s="1668">
        <f>SUM(C167:J167)</f>
        <v>0</v>
      </c>
      <c r="L167" s="466"/>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639342</v>
      </c>
      <c r="I169" s="616"/>
      <c r="J169" s="616"/>
      <c r="K169" s="1668">
        <f>SUM(C169:H169)</f>
        <v>639342</v>
      </c>
      <c r="L169" s="656"/>
    </row>
    <row r="170" spans="1:14" ht="33.75" customHeight="1" x14ac:dyDescent="0.2">
      <c r="A170" s="669" t="s">
        <v>1670</v>
      </c>
      <c r="B170" s="671" t="s">
        <v>31</v>
      </c>
      <c r="C170" s="616"/>
      <c r="D170" s="616"/>
      <c r="E170" s="616"/>
      <c r="F170" s="616"/>
      <c r="G170" s="616"/>
      <c r="H170" s="569">
        <v>3860000</v>
      </c>
      <c r="I170" s="616"/>
      <c r="J170" s="616"/>
      <c r="K170" s="1668">
        <f>SUM(C170:J170)</f>
        <v>3860000</v>
      </c>
      <c r="L170" s="569">
        <v>3700000</v>
      </c>
    </row>
    <row r="171" spans="1:14" ht="15.75" customHeight="1" x14ac:dyDescent="0.2">
      <c r="A171" s="621" t="s">
        <v>766</v>
      </c>
      <c r="B171" s="672" t="s">
        <v>84</v>
      </c>
      <c r="C171" s="616"/>
      <c r="D171" s="616"/>
      <c r="E171" s="466"/>
      <c r="F171" s="616"/>
      <c r="G171" s="616"/>
      <c r="H171" s="569"/>
      <c r="I171" s="477"/>
      <c r="J171" s="616"/>
      <c r="K171" s="1668">
        <f>SUM(C171:J171)</f>
        <v>0</v>
      </c>
      <c r="L171" s="569"/>
    </row>
    <row r="172" spans="1:14" ht="12.75" customHeight="1" thickBot="1" x14ac:dyDescent="0.25">
      <c r="A172" s="1665" t="s">
        <v>638</v>
      </c>
      <c r="B172" s="1666" t="s">
        <v>492</v>
      </c>
      <c r="C172" s="616"/>
      <c r="D172" s="616"/>
      <c r="E172" s="1674">
        <f>SUM(E168,E169,E170,E171)</f>
        <v>0</v>
      </c>
      <c r="F172" s="616"/>
      <c r="G172" s="616"/>
      <c r="H172" s="1674">
        <f>SUM(H168,H169,H170,H171)</f>
        <v>4499342</v>
      </c>
      <c r="I172" s="638"/>
      <c r="J172" s="616"/>
      <c r="K172" s="1674">
        <f>SUM(K168,K169,K170,K171)</f>
        <v>4499342</v>
      </c>
      <c r="L172" s="1674">
        <f>SUM(L168,L169,L170,L171)</f>
        <v>3700000</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6" t="s">
        <v>90</v>
      </c>
      <c r="B174" s="1687"/>
      <c r="C174" s="616"/>
      <c r="D174" s="616"/>
      <c r="E174" s="1674">
        <f>SUM(E172,E173)</f>
        <v>0</v>
      </c>
      <c r="F174" s="616"/>
      <c r="G174" s="616"/>
      <c r="H174" s="1674">
        <f>SUM(H160,H172,H173)</f>
        <v>4499342</v>
      </c>
      <c r="I174" s="638"/>
      <c r="J174" s="616"/>
      <c r="K174" s="1674">
        <f>SUM(K160,K172,K173)</f>
        <v>4499342</v>
      </c>
      <c r="L174" s="1674">
        <f>SUM(L160,L172,L173)</f>
        <v>3700000</v>
      </c>
    </row>
    <row r="175" spans="1:14" ht="13.5" thickTop="1" x14ac:dyDescent="0.2">
      <c r="A175" s="2155" t="s">
        <v>996</v>
      </c>
      <c r="B175" s="2156"/>
      <c r="C175" s="616"/>
      <c r="D175" s="616"/>
      <c r="E175" s="616"/>
      <c r="F175" s="616"/>
      <c r="G175" s="616"/>
      <c r="H175" s="618"/>
      <c r="I175" s="616"/>
      <c r="J175" s="616"/>
      <c r="K175" s="1681">
        <f>'Revenues 9-14'!E268-'Expenditures 15-22'!K174</f>
        <v>-755493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2057</v>
      </c>
      <c r="B180" s="614" t="s">
        <v>716</v>
      </c>
      <c r="C180" s="466"/>
      <c r="D180" s="466"/>
      <c r="E180" s="466"/>
      <c r="F180" s="466"/>
      <c r="G180" s="466"/>
      <c r="H180" s="466"/>
      <c r="I180" s="467"/>
      <c r="J180" s="467"/>
      <c r="K180" s="1668">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69361</v>
      </c>
      <c r="D182" s="466">
        <v>21054</v>
      </c>
      <c r="E182" s="466">
        <v>3615387</v>
      </c>
      <c r="F182" s="466">
        <v>3277</v>
      </c>
      <c r="G182" s="466"/>
      <c r="H182" s="466"/>
      <c r="I182" s="467"/>
      <c r="J182" s="467"/>
      <c r="K182" s="1668">
        <f>SUM(C182:J182)</f>
        <v>3709079</v>
      </c>
      <c r="L182" s="466">
        <v>4061685</v>
      </c>
    </row>
    <row r="183" spans="1:14" ht="12.75" customHeight="1" thickBot="1" x14ac:dyDescent="0.25">
      <c r="A183" s="1508" t="s">
        <v>980</v>
      </c>
      <c r="B183" s="677">
        <v>2900</v>
      </c>
      <c r="C183" s="573"/>
      <c r="D183" s="573"/>
      <c r="E183" s="573"/>
      <c r="F183" s="573"/>
      <c r="G183" s="573"/>
      <c r="H183" s="573"/>
      <c r="I183" s="532"/>
      <c r="J183" s="532"/>
      <c r="K183" s="1674">
        <f>SUM(C183:J183)</f>
        <v>0</v>
      </c>
      <c r="L183" s="573"/>
    </row>
    <row r="184" spans="1:14" ht="12.75" customHeight="1" thickTop="1" thickBot="1" x14ac:dyDescent="0.25">
      <c r="A184" s="1688" t="s">
        <v>811</v>
      </c>
      <c r="B184" s="1666" t="s">
        <v>569</v>
      </c>
      <c r="C184" s="1674">
        <f>SUM(C180,C182,C183)</f>
        <v>69361</v>
      </c>
      <c r="D184" s="1674">
        <f t="shared" ref="D184:J184" si="17">SUM(D180,D182,D183)</f>
        <v>21054</v>
      </c>
      <c r="E184" s="1674">
        <f t="shared" si="17"/>
        <v>3615387</v>
      </c>
      <c r="F184" s="1674">
        <f t="shared" si="17"/>
        <v>3277</v>
      </c>
      <c r="G184" s="1674">
        <f t="shared" si="17"/>
        <v>0</v>
      </c>
      <c r="H184" s="1674">
        <f t="shared" si="17"/>
        <v>0</v>
      </c>
      <c r="I184" s="1674">
        <f t="shared" si="17"/>
        <v>0</v>
      </c>
      <c r="J184" s="1674">
        <f t="shared" si="17"/>
        <v>0</v>
      </c>
      <c r="K184" s="1674">
        <f>SUM(K180,K182,K183)</f>
        <v>3709079</v>
      </c>
      <c r="L184" s="1674">
        <f>SUM(L180, L182:L183)</f>
        <v>4061685</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8">
        <f t="shared" ref="K188:K193" si="18">SUM(E188,H188)</f>
        <v>0</v>
      </c>
      <c r="L188" s="466"/>
    </row>
    <row r="189" spans="1:14" x14ac:dyDescent="0.2">
      <c r="A189" s="1503" t="s">
        <v>304</v>
      </c>
      <c r="B189" s="614">
        <v>4120</v>
      </c>
      <c r="C189" s="616"/>
      <c r="D189" s="616"/>
      <c r="E189" s="466"/>
      <c r="F189" s="616"/>
      <c r="G189" s="616"/>
      <c r="H189" s="466"/>
      <c r="I189" s="477"/>
      <c r="J189" s="616"/>
      <c r="K189" s="1668">
        <f t="shared" si="18"/>
        <v>0</v>
      </c>
      <c r="L189" s="466"/>
    </row>
    <row r="190" spans="1:14" x14ac:dyDescent="0.2">
      <c r="A190" s="1503" t="s">
        <v>305</v>
      </c>
      <c r="B190" s="628">
        <v>4130</v>
      </c>
      <c r="C190" s="616"/>
      <c r="D190" s="616"/>
      <c r="E190" s="466"/>
      <c r="F190" s="616"/>
      <c r="G190" s="616"/>
      <c r="H190" s="466"/>
      <c r="I190" s="477"/>
      <c r="J190" s="616"/>
      <c r="K190" s="1668">
        <f t="shared" si="18"/>
        <v>0</v>
      </c>
      <c r="L190" s="466"/>
    </row>
    <row r="191" spans="1:14" x14ac:dyDescent="0.2">
      <c r="A191" s="1503" t="s">
        <v>697</v>
      </c>
      <c r="B191" s="614">
        <v>4140</v>
      </c>
      <c r="C191" s="616"/>
      <c r="D191" s="616"/>
      <c r="E191" s="466"/>
      <c r="F191" s="616"/>
      <c r="G191" s="616"/>
      <c r="H191" s="466"/>
      <c r="I191" s="477"/>
      <c r="J191" s="616"/>
      <c r="K191" s="1668">
        <f t="shared" si="18"/>
        <v>0</v>
      </c>
      <c r="L191" s="466"/>
    </row>
    <row r="192" spans="1:14" x14ac:dyDescent="0.2">
      <c r="A192" s="1503" t="s">
        <v>86</v>
      </c>
      <c r="B192" s="614">
        <v>4170</v>
      </c>
      <c r="C192" s="616"/>
      <c r="D192" s="616"/>
      <c r="E192" s="466"/>
      <c r="F192" s="616"/>
      <c r="G192" s="616"/>
      <c r="H192" s="466"/>
      <c r="I192" s="477"/>
      <c r="J192" s="616"/>
      <c r="K192" s="1668">
        <f t="shared" si="18"/>
        <v>0</v>
      </c>
      <c r="L192" s="466"/>
    </row>
    <row r="193" spans="1:14" x14ac:dyDescent="0.2">
      <c r="A193" s="1507" t="s">
        <v>698</v>
      </c>
      <c r="B193" s="628">
        <v>4190</v>
      </c>
      <c r="C193" s="616"/>
      <c r="D193" s="616"/>
      <c r="E193" s="466"/>
      <c r="F193" s="616"/>
      <c r="G193" s="616"/>
      <c r="H193" s="466"/>
      <c r="I193" s="477"/>
      <c r="J193" s="616"/>
      <c r="K193" s="1668">
        <f t="shared" si="18"/>
        <v>0</v>
      </c>
      <c r="L193" s="466"/>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8">
        <f>SUM(H199)</f>
        <v>0</v>
      </c>
      <c r="L199" s="466"/>
    </row>
    <row r="200" spans="1:14" x14ac:dyDescent="0.2">
      <c r="A200" s="1503" t="s">
        <v>88</v>
      </c>
      <c r="B200" s="614">
        <v>5120</v>
      </c>
      <c r="C200" s="616"/>
      <c r="D200" s="616"/>
      <c r="E200" s="616"/>
      <c r="F200" s="616"/>
      <c r="G200" s="616"/>
      <c r="H200" s="466"/>
      <c r="I200" s="616"/>
      <c r="J200" s="616"/>
      <c r="K200" s="1668">
        <f>SUM(H200)</f>
        <v>0</v>
      </c>
      <c r="L200" s="466"/>
    </row>
    <row r="201" spans="1:14" ht="12.75" customHeight="1" x14ac:dyDescent="0.2">
      <c r="A201" s="1503" t="s">
        <v>1170</v>
      </c>
      <c r="B201" s="628" t="s">
        <v>617</v>
      </c>
      <c r="C201" s="616"/>
      <c r="D201" s="616"/>
      <c r="E201" s="616"/>
      <c r="F201" s="616"/>
      <c r="G201" s="616"/>
      <c r="H201" s="466"/>
      <c r="I201" s="616"/>
      <c r="J201" s="616"/>
      <c r="K201" s="1668">
        <f>SUM(H201)</f>
        <v>0</v>
      </c>
      <c r="L201" s="466"/>
    </row>
    <row r="202" spans="1:14" x14ac:dyDescent="0.2">
      <c r="A202" s="1503" t="s">
        <v>89</v>
      </c>
      <c r="B202" s="614" t="s">
        <v>589</v>
      </c>
      <c r="C202" s="616"/>
      <c r="D202" s="616"/>
      <c r="E202" s="616"/>
      <c r="F202" s="616"/>
      <c r="G202" s="616"/>
      <c r="H202" s="466"/>
      <c r="I202" s="616"/>
      <c r="J202" s="616"/>
      <c r="K202" s="1668">
        <f>SUM(H202)</f>
        <v>0</v>
      </c>
      <c r="L202" s="466"/>
    </row>
    <row r="203" spans="1:14" x14ac:dyDescent="0.2">
      <c r="A203" s="1515" t="s">
        <v>619</v>
      </c>
      <c r="B203" s="614" t="s">
        <v>618</v>
      </c>
      <c r="C203" s="616"/>
      <c r="D203" s="616"/>
      <c r="E203" s="616"/>
      <c r="F203" s="616"/>
      <c r="G203" s="616"/>
      <c r="H203" s="471"/>
      <c r="I203" s="616"/>
      <c r="J203" s="616"/>
      <c r="K203" s="1668">
        <f>SUM(H203)</f>
        <v>0</v>
      </c>
      <c r="L203" s="471"/>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row>
    <row r="206" spans="1:14" ht="30" customHeight="1" x14ac:dyDescent="0.2">
      <c r="A206" s="681" t="s">
        <v>1671</v>
      </c>
      <c r="B206" s="672" t="s">
        <v>31</v>
      </c>
      <c r="C206" s="616"/>
      <c r="D206" s="616"/>
      <c r="E206" s="616"/>
      <c r="F206" s="616"/>
      <c r="G206" s="616"/>
      <c r="H206" s="466"/>
      <c r="I206" s="616"/>
      <c r="J206" s="616"/>
      <c r="K206" s="1668">
        <f>SUM(H206)</f>
        <v>0</v>
      </c>
      <c r="L206" s="466"/>
    </row>
    <row r="207" spans="1:14" ht="15.75" customHeight="1" x14ac:dyDescent="0.2">
      <c r="A207" s="621" t="s">
        <v>766</v>
      </c>
      <c r="B207" s="672" t="s">
        <v>84</v>
      </c>
      <c r="C207" s="616"/>
      <c r="D207" s="616"/>
      <c r="E207" s="616"/>
      <c r="F207" s="616"/>
      <c r="G207" s="616"/>
      <c r="H207" s="467"/>
      <c r="I207" s="616"/>
      <c r="J207" s="616"/>
      <c r="K207" s="1668">
        <f>H207</f>
        <v>0</v>
      </c>
      <c r="L207" s="466"/>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89" t="s">
        <v>277</v>
      </c>
      <c r="B210" s="1690"/>
      <c r="C210" s="1667">
        <f>SUM(C184,C185)</f>
        <v>69361</v>
      </c>
      <c r="D210" s="1667">
        <f>SUM(D184,D185)</f>
        <v>21054</v>
      </c>
      <c r="E210" s="1667">
        <f>SUM(E184,E185,E196)</f>
        <v>3615387</v>
      </c>
      <c r="F210" s="1667">
        <f>SUM(F184,F185)</f>
        <v>3277</v>
      </c>
      <c r="G210" s="1667">
        <f>SUM(G184,G185)</f>
        <v>0</v>
      </c>
      <c r="H210" s="1667">
        <f>SUM(H184,H185,H196,H208,H209)</f>
        <v>0</v>
      </c>
      <c r="I210" s="1667">
        <f>SUM(I184,I185)</f>
        <v>0</v>
      </c>
      <c r="J210" s="1667">
        <f>SUM(J184,J185)</f>
        <v>0</v>
      </c>
      <c r="K210" s="1668">
        <f>SUM(K184,K185,K196,K208,K209)</f>
        <v>3709079</v>
      </c>
      <c r="L210" s="1667">
        <f>SUM(L184,L185,L196,L208,L209)</f>
        <v>4061685</v>
      </c>
    </row>
    <row r="211" spans="1:14" ht="13.5" thickTop="1" x14ac:dyDescent="0.2">
      <c r="A211" s="2155" t="s">
        <v>996</v>
      </c>
      <c r="B211" s="2156"/>
      <c r="C211" s="618"/>
      <c r="D211" s="618"/>
      <c r="E211" s="618"/>
      <c r="F211" s="618"/>
      <c r="G211" s="618"/>
      <c r="H211" s="618"/>
      <c r="I211" s="616"/>
      <c r="J211" s="616"/>
      <c r="K211" s="1681">
        <f>'Revenues 9-14'!F268-'Expenditures 15-22'!K210</f>
        <v>1179838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422826</v>
      </c>
      <c r="E215" s="616"/>
      <c r="F215" s="616"/>
      <c r="G215" s="616"/>
      <c r="H215" s="616"/>
      <c r="I215" s="616"/>
      <c r="J215" s="616"/>
      <c r="K215" s="1668">
        <f>D215</f>
        <v>422826</v>
      </c>
      <c r="L215" s="466">
        <v>1941956</v>
      </c>
    </row>
    <row r="216" spans="1:14" x14ac:dyDescent="0.2">
      <c r="A216" s="1503" t="s">
        <v>163</v>
      </c>
      <c r="B216" s="614" t="s">
        <v>967</v>
      </c>
      <c r="C216" s="616"/>
      <c r="D216" s="467"/>
      <c r="E216" s="616"/>
      <c r="F216" s="616"/>
      <c r="G216" s="616"/>
      <c r="H216" s="616"/>
      <c r="I216" s="616"/>
      <c r="J216" s="616"/>
      <c r="K216" s="1668">
        <f t="shared" ref="K216:K228" si="19">D216</f>
        <v>0</v>
      </c>
      <c r="L216" s="466"/>
    </row>
    <row r="217" spans="1:14" x14ac:dyDescent="0.2">
      <c r="A217" s="1503" t="s">
        <v>164</v>
      </c>
      <c r="B217" s="614">
        <v>1200</v>
      </c>
      <c r="C217" s="616"/>
      <c r="D217" s="466">
        <v>325680</v>
      </c>
      <c r="E217" s="616"/>
      <c r="F217" s="616"/>
      <c r="G217" s="616"/>
      <c r="H217" s="616"/>
      <c r="I217" s="616"/>
      <c r="J217" s="616"/>
      <c r="K217" s="1668">
        <f t="shared" si="19"/>
        <v>325680</v>
      </c>
      <c r="L217" s="466"/>
    </row>
    <row r="218" spans="1:14" x14ac:dyDescent="0.2">
      <c r="A218" s="1503" t="s">
        <v>278</v>
      </c>
      <c r="B218" s="614" t="s">
        <v>968</v>
      </c>
      <c r="C218" s="616"/>
      <c r="D218" s="467"/>
      <c r="E218" s="616"/>
      <c r="F218" s="616"/>
      <c r="G218" s="616"/>
      <c r="H218" s="616"/>
      <c r="I218" s="616"/>
      <c r="J218" s="616"/>
      <c r="K218" s="1668">
        <f t="shared" si="19"/>
        <v>0</v>
      </c>
      <c r="L218" s="466"/>
    </row>
    <row r="219" spans="1:14" x14ac:dyDescent="0.2">
      <c r="A219" s="1503" t="s">
        <v>279</v>
      </c>
      <c r="B219" s="614">
        <v>1250</v>
      </c>
      <c r="C219" s="616"/>
      <c r="D219" s="466"/>
      <c r="E219" s="616"/>
      <c r="F219" s="616"/>
      <c r="G219" s="616"/>
      <c r="H219" s="616"/>
      <c r="I219" s="616"/>
      <c r="J219" s="616"/>
      <c r="K219" s="1668">
        <f t="shared" si="19"/>
        <v>0</v>
      </c>
      <c r="L219" s="466"/>
    </row>
    <row r="220" spans="1:14" x14ac:dyDescent="0.2">
      <c r="A220" s="1503" t="s">
        <v>280</v>
      </c>
      <c r="B220" s="614" t="s">
        <v>161</v>
      </c>
      <c r="C220" s="616"/>
      <c r="D220" s="467"/>
      <c r="E220" s="616"/>
      <c r="F220" s="616"/>
      <c r="G220" s="616"/>
      <c r="H220" s="616"/>
      <c r="I220" s="616"/>
      <c r="J220" s="616"/>
      <c r="K220" s="1668">
        <f t="shared" si="19"/>
        <v>0</v>
      </c>
      <c r="L220" s="466"/>
    </row>
    <row r="221" spans="1:14" x14ac:dyDescent="0.2">
      <c r="A221" s="1503" t="s">
        <v>962</v>
      </c>
      <c r="B221" s="614">
        <v>1300</v>
      </c>
      <c r="C221" s="616"/>
      <c r="D221" s="466"/>
      <c r="E221" s="616"/>
      <c r="F221" s="616"/>
      <c r="G221" s="616"/>
      <c r="H221" s="616"/>
      <c r="I221" s="616"/>
      <c r="J221" s="616"/>
      <c r="K221" s="1668">
        <f t="shared" si="19"/>
        <v>0</v>
      </c>
      <c r="L221" s="466"/>
    </row>
    <row r="222" spans="1:14" x14ac:dyDescent="0.2">
      <c r="A222" s="1503" t="s">
        <v>723</v>
      </c>
      <c r="B222" s="614">
        <v>1400</v>
      </c>
      <c r="C222" s="616"/>
      <c r="D222" s="466"/>
      <c r="E222" s="616"/>
      <c r="F222" s="616"/>
      <c r="G222" s="616"/>
      <c r="H222" s="616"/>
      <c r="I222" s="616"/>
      <c r="J222" s="616"/>
      <c r="K222" s="1668">
        <f t="shared" si="19"/>
        <v>0</v>
      </c>
      <c r="L222" s="466"/>
    </row>
    <row r="223" spans="1:14" x14ac:dyDescent="0.2">
      <c r="A223" s="1503" t="s">
        <v>963</v>
      </c>
      <c r="B223" s="614">
        <v>1500</v>
      </c>
      <c r="C223" s="616"/>
      <c r="D223" s="466">
        <v>1</v>
      </c>
      <c r="E223" s="616"/>
      <c r="F223" s="616"/>
      <c r="G223" s="616"/>
      <c r="H223" s="616"/>
      <c r="I223" s="616"/>
      <c r="J223" s="616"/>
      <c r="K223" s="1668">
        <f t="shared" si="19"/>
        <v>1</v>
      </c>
      <c r="L223" s="466"/>
    </row>
    <row r="224" spans="1:14" x14ac:dyDescent="0.2">
      <c r="A224" s="1503" t="s">
        <v>964</v>
      </c>
      <c r="B224" s="614">
        <v>1600</v>
      </c>
      <c r="C224" s="616"/>
      <c r="D224" s="466">
        <v>11648</v>
      </c>
      <c r="E224" s="616"/>
      <c r="F224" s="616"/>
      <c r="G224" s="616"/>
      <c r="H224" s="616"/>
      <c r="I224" s="616"/>
      <c r="J224" s="616"/>
      <c r="K224" s="1668">
        <f t="shared" si="19"/>
        <v>11648</v>
      </c>
      <c r="L224" s="466"/>
    </row>
    <row r="225" spans="1:12" x14ac:dyDescent="0.2">
      <c r="A225" s="1503" t="s">
        <v>987</v>
      </c>
      <c r="B225" s="614">
        <v>1650</v>
      </c>
      <c r="C225" s="616"/>
      <c r="D225" s="466">
        <v>10806</v>
      </c>
      <c r="E225" s="616"/>
      <c r="F225" s="616"/>
      <c r="G225" s="616"/>
      <c r="H225" s="616"/>
      <c r="I225" s="616"/>
      <c r="J225" s="616"/>
      <c r="K225" s="1668">
        <f t="shared" si="19"/>
        <v>10806</v>
      </c>
      <c r="L225" s="466"/>
    </row>
    <row r="226" spans="1:12" x14ac:dyDescent="0.2">
      <c r="A226" s="1503" t="s">
        <v>724</v>
      </c>
      <c r="B226" s="614" t="s">
        <v>162</v>
      </c>
      <c r="C226" s="616"/>
      <c r="D226" s="467"/>
      <c r="E226" s="616"/>
      <c r="F226" s="616"/>
      <c r="G226" s="616"/>
      <c r="H226" s="616"/>
      <c r="I226" s="616"/>
      <c r="J226" s="616"/>
      <c r="K226" s="1668">
        <f t="shared" si="19"/>
        <v>0</v>
      </c>
      <c r="L226" s="466"/>
    </row>
    <row r="227" spans="1:12" x14ac:dyDescent="0.2">
      <c r="A227" s="1503" t="s">
        <v>1087</v>
      </c>
      <c r="B227" s="614">
        <v>1800</v>
      </c>
      <c r="C227" s="616"/>
      <c r="D227" s="466">
        <v>81323</v>
      </c>
      <c r="E227" s="616"/>
      <c r="F227" s="616"/>
      <c r="G227" s="616"/>
      <c r="H227" s="616"/>
      <c r="I227" s="616"/>
      <c r="J227" s="616"/>
      <c r="K227" s="1668">
        <f t="shared" si="19"/>
        <v>81323</v>
      </c>
      <c r="L227" s="466"/>
    </row>
    <row r="228" spans="1:12" x14ac:dyDescent="0.2">
      <c r="A228" s="1503" t="s">
        <v>1088</v>
      </c>
      <c r="B228" s="614">
        <v>1900</v>
      </c>
      <c r="C228" s="616"/>
      <c r="D228" s="466"/>
      <c r="E228" s="616"/>
      <c r="F228" s="616"/>
      <c r="G228" s="616"/>
      <c r="H228" s="616"/>
      <c r="I228" s="616"/>
      <c r="J228" s="616"/>
      <c r="K228" s="1668">
        <f t="shared" si="19"/>
        <v>0</v>
      </c>
      <c r="L228" s="466"/>
    </row>
    <row r="229" spans="1:12" ht="12.75" customHeight="1" thickBot="1" x14ac:dyDescent="0.25">
      <c r="A229" s="1665" t="s">
        <v>715</v>
      </c>
      <c r="B229" s="1672" t="s">
        <v>570</v>
      </c>
      <c r="C229" s="616"/>
      <c r="D229" s="1667">
        <f>SUM(D215:D228)</f>
        <v>852284</v>
      </c>
      <c r="E229" s="616"/>
      <c r="F229" s="616"/>
      <c r="G229" s="616"/>
      <c r="H229" s="616"/>
      <c r="I229" s="616"/>
      <c r="J229" s="616"/>
      <c r="K229" s="1667">
        <f>SUM(K215:K228)</f>
        <v>852284</v>
      </c>
      <c r="L229" s="1667">
        <f>SUM(L215:L228)</f>
        <v>1941956</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25090</v>
      </c>
      <c r="E232" s="616"/>
      <c r="F232" s="616"/>
      <c r="G232" s="616"/>
      <c r="H232" s="616"/>
      <c r="I232" s="616"/>
      <c r="J232" s="616"/>
      <c r="K232" s="1668">
        <f t="shared" ref="K232:K237" si="20">D232</f>
        <v>25090</v>
      </c>
      <c r="L232" s="466"/>
    </row>
    <row r="233" spans="1:12" x14ac:dyDescent="0.2">
      <c r="A233" s="1503" t="s">
        <v>1090</v>
      </c>
      <c r="B233" s="614">
        <v>2120</v>
      </c>
      <c r="C233" s="616"/>
      <c r="D233" s="466"/>
      <c r="E233" s="616"/>
      <c r="F233" s="616"/>
      <c r="G233" s="616"/>
      <c r="H233" s="616"/>
      <c r="I233" s="616"/>
      <c r="J233" s="616"/>
      <c r="K233" s="1668">
        <f t="shared" si="20"/>
        <v>0</v>
      </c>
      <c r="L233" s="466"/>
    </row>
    <row r="234" spans="1:12" x14ac:dyDescent="0.2">
      <c r="A234" s="1503" t="s">
        <v>198</v>
      </c>
      <c r="B234" s="614">
        <v>2130</v>
      </c>
      <c r="C234" s="616"/>
      <c r="D234" s="466">
        <v>71750</v>
      </c>
      <c r="E234" s="616"/>
      <c r="F234" s="616"/>
      <c r="G234" s="616"/>
      <c r="H234" s="616"/>
      <c r="I234" s="616"/>
      <c r="J234" s="616"/>
      <c r="K234" s="1668">
        <f t="shared" si="20"/>
        <v>71750</v>
      </c>
      <c r="L234" s="466"/>
    </row>
    <row r="235" spans="1:12" x14ac:dyDescent="0.2">
      <c r="A235" s="1503" t="s">
        <v>199</v>
      </c>
      <c r="B235" s="614">
        <v>2140</v>
      </c>
      <c r="C235" s="616"/>
      <c r="D235" s="466">
        <v>9547</v>
      </c>
      <c r="E235" s="616"/>
      <c r="F235" s="616"/>
      <c r="G235" s="616"/>
      <c r="H235" s="616"/>
      <c r="I235" s="616"/>
      <c r="J235" s="616"/>
      <c r="K235" s="1668">
        <f t="shared" si="20"/>
        <v>9547</v>
      </c>
      <c r="L235" s="466"/>
    </row>
    <row r="236" spans="1:12" x14ac:dyDescent="0.2">
      <c r="A236" s="1503" t="s">
        <v>200</v>
      </c>
      <c r="B236" s="614">
        <v>2150</v>
      </c>
      <c r="C236" s="616"/>
      <c r="D236" s="466">
        <v>22579</v>
      </c>
      <c r="E236" s="616"/>
      <c r="F236" s="616"/>
      <c r="G236" s="616"/>
      <c r="H236" s="616"/>
      <c r="I236" s="616"/>
      <c r="J236" s="616"/>
      <c r="K236" s="1668">
        <f t="shared" si="20"/>
        <v>22579</v>
      </c>
      <c r="L236" s="466"/>
    </row>
    <row r="237" spans="1:12" x14ac:dyDescent="0.2">
      <c r="A237" s="1503" t="s">
        <v>165</v>
      </c>
      <c r="B237" s="614">
        <v>2190</v>
      </c>
      <c r="C237" s="616"/>
      <c r="D237" s="466"/>
      <c r="E237" s="616"/>
      <c r="F237" s="616"/>
      <c r="G237" s="616"/>
      <c r="H237" s="616"/>
      <c r="I237" s="616"/>
      <c r="J237" s="616"/>
      <c r="K237" s="1668">
        <f t="shared" si="20"/>
        <v>0</v>
      </c>
      <c r="L237" s="466"/>
    </row>
    <row r="238" spans="1:12" ht="12.75" customHeight="1" thickBot="1" x14ac:dyDescent="0.25">
      <c r="A238" s="1665" t="s">
        <v>560</v>
      </c>
      <c r="B238" s="1672" t="s">
        <v>716</v>
      </c>
      <c r="C238" s="616"/>
      <c r="D238" s="1667">
        <f>SUM(D232:D237)</f>
        <v>128966</v>
      </c>
      <c r="E238" s="616"/>
      <c r="F238" s="616"/>
      <c r="G238" s="616"/>
      <c r="H238" s="616"/>
      <c r="I238" s="616"/>
      <c r="J238" s="616"/>
      <c r="K238" s="1667">
        <f>SUM(K232:K237)</f>
        <v>128966</v>
      </c>
      <c r="L238" s="1667">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22287</v>
      </c>
      <c r="E240" s="616"/>
      <c r="F240" s="616"/>
      <c r="G240" s="616"/>
      <c r="H240" s="616"/>
      <c r="I240" s="616"/>
      <c r="J240" s="616"/>
      <c r="K240" s="1669">
        <f>D240</f>
        <v>22287</v>
      </c>
      <c r="L240" s="481"/>
    </row>
    <row r="241" spans="1:12" x14ac:dyDescent="0.2">
      <c r="A241" s="1503" t="s">
        <v>815</v>
      </c>
      <c r="B241" s="614">
        <v>2220</v>
      </c>
      <c r="C241" s="616"/>
      <c r="D241" s="466">
        <v>132041</v>
      </c>
      <c r="E241" s="616"/>
      <c r="F241" s="616"/>
      <c r="G241" s="616"/>
      <c r="H241" s="616"/>
      <c r="I241" s="616"/>
      <c r="J241" s="616"/>
      <c r="K241" s="1669">
        <f>D241</f>
        <v>132041</v>
      </c>
      <c r="L241" s="466"/>
    </row>
    <row r="242" spans="1:12" x14ac:dyDescent="0.2">
      <c r="A242" s="1503" t="s">
        <v>816</v>
      </c>
      <c r="B242" s="614">
        <v>2230</v>
      </c>
      <c r="C242" s="616"/>
      <c r="D242" s="466"/>
      <c r="E242" s="616"/>
      <c r="F242" s="616"/>
      <c r="G242" s="616"/>
      <c r="H242" s="616"/>
      <c r="I242" s="616"/>
      <c r="J242" s="616"/>
      <c r="K242" s="1669">
        <f>D242</f>
        <v>0</v>
      </c>
      <c r="L242" s="466"/>
    </row>
    <row r="243" spans="1:12" ht="12.75" customHeight="1" thickBot="1" x14ac:dyDescent="0.25">
      <c r="A243" s="1691" t="s">
        <v>561</v>
      </c>
      <c r="B243" s="1692">
        <v>2200</v>
      </c>
      <c r="C243" s="616"/>
      <c r="D243" s="1667">
        <f>SUM(D240:D242)</f>
        <v>154328</v>
      </c>
      <c r="E243" s="616"/>
      <c r="F243" s="616"/>
      <c r="G243" s="616"/>
      <c r="H243" s="616"/>
      <c r="I243" s="616"/>
      <c r="J243" s="616"/>
      <c r="K243" s="1667">
        <f>SUM(K240:K242)</f>
        <v>154328</v>
      </c>
      <c r="L243" s="1667">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4064</v>
      </c>
      <c r="E245" s="616"/>
      <c r="F245" s="616"/>
      <c r="G245" s="616"/>
      <c r="H245" s="616"/>
      <c r="I245" s="616"/>
      <c r="J245" s="616"/>
      <c r="K245" s="1669">
        <f>D245</f>
        <v>4064</v>
      </c>
      <c r="L245" s="481"/>
    </row>
    <row r="246" spans="1:12" x14ac:dyDescent="0.2">
      <c r="A246" s="1503" t="s">
        <v>818</v>
      </c>
      <c r="B246" s="614">
        <v>2320</v>
      </c>
      <c r="C246" s="616"/>
      <c r="D246" s="466">
        <v>29443</v>
      </c>
      <c r="E246" s="616"/>
      <c r="F246" s="616"/>
      <c r="G246" s="616"/>
      <c r="H246" s="616"/>
      <c r="I246" s="616"/>
      <c r="J246" s="616"/>
      <c r="K246" s="1669">
        <f t="shared" ref="K246:K256" si="21">D246</f>
        <v>29443</v>
      </c>
      <c r="L246" s="466"/>
    </row>
    <row r="247" spans="1:12" x14ac:dyDescent="0.2">
      <c r="A247" s="1503" t="s">
        <v>819</v>
      </c>
      <c r="B247" s="614">
        <v>2330</v>
      </c>
      <c r="C247" s="616"/>
      <c r="D247" s="466">
        <v>51479</v>
      </c>
      <c r="E247" s="616"/>
      <c r="F247" s="616"/>
      <c r="G247" s="616"/>
      <c r="H247" s="616"/>
      <c r="I247" s="616"/>
      <c r="J247" s="616"/>
      <c r="K247" s="1669">
        <f t="shared" si="21"/>
        <v>51479</v>
      </c>
      <c r="L247" s="466"/>
    </row>
    <row r="248" spans="1:12" x14ac:dyDescent="0.2">
      <c r="A248" s="1504" t="s">
        <v>299</v>
      </c>
      <c r="B248" s="602" t="s">
        <v>281</v>
      </c>
      <c r="C248" s="616"/>
      <c r="D248" s="474"/>
      <c r="E248" s="616"/>
      <c r="F248" s="616"/>
      <c r="G248" s="616"/>
      <c r="H248" s="616"/>
      <c r="I248" s="616"/>
      <c r="J248" s="616"/>
      <c r="K248" s="1669">
        <f t="shared" si="21"/>
        <v>0</v>
      </c>
      <c r="L248" s="466"/>
    </row>
    <row r="249" spans="1:12" x14ac:dyDescent="0.2">
      <c r="A249" s="1505" t="s">
        <v>1802</v>
      </c>
      <c r="B249" s="683" t="s">
        <v>282</v>
      </c>
      <c r="C249" s="616"/>
      <c r="D249" s="474"/>
      <c r="E249" s="616"/>
      <c r="F249" s="616"/>
      <c r="G249" s="616"/>
      <c r="H249" s="616"/>
      <c r="I249" s="616"/>
      <c r="J249" s="616"/>
      <c r="K249" s="1669">
        <f t="shared" si="21"/>
        <v>0</v>
      </c>
      <c r="L249" s="466"/>
    </row>
    <row r="250" spans="1:12" x14ac:dyDescent="0.2">
      <c r="A250" s="1504" t="s">
        <v>1803</v>
      </c>
      <c r="B250" s="602" t="s">
        <v>283</v>
      </c>
      <c r="C250" s="616"/>
      <c r="D250" s="474"/>
      <c r="E250" s="616"/>
      <c r="F250" s="616"/>
      <c r="G250" s="616"/>
      <c r="H250" s="616"/>
      <c r="I250" s="616"/>
      <c r="J250" s="616"/>
      <c r="K250" s="1669">
        <f t="shared" si="21"/>
        <v>0</v>
      </c>
      <c r="L250" s="466"/>
    </row>
    <row r="251" spans="1:12" x14ac:dyDescent="0.2">
      <c r="A251" s="1504" t="s">
        <v>238</v>
      </c>
      <c r="B251" s="602" t="s">
        <v>284</v>
      </c>
      <c r="C251" s="616"/>
      <c r="D251" s="474"/>
      <c r="E251" s="616"/>
      <c r="F251" s="616"/>
      <c r="G251" s="616"/>
      <c r="H251" s="616"/>
      <c r="I251" s="616"/>
      <c r="J251" s="616"/>
      <c r="K251" s="1669">
        <f t="shared" si="21"/>
        <v>0</v>
      </c>
      <c r="L251" s="466"/>
    </row>
    <row r="252" spans="1:12" x14ac:dyDescent="0.2">
      <c r="A252" s="1504" t="s">
        <v>702</v>
      </c>
      <c r="B252" s="602" t="s">
        <v>285</v>
      </c>
      <c r="C252" s="616"/>
      <c r="D252" s="474"/>
      <c r="E252" s="616"/>
      <c r="F252" s="616"/>
      <c r="G252" s="616"/>
      <c r="H252" s="616"/>
      <c r="I252" s="616"/>
      <c r="J252" s="616"/>
      <c r="K252" s="1669">
        <f t="shared" si="21"/>
        <v>0</v>
      </c>
      <c r="L252" s="466"/>
    </row>
    <row r="253" spans="1:12" x14ac:dyDescent="0.2">
      <c r="A253" s="1504" t="s">
        <v>239</v>
      </c>
      <c r="B253" s="602" t="s">
        <v>286</v>
      </c>
      <c r="C253" s="616"/>
      <c r="D253" s="474"/>
      <c r="E253" s="616"/>
      <c r="F253" s="616"/>
      <c r="G253" s="616"/>
      <c r="H253" s="616"/>
      <c r="I253" s="616"/>
      <c r="J253" s="616"/>
      <c r="K253" s="1669">
        <f t="shared" si="21"/>
        <v>0</v>
      </c>
      <c r="L253" s="466"/>
    </row>
    <row r="254" spans="1:12" ht="22.5" x14ac:dyDescent="0.2">
      <c r="A254" s="1504" t="s">
        <v>1029</v>
      </c>
      <c r="B254" s="683" t="s">
        <v>287</v>
      </c>
      <c r="C254" s="616"/>
      <c r="D254" s="474"/>
      <c r="E254" s="616"/>
      <c r="F254" s="616"/>
      <c r="G254" s="616"/>
      <c r="H254" s="616"/>
      <c r="I254" s="616"/>
      <c r="J254" s="616"/>
      <c r="K254" s="1669">
        <f t="shared" si="21"/>
        <v>0</v>
      </c>
      <c r="L254" s="466"/>
    </row>
    <row r="255" spans="1:12" x14ac:dyDescent="0.2">
      <c r="A255" s="1504" t="s">
        <v>1030</v>
      </c>
      <c r="B255" s="602" t="s">
        <v>288</v>
      </c>
      <c r="C255" s="616"/>
      <c r="D255" s="474"/>
      <c r="E255" s="616"/>
      <c r="F255" s="616"/>
      <c r="G255" s="616"/>
      <c r="H255" s="616"/>
      <c r="I255" s="616"/>
      <c r="J255" s="616"/>
      <c r="K255" s="1669">
        <f t="shared" si="21"/>
        <v>0</v>
      </c>
      <c r="L255" s="466"/>
    </row>
    <row r="256" spans="1:12" x14ac:dyDescent="0.2">
      <c r="A256" s="1504" t="s">
        <v>971</v>
      </c>
      <c r="B256" s="614" t="s">
        <v>289</v>
      </c>
      <c r="C256" s="616"/>
      <c r="D256" s="474"/>
      <c r="E256" s="616"/>
      <c r="F256" s="616"/>
      <c r="G256" s="616"/>
      <c r="H256" s="616"/>
      <c r="I256" s="616"/>
      <c r="J256" s="616"/>
      <c r="K256" s="1669">
        <f t="shared" si="21"/>
        <v>0</v>
      </c>
      <c r="L256" s="466"/>
    </row>
    <row r="257" spans="1:14" ht="12.75" customHeight="1" thickBot="1" x14ac:dyDescent="0.25">
      <c r="A257" s="1665" t="s">
        <v>717</v>
      </c>
      <c r="B257" s="1693">
        <v>2300</v>
      </c>
      <c r="C257" s="616"/>
      <c r="D257" s="1667">
        <f>SUM(D245:D256)</f>
        <v>84986</v>
      </c>
      <c r="E257" s="616"/>
      <c r="F257" s="616"/>
      <c r="G257" s="616"/>
      <c r="H257" s="616"/>
      <c r="I257" s="616"/>
      <c r="J257" s="616"/>
      <c r="K257" s="1667">
        <f>SUM(K245:K256)</f>
        <v>84986</v>
      </c>
      <c r="L257" s="1667">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61984</v>
      </c>
      <c r="E259" s="616"/>
      <c r="F259" s="616"/>
      <c r="G259" s="616"/>
      <c r="H259" s="616"/>
      <c r="I259" s="616"/>
      <c r="J259" s="616"/>
      <c r="K259" s="1669">
        <f>D259</f>
        <v>61984</v>
      </c>
      <c r="L259" s="481"/>
    </row>
    <row r="260" spans="1:14" s="597" customFormat="1" x14ac:dyDescent="0.2">
      <c r="A260" s="1521" t="s">
        <v>1801</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61984</v>
      </c>
      <c r="E261" s="616"/>
      <c r="F261" s="616"/>
      <c r="G261" s="616"/>
      <c r="H261" s="616"/>
      <c r="I261" s="616"/>
      <c r="J261" s="616"/>
      <c r="K261" s="1667">
        <f>SUM(K259:K260)</f>
        <v>61984</v>
      </c>
      <c r="L261" s="1667">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18631</v>
      </c>
      <c r="E263" s="616"/>
      <c r="F263" s="616"/>
      <c r="G263" s="616"/>
      <c r="H263" s="616"/>
      <c r="I263" s="616"/>
      <c r="J263" s="616"/>
      <c r="K263" s="1669">
        <f>D263</f>
        <v>18631</v>
      </c>
      <c r="L263" s="481"/>
    </row>
    <row r="264" spans="1:14" x14ac:dyDescent="0.2">
      <c r="A264" s="1503" t="s">
        <v>463</v>
      </c>
      <c r="B264" s="685">
        <v>2520</v>
      </c>
      <c r="C264" s="616"/>
      <c r="D264" s="466">
        <v>38967</v>
      </c>
      <c r="E264" s="616"/>
      <c r="F264" s="616"/>
      <c r="G264" s="616"/>
      <c r="H264" s="616"/>
      <c r="I264" s="616"/>
      <c r="J264" s="616"/>
      <c r="K264" s="1669">
        <f t="shared" ref="K264:K269" si="22">D264</f>
        <v>38967</v>
      </c>
      <c r="L264" s="466"/>
    </row>
    <row r="265" spans="1:14" x14ac:dyDescent="0.2">
      <c r="A265" s="1503" t="s">
        <v>4</v>
      </c>
      <c r="B265" s="614">
        <v>2530</v>
      </c>
      <c r="C265" s="616"/>
      <c r="D265" s="466"/>
      <c r="E265" s="616"/>
      <c r="F265" s="616"/>
      <c r="G265" s="616"/>
      <c r="H265" s="616"/>
      <c r="I265" s="616"/>
      <c r="J265" s="616"/>
      <c r="K265" s="1669">
        <f t="shared" si="22"/>
        <v>0</v>
      </c>
      <c r="L265" s="466"/>
    </row>
    <row r="266" spans="1:14" x14ac:dyDescent="0.2">
      <c r="A266" s="1503" t="s">
        <v>197</v>
      </c>
      <c r="B266" s="614">
        <v>2540</v>
      </c>
      <c r="C266" s="616"/>
      <c r="D266" s="466">
        <v>302206</v>
      </c>
      <c r="E266" s="616"/>
      <c r="F266" s="616"/>
      <c r="G266" s="616"/>
      <c r="H266" s="616"/>
      <c r="I266" s="616"/>
      <c r="J266" s="616"/>
      <c r="K266" s="1669">
        <f t="shared" si="22"/>
        <v>302206</v>
      </c>
      <c r="L266" s="466"/>
    </row>
    <row r="267" spans="1:14" x14ac:dyDescent="0.2">
      <c r="A267" s="1503" t="s">
        <v>953</v>
      </c>
      <c r="B267" s="614">
        <v>2550</v>
      </c>
      <c r="C267" s="616"/>
      <c r="D267" s="466">
        <v>11460</v>
      </c>
      <c r="E267" s="616"/>
      <c r="F267" s="616"/>
      <c r="G267" s="616"/>
      <c r="H267" s="616"/>
      <c r="I267" s="616"/>
      <c r="J267" s="616"/>
      <c r="K267" s="1669">
        <f t="shared" si="22"/>
        <v>11460</v>
      </c>
      <c r="L267" s="466"/>
    </row>
    <row r="268" spans="1:14" x14ac:dyDescent="0.2">
      <c r="A268" s="1503" t="s">
        <v>100</v>
      </c>
      <c r="B268" s="614">
        <v>2560</v>
      </c>
      <c r="C268" s="616"/>
      <c r="D268" s="466">
        <v>96275</v>
      </c>
      <c r="E268" s="616"/>
      <c r="F268" s="616"/>
      <c r="G268" s="616"/>
      <c r="H268" s="616"/>
      <c r="I268" s="616"/>
      <c r="J268" s="616"/>
      <c r="K268" s="1669">
        <f t="shared" si="22"/>
        <v>96275</v>
      </c>
      <c r="L268" s="466"/>
    </row>
    <row r="269" spans="1:14" x14ac:dyDescent="0.2">
      <c r="A269" s="1503" t="s">
        <v>101</v>
      </c>
      <c r="B269" s="614">
        <v>2570</v>
      </c>
      <c r="C269" s="616"/>
      <c r="D269" s="466"/>
      <c r="E269" s="616"/>
      <c r="F269" s="616"/>
      <c r="G269" s="616"/>
      <c r="H269" s="616"/>
      <c r="I269" s="616"/>
      <c r="J269" s="616"/>
      <c r="K269" s="1669">
        <f t="shared" si="22"/>
        <v>0</v>
      </c>
      <c r="L269" s="466"/>
    </row>
    <row r="270" spans="1:14" ht="12.75" customHeight="1" thickBot="1" x14ac:dyDescent="0.25">
      <c r="A270" s="1665" t="s">
        <v>719</v>
      </c>
      <c r="B270" s="1672" t="s">
        <v>35</v>
      </c>
      <c r="C270" s="616"/>
      <c r="D270" s="1667">
        <f>SUM(D263:D269)</f>
        <v>467539</v>
      </c>
      <c r="E270" s="616"/>
      <c r="F270" s="616"/>
      <c r="G270" s="616"/>
      <c r="H270" s="616"/>
      <c r="I270" s="616"/>
      <c r="J270" s="616"/>
      <c r="K270" s="1667">
        <f>SUM(K263:K269)</f>
        <v>467539</v>
      </c>
      <c r="L270" s="1667">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69">
        <f>D272</f>
        <v>0</v>
      </c>
      <c r="L272" s="481"/>
    </row>
    <row r="273" spans="1:12" x14ac:dyDescent="0.2">
      <c r="A273" s="1503" t="s">
        <v>607</v>
      </c>
      <c r="B273" s="628">
        <v>2620</v>
      </c>
      <c r="C273" s="616"/>
      <c r="D273" s="466"/>
      <c r="E273" s="616"/>
      <c r="F273" s="616"/>
      <c r="G273" s="616"/>
      <c r="H273" s="616"/>
      <c r="I273" s="616"/>
      <c r="J273" s="616"/>
      <c r="K273" s="1669">
        <f>D273</f>
        <v>0</v>
      </c>
      <c r="L273" s="466"/>
    </row>
    <row r="274" spans="1:12" ht="12" customHeight="1" x14ac:dyDescent="0.2">
      <c r="A274" s="1503" t="s">
        <v>1061</v>
      </c>
      <c r="B274" s="614">
        <v>2630</v>
      </c>
      <c r="C274" s="616"/>
      <c r="D274" s="466">
        <v>23261</v>
      </c>
      <c r="E274" s="616"/>
      <c r="F274" s="616"/>
      <c r="G274" s="616"/>
      <c r="H274" s="616"/>
      <c r="I274" s="616"/>
      <c r="J274" s="616"/>
      <c r="K274" s="1669">
        <f>D274</f>
        <v>23261</v>
      </c>
      <c r="L274" s="466"/>
    </row>
    <row r="275" spans="1:12" x14ac:dyDescent="0.2">
      <c r="A275" s="1503" t="s">
        <v>403</v>
      </c>
      <c r="B275" s="614">
        <v>2640</v>
      </c>
      <c r="C275" s="616"/>
      <c r="D275" s="466">
        <v>24324</v>
      </c>
      <c r="E275" s="616"/>
      <c r="F275" s="616"/>
      <c r="G275" s="616"/>
      <c r="H275" s="616"/>
      <c r="I275" s="616"/>
      <c r="J275" s="616"/>
      <c r="K275" s="1669">
        <f>D275</f>
        <v>24324</v>
      </c>
      <c r="L275" s="466"/>
    </row>
    <row r="276" spans="1:12" x14ac:dyDescent="0.2">
      <c r="A276" s="1503" t="s">
        <v>404</v>
      </c>
      <c r="B276" s="614">
        <v>2660</v>
      </c>
      <c r="C276" s="616"/>
      <c r="D276" s="466"/>
      <c r="E276" s="616"/>
      <c r="F276" s="616"/>
      <c r="G276" s="616"/>
      <c r="H276" s="616"/>
      <c r="I276" s="616"/>
      <c r="J276" s="616"/>
      <c r="K276" s="1669">
        <f>D276</f>
        <v>0</v>
      </c>
      <c r="L276" s="466"/>
    </row>
    <row r="277" spans="1:12" ht="12.75" customHeight="1" thickBot="1" x14ac:dyDescent="0.25">
      <c r="A277" s="1688" t="s">
        <v>37</v>
      </c>
      <c r="B277" s="1666" t="s">
        <v>36</v>
      </c>
      <c r="C277" s="616"/>
      <c r="D277" s="1667">
        <f>SUM(D272:D276)</f>
        <v>47585</v>
      </c>
      <c r="E277" s="616"/>
      <c r="F277" s="616"/>
      <c r="G277" s="616"/>
      <c r="H277" s="616"/>
      <c r="I277" s="616"/>
      <c r="J277" s="616"/>
      <c r="K277" s="1667">
        <f>SUM(K272:K276)</f>
        <v>47585</v>
      </c>
      <c r="L277" s="1667">
        <f>SUM(L272:L276)</f>
        <v>0</v>
      </c>
    </row>
    <row r="278" spans="1:12" ht="13.5" customHeight="1" thickTop="1" x14ac:dyDescent="0.2">
      <c r="A278" s="1509" t="s">
        <v>980</v>
      </c>
      <c r="B278" s="655" t="s">
        <v>574</v>
      </c>
      <c r="C278" s="616"/>
      <c r="D278" s="656"/>
      <c r="E278" s="616"/>
      <c r="F278" s="616"/>
      <c r="G278" s="616"/>
      <c r="H278" s="616"/>
      <c r="I278" s="616"/>
      <c r="J278" s="616"/>
      <c r="K278" s="1682">
        <f>D278</f>
        <v>0</v>
      </c>
      <c r="L278" s="656"/>
    </row>
    <row r="279" spans="1:12" ht="12.75" customHeight="1" thickBot="1" x14ac:dyDescent="0.25">
      <c r="A279" s="1695" t="s">
        <v>811</v>
      </c>
      <c r="B279" s="1678">
        <v>2000</v>
      </c>
      <c r="C279" s="616"/>
      <c r="D279" s="1674">
        <f>SUM(D238,D243,D257,D261,D270,D277,D278)</f>
        <v>945388</v>
      </c>
      <c r="E279" s="616"/>
      <c r="F279" s="616"/>
      <c r="G279" s="616"/>
      <c r="H279" s="616"/>
      <c r="I279" s="616"/>
      <c r="J279" s="616"/>
      <c r="K279" s="1674">
        <f>SUM(K238,K243,K257,K261,K270,K277,K278)</f>
        <v>945388</v>
      </c>
      <c r="L279" s="1674">
        <f>SUM(L238,L243,L257,L261,L270,L277,L278)</f>
        <v>0</v>
      </c>
    </row>
    <row r="280" spans="1:12" ht="15.75" customHeight="1" thickTop="1" thickBot="1" x14ac:dyDescent="0.25">
      <c r="A280" s="1623" t="s">
        <v>875</v>
      </c>
      <c r="B280" s="1612">
        <v>3000</v>
      </c>
      <c r="C280" s="616"/>
      <c r="D280" s="576">
        <v>330</v>
      </c>
      <c r="E280" s="616"/>
      <c r="F280" s="616"/>
      <c r="G280" s="616"/>
      <c r="H280" s="616"/>
      <c r="I280" s="616"/>
      <c r="J280" s="616"/>
      <c r="K280" s="1676">
        <f>D280</f>
        <v>330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7" t="s">
        <v>496</v>
      </c>
      <c r="B282" s="690" t="s">
        <v>1842</v>
      </c>
      <c r="C282" s="616"/>
      <c r="D282" s="467"/>
      <c r="E282" s="616"/>
      <c r="F282" s="616"/>
      <c r="G282" s="616"/>
      <c r="H282" s="616"/>
      <c r="I282" s="616"/>
      <c r="J282" s="616"/>
      <c r="K282" s="1668">
        <f>D282</f>
        <v>0</v>
      </c>
      <c r="L282" s="467"/>
    </row>
    <row r="283" spans="1:12" x14ac:dyDescent="0.2">
      <c r="A283" s="1503" t="s">
        <v>304</v>
      </c>
      <c r="B283" s="614">
        <v>4120</v>
      </c>
      <c r="C283" s="616"/>
      <c r="D283" s="466"/>
      <c r="E283" s="616"/>
      <c r="F283" s="616"/>
      <c r="G283" s="616"/>
      <c r="H283" s="616"/>
      <c r="I283" s="616"/>
      <c r="J283" s="616"/>
      <c r="K283" s="1668">
        <f>D283</f>
        <v>0</v>
      </c>
      <c r="L283" s="466"/>
    </row>
    <row r="284" spans="1:12" x14ac:dyDescent="0.2">
      <c r="A284" s="1503" t="s">
        <v>697</v>
      </c>
      <c r="B284" s="614">
        <v>4140</v>
      </c>
      <c r="C284" s="616"/>
      <c r="D284" s="467"/>
      <c r="E284" s="616"/>
      <c r="F284" s="616"/>
      <c r="G284" s="616"/>
      <c r="H284" s="616"/>
      <c r="I284" s="616"/>
      <c r="J284" s="616"/>
      <c r="K284" s="1668">
        <f>D284</f>
        <v>0</v>
      </c>
      <c r="L284" s="466"/>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8">
        <f>H288</f>
        <v>0</v>
      </c>
      <c r="L288" s="466"/>
    </row>
    <row r="289" spans="1:14" x14ac:dyDescent="0.2">
      <c r="A289" s="1503" t="s">
        <v>88</v>
      </c>
      <c r="B289" s="614">
        <v>5120</v>
      </c>
      <c r="C289" s="616"/>
      <c r="D289" s="616"/>
      <c r="E289" s="616"/>
      <c r="F289" s="616"/>
      <c r="G289" s="616"/>
      <c r="H289" s="466"/>
      <c r="I289" s="616"/>
      <c r="J289" s="616"/>
      <c r="K289" s="1668">
        <f>H289</f>
        <v>0</v>
      </c>
      <c r="L289" s="466"/>
    </row>
    <row r="290" spans="1:14" ht="12.75" customHeight="1" x14ac:dyDescent="0.2">
      <c r="A290" s="1503" t="s">
        <v>1170</v>
      </c>
      <c r="B290" s="628" t="s">
        <v>617</v>
      </c>
      <c r="C290" s="616"/>
      <c r="D290" s="616"/>
      <c r="E290" s="616"/>
      <c r="F290" s="616"/>
      <c r="G290" s="616"/>
      <c r="H290" s="466"/>
      <c r="I290" s="616"/>
      <c r="J290" s="616"/>
      <c r="K290" s="1668">
        <f>H290</f>
        <v>0</v>
      </c>
      <c r="L290" s="466"/>
    </row>
    <row r="291" spans="1:14" x14ac:dyDescent="0.2">
      <c r="A291" s="1503" t="s">
        <v>89</v>
      </c>
      <c r="B291" s="614" t="s">
        <v>589</v>
      </c>
      <c r="C291" s="616"/>
      <c r="D291" s="616"/>
      <c r="E291" s="616"/>
      <c r="F291" s="616"/>
      <c r="G291" s="616"/>
      <c r="H291" s="466"/>
      <c r="I291" s="616"/>
      <c r="J291" s="616"/>
      <c r="K291" s="1668">
        <f>H291</f>
        <v>0</v>
      </c>
      <c r="L291" s="466"/>
    </row>
    <row r="292" spans="1:14" x14ac:dyDescent="0.2">
      <c r="A292" s="1503" t="s">
        <v>762</v>
      </c>
      <c r="B292" s="614" t="s">
        <v>618</v>
      </c>
      <c r="C292" s="616"/>
      <c r="D292" s="616"/>
      <c r="E292" s="616"/>
      <c r="F292" s="616"/>
      <c r="G292" s="616"/>
      <c r="H292" s="466"/>
      <c r="I292" s="616"/>
      <c r="J292" s="616"/>
      <c r="K292" s="1668">
        <f>H292</f>
        <v>0</v>
      </c>
      <c r="L292" s="466"/>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7">
        <f>SUM(D229,D279,D280,D285)</f>
        <v>1798002</v>
      </c>
      <c r="E295" s="616"/>
      <c r="F295" s="616"/>
      <c r="G295" s="616"/>
      <c r="H295" s="1667">
        <f>H293</f>
        <v>0</v>
      </c>
      <c r="I295" s="616"/>
      <c r="J295" s="616"/>
      <c r="K295" s="1667">
        <f>SUM(K229,K279,K280,K285,K293,K294)</f>
        <v>1798002</v>
      </c>
      <c r="L295" s="1667">
        <f>SUM(L229,L279,L280,L285,L293,L294)</f>
        <v>1941956</v>
      </c>
    </row>
    <row r="296" spans="1:14" ht="13.5" thickTop="1" x14ac:dyDescent="0.2">
      <c r="A296" s="2155" t="s">
        <v>996</v>
      </c>
      <c r="B296" s="2156"/>
      <c r="C296" s="616"/>
      <c r="D296" s="618"/>
      <c r="E296" s="616"/>
      <c r="F296" s="616"/>
      <c r="G296" s="616"/>
      <c r="H296" s="687"/>
      <c r="I296" s="616"/>
      <c r="J296" s="616"/>
      <c r="K296" s="1681">
        <f>'Revenues 9-14'!G268-'Expenditures 15-22'!K295</f>
        <v>269317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1170334</v>
      </c>
      <c r="H301" s="466"/>
      <c r="I301" s="467"/>
      <c r="J301" s="467"/>
      <c r="K301" s="1668">
        <f>SUM(C301:J301)</f>
        <v>1170334</v>
      </c>
      <c r="L301" s="467">
        <v>617942</v>
      </c>
    </row>
    <row r="302" spans="1:14" ht="13.5" customHeight="1" x14ac:dyDescent="0.2">
      <c r="A302" s="1516" t="s">
        <v>980</v>
      </c>
      <c r="B302" s="614" t="s">
        <v>574</v>
      </c>
      <c r="C302" s="466"/>
      <c r="D302" s="466"/>
      <c r="E302" s="466"/>
      <c r="F302" s="466"/>
      <c r="G302" s="466"/>
      <c r="H302" s="466"/>
      <c r="I302" s="467"/>
      <c r="J302" s="467"/>
      <c r="K302" s="1668">
        <f>SUM(C302:J302)</f>
        <v>0</v>
      </c>
      <c r="L302" s="466"/>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1170334</v>
      </c>
      <c r="H303" s="1674">
        <f t="shared" si="23"/>
        <v>0</v>
      </c>
      <c r="I303" s="1674">
        <f t="shared" si="23"/>
        <v>0</v>
      </c>
      <c r="J303" s="1674">
        <f t="shared" si="23"/>
        <v>0</v>
      </c>
      <c r="K303" s="1674">
        <f t="shared" si="23"/>
        <v>1170334</v>
      </c>
      <c r="L303" s="1674">
        <f t="shared" si="23"/>
        <v>617942</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1847</v>
      </c>
      <c r="B306" s="690" t="s">
        <v>1842</v>
      </c>
      <c r="C306" s="616"/>
      <c r="D306" s="616"/>
      <c r="E306" s="467"/>
      <c r="F306" s="616"/>
      <c r="G306" s="616"/>
      <c r="H306" s="467"/>
      <c r="I306" s="616"/>
      <c r="J306" s="616"/>
      <c r="K306" s="1668">
        <f>SUM(E306,H306)</f>
        <v>0</v>
      </c>
      <c r="L306" s="467"/>
    </row>
    <row r="307" spans="1:14" x14ac:dyDescent="0.2">
      <c r="A307" s="1503" t="s">
        <v>304</v>
      </c>
      <c r="B307" s="614">
        <v>4120</v>
      </c>
      <c r="C307" s="616"/>
      <c r="D307" s="616"/>
      <c r="E307" s="467"/>
      <c r="F307" s="616"/>
      <c r="G307" s="616"/>
      <c r="H307" s="467"/>
      <c r="I307" s="477"/>
      <c r="J307" s="616"/>
      <c r="K307" s="1668">
        <f>SUM(E307,H307)</f>
        <v>0</v>
      </c>
      <c r="L307" s="466"/>
    </row>
    <row r="308" spans="1:14" x14ac:dyDescent="0.2">
      <c r="A308" s="1503" t="s">
        <v>697</v>
      </c>
      <c r="B308" s="614">
        <v>4140</v>
      </c>
      <c r="C308" s="616"/>
      <c r="D308" s="616"/>
      <c r="E308" s="467"/>
      <c r="F308" s="616"/>
      <c r="G308" s="616"/>
      <c r="H308" s="467"/>
      <c r="I308" s="477"/>
      <c r="J308" s="616"/>
      <c r="K308" s="1668">
        <f>SUM(E308,H308)</f>
        <v>0</v>
      </c>
      <c r="L308" s="466"/>
    </row>
    <row r="309" spans="1:14" ht="12.75" customHeight="1" x14ac:dyDescent="0.2">
      <c r="A309" s="1507" t="s">
        <v>698</v>
      </c>
      <c r="B309" s="628">
        <v>4190</v>
      </c>
      <c r="C309" s="616"/>
      <c r="D309" s="616"/>
      <c r="E309" s="467"/>
      <c r="F309" s="616"/>
      <c r="G309" s="616"/>
      <c r="H309" s="467"/>
      <c r="I309" s="477"/>
      <c r="J309" s="616"/>
      <c r="K309" s="1668">
        <f>SUM(E309,H309)</f>
        <v>0</v>
      </c>
      <c r="L309" s="466"/>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7">
        <f>SUM(C303)</f>
        <v>0</v>
      </c>
      <c r="D312" s="1667">
        <f>SUM(D303)</f>
        <v>0</v>
      </c>
      <c r="E312" s="1667">
        <f>SUM(E303,E310)</f>
        <v>0</v>
      </c>
      <c r="F312" s="1667">
        <f>SUM(F303)</f>
        <v>0</v>
      </c>
      <c r="G312" s="1667">
        <f>SUM(G303)</f>
        <v>1170334</v>
      </c>
      <c r="H312" s="1667">
        <f>SUM(H303,H310)</f>
        <v>0</v>
      </c>
      <c r="I312" s="1667">
        <f>SUM(I303)</f>
        <v>0</v>
      </c>
      <c r="J312" s="1667">
        <f>SUM(J303)</f>
        <v>0</v>
      </c>
      <c r="K312" s="1667">
        <f>SUM(K303,K310,K311)</f>
        <v>1170334</v>
      </c>
      <c r="L312" s="1667">
        <f>SUM(L303,L310,L311)</f>
        <v>617942</v>
      </c>
      <c r="M312" s="665"/>
      <c r="N312" s="665"/>
    </row>
    <row r="313" spans="1:14" ht="13.5" thickTop="1" x14ac:dyDescent="0.2">
      <c r="A313" s="2166" t="s">
        <v>996</v>
      </c>
      <c r="B313" s="2167"/>
      <c r="C313" s="626"/>
      <c r="D313" s="626"/>
      <c r="E313" s="626"/>
      <c r="F313" s="626"/>
      <c r="G313" s="626"/>
      <c r="H313" s="626"/>
      <c r="I313" s="626"/>
      <c r="J313" s="626"/>
      <c r="K313" s="1682">
        <f>'Revenues 9-14'!H268-'Expenditures 15-22'!K312</f>
        <v>-873306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8">
        <f>SUM(C319:J319)</f>
        <v>0</v>
      </c>
      <c r="L319" s="467"/>
      <c r="M319" s="665"/>
      <c r="N319" s="665"/>
    </row>
    <row r="320" spans="1:14" s="674" customFormat="1" x14ac:dyDescent="0.2">
      <c r="A320" s="1522" t="s">
        <v>1802</v>
      </c>
      <c r="B320" s="698" t="s">
        <v>282</v>
      </c>
      <c r="C320" s="467"/>
      <c r="D320" s="467"/>
      <c r="E320" s="467">
        <v>386703</v>
      </c>
      <c r="F320" s="467"/>
      <c r="G320" s="467"/>
      <c r="H320" s="467"/>
      <c r="I320" s="467"/>
      <c r="J320" s="467"/>
      <c r="K320" s="1668">
        <f t="shared" ref="K320:K327" si="24">SUM(C320:J320)</f>
        <v>386703</v>
      </c>
      <c r="L320" s="467">
        <v>435000</v>
      </c>
      <c r="M320" s="665"/>
      <c r="N320" s="665"/>
    </row>
    <row r="321" spans="1:14" s="674" customFormat="1" x14ac:dyDescent="0.2">
      <c r="A321" s="1518" t="s">
        <v>300</v>
      </c>
      <c r="B321" s="697" t="s">
        <v>283</v>
      </c>
      <c r="C321" s="467"/>
      <c r="D321" s="467"/>
      <c r="E321" s="467"/>
      <c r="F321" s="467"/>
      <c r="G321" s="467"/>
      <c r="H321" s="467"/>
      <c r="I321" s="467"/>
      <c r="J321" s="467"/>
      <c r="K321" s="1668">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68">
        <f t="shared" si="24"/>
        <v>0</v>
      </c>
      <c r="L322" s="467"/>
      <c r="M322" s="665"/>
      <c r="N322" s="665"/>
    </row>
    <row r="323" spans="1:14" s="674" customFormat="1" x14ac:dyDescent="0.2">
      <c r="A323" s="1518" t="s">
        <v>702</v>
      </c>
      <c r="B323" s="697" t="s">
        <v>285</v>
      </c>
      <c r="C323" s="467"/>
      <c r="D323" s="467"/>
      <c r="E323" s="467"/>
      <c r="F323" s="467"/>
      <c r="G323" s="467"/>
      <c r="H323" s="467"/>
      <c r="I323" s="467"/>
      <c r="J323" s="467"/>
      <c r="K323" s="1668">
        <f t="shared" si="24"/>
        <v>0</v>
      </c>
      <c r="L323" s="467">
        <v>145000</v>
      </c>
      <c r="M323" s="665"/>
      <c r="N323" s="665"/>
    </row>
    <row r="324" spans="1:14" s="674" customFormat="1" x14ac:dyDescent="0.2">
      <c r="A324" s="1518" t="s">
        <v>239</v>
      </c>
      <c r="B324" s="697" t="s">
        <v>286</v>
      </c>
      <c r="C324" s="467"/>
      <c r="D324" s="467"/>
      <c r="E324" s="467"/>
      <c r="F324" s="467"/>
      <c r="G324" s="467"/>
      <c r="H324" s="467"/>
      <c r="I324" s="467"/>
      <c r="J324" s="467"/>
      <c r="K324" s="1668">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68">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68">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68">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6">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386703</v>
      </c>
      <c r="F330" s="1667">
        <f t="shared" si="25"/>
        <v>0</v>
      </c>
      <c r="G330" s="1667">
        <f t="shared" si="25"/>
        <v>0</v>
      </c>
      <c r="H330" s="1667">
        <f t="shared" si="25"/>
        <v>0</v>
      </c>
      <c r="I330" s="1667">
        <f t="shared" si="25"/>
        <v>0</v>
      </c>
      <c r="J330" s="1667">
        <f t="shared" si="25"/>
        <v>0</v>
      </c>
      <c r="K330" s="1667">
        <f>SUM(K319:K329)</f>
        <v>386703</v>
      </c>
      <c r="L330" s="1667">
        <f>SUM(L319:L329)</f>
        <v>580000</v>
      </c>
      <c r="M330" s="665"/>
      <c r="N330" s="665"/>
    </row>
    <row r="331" spans="1:14" s="674" customFormat="1" ht="12.75" customHeight="1" thickTop="1" x14ac:dyDescent="0.2">
      <c r="A331" s="1828" t="s">
        <v>1848</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1842</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304</v>
      </c>
      <c r="B333" s="1824" t="s">
        <v>1844</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8">
        <f>H337</f>
        <v>0</v>
      </c>
      <c r="L337" s="478"/>
    </row>
    <row r="338" spans="1:14" ht="12.75" customHeight="1" x14ac:dyDescent="0.2">
      <c r="A338" s="1517" t="s">
        <v>1170</v>
      </c>
      <c r="B338" s="690" t="s">
        <v>617</v>
      </c>
      <c r="C338" s="638"/>
      <c r="D338" s="638"/>
      <c r="E338" s="638"/>
      <c r="F338" s="638"/>
      <c r="G338" s="638"/>
      <c r="H338" s="478"/>
      <c r="I338" s="638"/>
      <c r="J338" s="638"/>
      <c r="K338" s="1668">
        <f>H338</f>
        <v>0</v>
      </c>
      <c r="L338" s="478"/>
    </row>
    <row r="339" spans="1:14" x14ac:dyDescent="0.2">
      <c r="A339" s="1503" t="s">
        <v>901</v>
      </c>
      <c r="B339" s="628">
        <v>5150</v>
      </c>
      <c r="C339" s="638"/>
      <c r="D339" s="638"/>
      <c r="E339" s="638"/>
      <c r="F339" s="638"/>
      <c r="G339" s="638"/>
      <c r="H339" s="467"/>
      <c r="I339" s="638"/>
      <c r="J339" s="638"/>
      <c r="K339" s="1668">
        <f>H339</f>
        <v>0</v>
      </c>
      <c r="L339" s="467"/>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3" t="s">
        <v>505</v>
      </c>
      <c r="B342" s="1698"/>
      <c r="C342" s="1667">
        <f>SUM(C330)</f>
        <v>0</v>
      </c>
      <c r="D342" s="1667">
        <f>SUM(D330)</f>
        <v>0</v>
      </c>
      <c r="E342" s="1667">
        <f>SUM(E330)</f>
        <v>386703</v>
      </c>
      <c r="F342" s="1667">
        <f>SUM(F330)</f>
        <v>0</v>
      </c>
      <c r="G342" s="1667">
        <f>SUM(G330)</f>
        <v>0</v>
      </c>
      <c r="H342" s="1667">
        <f>SUM(H330,H334,H340)</f>
        <v>0</v>
      </c>
      <c r="I342" s="1667">
        <f>SUM(I330)</f>
        <v>0</v>
      </c>
      <c r="J342" s="1667">
        <f>SUM(J330)</f>
        <v>0</v>
      </c>
      <c r="K342" s="1667">
        <f>SUM(K330,K334,K340)</f>
        <v>386703</v>
      </c>
      <c r="L342" s="1674">
        <f>SUM(L330,L340,L341)</f>
        <v>580000</v>
      </c>
    </row>
    <row r="343" spans="1:14" ht="12.75" customHeight="1" thickTop="1" x14ac:dyDescent="0.2">
      <c r="A343" s="2168" t="s">
        <v>996</v>
      </c>
      <c r="B343" s="2169"/>
      <c r="C343" s="616"/>
      <c r="D343" s="616"/>
      <c r="E343" s="616"/>
      <c r="F343" s="616"/>
      <c r="G343" s="616"/>
      <c r="H343" s="616"/>
      <c r="I343" s="616"/>
      <c r="J343" s="616"/>
      <c r="K343" s="1681">
        <f>'Revenues 9-14'!J268-'Expenditures 15-22'!K342</f>
        <v>198020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723567</v>
      </c>
      <c r="H348" s="466"/>
      <c r="I348" s="467"/>
      <c r="J348" s="467"/>
      <c r="K348" s="1668">
        <f>SUM(C348:J348)</f>
        <v>723567</v>
      </c>
      <c r="L348" s="466">
        <v>845957</v>
      </c>
    </row>
    <row r="349" spans="1:14" x14ac:dyDescent="0.2">
      <c r="A349" s="1503" t="s">
        <v>197</v>
      </c>
      <c r="B349" s="614">
        <v>2540</v>
      </c>
      <c r="C349" s="466"/>
      <c r="D349" s="466"/>
      <c r="E349" s="466"/>
      <c r="F349" s="466"/>
      <c r="G349" s="466"/>
      <c r="H349" s="466"/>
      <c r="I349" s="467"/>
      <c r="J349" s="467"/>
      <c r="K349" s="1668">
        <f>SUM(C349:J349)</f>
        <v>0</v>
      </c>
      <c r="L349" s="466"/>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723567</v>
      </c>
      <c r="H350" s="1667">
        <f t="shared" si="26"/>
        <v>0</v>
      </c>
      <c r="I350" s="1667">
        <f t="shared" si="26"/>
        <v>0</v>
      </c>
      <c r="J350" s="1667">
        <f t="shared" si="26"/>
        <v>0</v>
      </c>
      <c r="K350" s="1667">
        <f t="shared" si="26"/>
        <v>723567</v>
      </c>
      <c r="L350" s="1667">
        <f t="shared" si="26"/>
        <v>845957</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723567</v>
      </c>
      <c r="H352" s="1667">
        <f t="shared" si="27"/>
        <v>0</v>
      </c>
      <c r="I352" s="1667">
        <f t="shared" si="27"/>
        <v>0</v>
      </c>
      <c r="J352" s="1667">
        <f t="shared" si="27"/>
        <v>0</v>
      </c>
      <c r="K352" s="1667">
        <f t="shared" si="27"/>
        <v>723567</v>
      </c>
      <c r="L352" s="1667">
        <f t="shared" si="27"/>
        <v>845957</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1" t="s">
        <v>1850</v>
      </c>
      <c r="B354" s="683" t="s">
        <v>1842</v>
      </c>
      <c r="C354" s="616"/>
      <c r="D354" s="616"/>
      <c r="E354" s="616"/>
      <c r="F354" s="616"/>
      <c r="G354" s="616"/>
      <c r="H354" s="474"/>
      <c r="I354" s="701"/>
      <c r="J354" s="616"/>
      <c r="K354" s="1696">
        <f>H354</f>
        <v>0</v>
      </c>
      <c r="L354" s="471"/>
    </row>
    <row r="355" spans="1:14" ht="12.75" customHeight="1" x14ac:dyDescent="0.2">
      <c r="A355" s="1512" t="s">
        <v>1851</v>
      </c>
      <c r="B355" s="690" t="s">
        <v>1844</v>
      </c>
      <c r="C355" s="616"/>
      <c r="D355" s="616"/>
      <c r="E355" s="616"/>
      <c r="F355" s="616"/>
      <c r="G355" s="616"/>
      <c r="H355" s="467"/>
      <c r="I355" s="701"/>
      <c r="J355" s="616"/>
      <c r="K355" s="1740">
        <f>H355</f>
        <v>0</v>
      </c>
      <c r="L355" s="467"/>
    </row>
    <row r="356" spans="1:14" ht="12.75" customHeight="1" x14ac:dyDescent="0.2">
      <c r="A356" s="1831" t="s">
        <v>698</v>
      </c>
      <c r="B356" s="683" t="s">
        <v>558</v>
      </c>
      <c r="C356" s="616"/>
      <c r="D356" s="616"/>
      <c r="E356" s="616"/>
      <c r="F356" s="616"/>
      <c r="G356" s="616"/>
      <c r="H356" s="479"/>
      <c r="I356" s="701"/>
      <c r="J356" s="616"/>
      <c r="K356" s="1737">
        <f>H356</f>
        <v>0</v>
      </c>
      <c r="L356" s="479"/>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8">
        <f>SUM(C360:J360)</f>
        <v>0</v>
      </c>
      <c r="L360" s="466"/>
    </row>
    <row r="361" spans="1:14" ht="12.75" customHeight="1" x14ac:dyDescent="0.2">
      <c r="A361" s="1504" t="s">
        <v>619</v>
      </c>
      <c r="B361" s="602" t="s">
        <v>618</v>
      </c>
      <c r="C361" s="616"/>
      <c r="D361" s="616"/>
      <c r="E361" s="616"/>
      <c r="F361" s="616"/>
      <c r="G361" s="616"/>
      <c r="H361" s="467"/>
      <c r="I361" s="616"/>
      <c r="J361" s="616"/>
      <c r="K361" s="1668">
        <f>SUM(C361:J361)</f>
        <v>0</v>
      </c>
      <c r="L361" s="466"/>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row>
    <row r="365" spans="1:14" s="674" customFormat="1" ht="12.75" customHeight="1" thickBot="1" x14ac:dyDescent="0.25">
      <c r="A365" s="1520"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723567</v>
      </c>
      <c r="H367" s="1667">
        <f t="shared" si="28"/>
        <v>0</v>
      </c>
      <c r="I367" s="1667">
        <f t="shared" si="28"/>
        <v>0</v>
      </c>
      <c r="J367" s="1667">
        <f t="shared" si="28"/>
        <v>0</v>
      </c>
      <c r="K367" s="1667">
        <f t="shared" si="28"/>
        <v>723567</v>
      </c>
      <c r="L367" s="1667">
        <f t="shared" si="28"/>
        <v>845957</v>
      </c>
    </row>
    <row r="368" spans="1:14" ht="13.5" thickTop="1" x14ac:dyDescent="0.2">
      <c r="A368" s="2155" t="s">
        <v>996</v>
      </c>
      <c r="B368" s="2156"/>
      <c r="C368" s="654"/>
      <c r="D368" s="654"/>
      <c r="E368" s="626"/>
      <c r="F368" s="626"/>
      <c r="G368" s="626"/>
      <c r="H368" s="626"/>
      <c r="I368" s="626"/>
      <c r="J368" s="623"/>
      <c r="K368" s="1668">
        <f>'Revenues 9-14'!K268-'Expenditures 15-22'!K367</f>
        <v>-716308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schemas.microsoft.com/office/infopath/2007/PartnerControls"/>
    <ds:schemaRef ds:uri="http://schemas.microsoft.com/office/2006/metadata/properties"/>
    <ds:schemaRef ds:uri="d21dc803-237d-4c68-8692-8d731fd29118"/>
    <ds:schemaRef ds:uri="http://purl.org/dc/terms/"/>
    <ds:schemaRef ds:uri="http://schemas.openxmlformats.org/package/2006/metadata/core-properties"/>
    <ds:schemaRef ds:uri="http://schemas.microsoft.com/sharepoint/v3"/>
    <ds:schemaRef ds:uri="4d435f69-8686-490b-bd6d-b153bf22ab50"/>
    <ds:schemaRef ds:uri="6ce3111e-7420-4802-b50a-75d4e9a0b980"/>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2019-11-19T15:23:40Z</cp:lastPrinted>
  <dcterms:created xsi:type="dcterms:W3CDTF">2003-10-29T19:06:34Z</dcterms:created>
  <dcterms:modified xsi:type="dcterms:W3CDTF">2019-12-30T16:33:06Z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