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5C17245-1AB4-4B39-B1CD-C2CA481A4296}"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27" i="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B7719" i="106" s="1"/>
  <c r="D7719" i="106" s="1"/>
  <c r="K23" i="12"/>
  <c r="J12" i="12"/>
  <c r="B7718" i="106" s="1"/>
  <c r="D7718" i="106" s="1"/>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I35" i="8"/>
  <c r="J35" i="8" s="1"/>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G26" i="108"/>
  <c r="E27" i="108"/>
  <c r="G27"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F67" i="34" l="1"/>
  <c r="L13" i="11"/>
  <c r="B2060" i="106" s="1"/>
  <c r="D2060" i="106" s="1"/>
  <c r="H28" i="118"/>
  <c r="J22" i="37"/>
  <c r="B2836" i="106"/>
  <c r="D2836" i="106" s="1"/>
  <c r="F56" i="34"/>
  <c r="J129" i="29"/>
  <c r="B7038" i="106" s="1"/>
  <c r="D7038" i="106" s="1"/>
  <c r="I129" i="29"/>
  <c r="B7037" i="106" s="1"/>
  <c r="D7037" i="106" s="1"/>
  <c r="J49" i="8"/>
  <c r="B4172" i="106" s="1"/>
  <c r="D4172" i="106" s="1"/>
  <c r="F36" i="108"/>
  <c r="D36" i="108"/>
  <c r="F36" i="34"/>
  <c r="B6995" i="106"/>
  <c r="D6995" i="106" s="1"/>
  <c r="F72" i="34"/>
  <c r="F70" i="34"/>
  <c r="E35" i="108"/>
  <c r="D31" i="108"/>
  <c r="E26" i="108"/>
  <c r="G35" i="108"/>
  <c r="F34" i="34"/>
  <c r="F50" i="34"/>
  <c r="B1124" i="106"/>
  <c r="D1124" i="106" s="1"/>
  <c r="F38" i="34"/>
  <c r="D27" i="108"/>
  <c r="J352" i="29"/>
  <c r="J367" i="29" s="1"/>
  <c r="B7245" i="106" s="1"/>
  <c r="D7245" i="106" s="1"/>
  <c r="I210" i="29"/>
  <c r="B7071" i="106" s="1"/>
  <c r="D7071" i="106" s="1"/>
  <c r="B3647" i="106"/>
  <c r="D3647" i="106" s="1"/>
  <c r="L367" i="29"/>
  <c r="B6289" i="106"/>
  <c r="D6289" i="106" s="1"/>
  <c r="F52" i="34"/>
  <c r="C129" i="29"/>
  <c r="B1225" i="106" s="1"/>
  <c r="D1225" i="106" s="1"/>
  <c r="K76" i="4"/>
  <c r="B3586" i="106" s="1"/>
  <c r="D3586" i="106" s="1"/>
  <c r="F46" i="34"/>
  <c r="G38" i="108"/>
  <c r="G33" i="108"/>
  <c r="B7078" i="106"/>
  <c r="D7078" i="106" s="1"/>
  <c r="B4211" i="106"/>
  <c r="D4211" i="106" s="1"/>
  <c r="F44" i="34"/>
  <c r="E38" i="108"/>
  <c r="H365" i="29"/>
  <c r="B7242" i="106" s="1"/>
  <c r="D7242" i="106" s="1"/>
  <c r="B2724" i="106"/>
  <c r="D2724" i="106" s="1"/>
  <c r="F42" i="34"/>
  <c r="F37" i="34"/>
  <c r="E30" i="108"/>
  <c r="H76" i="4"/>
  <c r="B3298" i="106" s="1"/>
  <c r="D3298" i="106" s="1"/>
  <c r="J210" i="29"/>
  <c r="B7072" i="106" s="1"/>
  <c r="D7072" i="106" s="1"/>
  <c r="H342" i="29"/>
  <c r="B7221" i="106" s="1"/>
  <c r="D7221" i="106" s="1"/>
  <c r="F77" i="4"/>
  <c r="B3255" i="106" s="1"/>
  <c r="D3255" i="106" s="1"/>
  <c r="D9" i="7"/>
  <c r="B1767" i="106" s="1"/>
  <c r="D1767" i="106" s="1"/>
  <c r="K184" i="29"/>
  <c r="F13" i="4" s="1"/>
  <c r="B2596" i="106" s="1"/>
  <c r="D2596" i="106" s="1"/>
  <c r="G210" i="29"/>
  <c r="B1365" i="106" s="1"/>
  <c r="D1365" i="106" s="1"/>
  <c r="G14" i="4"/>
  <c r="B2609" i="106" s="1"/>
  <c r="D2609" i="106" s="1"/>
  <c r="F71" i="34"/>
  <c r="B7076" i="106"/>
  <c r="D7076" i="106" s="1"/>
  <c r="G39" i="108"/>
  <c r="L342" i="29"/>
  <c r="E34" i="108"/>
  <c r="F28" i="108"/>
  <c r="C342" i="29"/>
  <c r="B7216" i="106" s="1"/>
  <c r="D7216" i="106" s="1"/>
  <c r="G15" i="145"/>
  <c r="L5" i="11"/>
  <c r="B2056" i="106" s="1"/>
  <c r="D2056" i="106" s="1"/>
  <c r="D69" i="36"/>
  <c r="D68" i="36"/>
  <c r="D24" i="37"/>
  <c r="B4270" i="106" s="1"/>
  <c r="D4270" i="106" s="1"/>
  <c r="D22" i="37"/>
  <c r="J41" i="3"/>
  <c r="B6216" i="106" s="1"/>
  <c r="D6216" i="106" s="1"/>
  <c r="H29" i="118"/>
  <c r="K28" i="118" s="1"/>
  <c r="O27" i="118" s="1"/>
  <c r="O29" i="118" s="1"/>
  <c r="H33" i="118"/>
  <c r="D17" i="7"/>
  <c r="B4104" i="106" s="1"/>
  <c r="D4104" i="106" s="1"/>
  <c r="D11" i="37"/>
  <c r="F14" i="4"/>
  <c r="B2597" i="106" s="1"/>
  <c r="D2597" i="106" s="1"/>
  <c r="D37" i="108"/>
  <c r="F37" i="108"/>
  <c r="E28" i="108"/>
  <c r="D26" i="108"/>
  <c r="D31" i="36"/>
  <c r="J77" i="4"/>
  <c r="B6262" i="106" s="1"/>
  <c r="D6262" i="106" s="1"/>
  <c r="B4087" i="106"/>
  <c r="D4087" i="106" s="1"/>
  <c r="K41" i="3"/>
  <c r="L15" i="11"/>
  <c r="B3459" i="106" s="1"/>
  <c r="D3459" i="106" s="1"/>
  <c r="L22" i="37"/>
  <c r="F19" i="7"/>
  <c r="B1807" i="106" s="1"/>
  <c r="D1807" i="106" s="1"/>
  <c r="F65" i="34"/>
  <c r="G29" i="108"/>
  <c r="B7047" i="106"/>
  <c r="D7047" i="106" s="1"/>
  <c r="D6103" i="106"/>
  <c r="C352" i="29"/>
  <c r="B3621" i="106" s="1"/>
  <c r="D3621" i="106" s="1"/>
  <c r="B1308" i="106"/>
  <c r="D1308" i="106" s="1"/>
  <c r="E174" i="29"/>
  <c r="B1309" i="106" s="1"/>
  <c r="D1309" i="106" s="1"/>
  <c r="B1126" i="106"/>
  <c r="D1126" i="106" s="1"/>
  <c r="F49" i="34"/>
  <c r="E29" i="108"/>
  <c r="F26"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N21" i="3" s="1"/>
  <c r="B282" i="106" s="1"/>
  <c r="D282" i="106" s="1"/>
  <c r="J19" i="145"/>
  <c r="D82" i="36" s="1"/>
  <c r="L151" i="29"/>
  <c r="C266" i="5"/>
  <c r="J24" i="12"/>
  <c r="B7730" i="106"/>
  <c r="D7730" i="106" s="1"/>
  <c r="B7270" i="106"/>
  <c r="D7256" i="106" l="1"/>
  <c r="I151" i="29"/>
  <c r="F59" i="34" s="1"/>
  <c r="N22" i="3"/>
  <c r="B283" i="106" s="1"/>
  <c r="D283" i="106" s="1"/>
  <c r="F66" i="34"/>
  <c r="B280" i="106"/>
  <c r="D280" i="106" s="1"/>
  <c r="M41" i="3"/>
  <c r="N23" i="3"/>
  <c r="B284" i="106" s="1"/>
  <c r="D284" i="106" s="1"/>
  <c r="B1381" i="106"/>
  <c r="D1381" i="106" s="1"/>
  <c r="D44" i="36"/>
  <c r="D7251" i="106"/>
  <c r="L16" i="11"/>
  <c r="B2061" i="106" s="1"/>
  <c r="D2061" i="106" s="1"/>
  <c r="C151" i="29"/>
  <c r="B1226" i="106" s="1"/>
  <c r="D1226" i="106" s="1"/>
  <c r="H77" i="4"/>
  <c r="B3299" i="106" s="1"/>
  <c r="D3299" i="106" s="1"/>
  <c r="B7235" i="106"/>
  <c r="D7235" i="106" s="1"/>
  <c r="B5527" i="106"/>
  <c r="D5527" i="106" s="1"/>
  <c r="B1328" i="106"/>
  <c r="D1328" i="106" s="1"/>
  <c r="J16" i="4"/>
  <c r="B6226" i="106" s="1"/>
  <c r="D6226" i="106" s="1"/>
  <c r="K77" i="4"/>
  <c r="B3587" i="106" s="1"/>
  <c r="D3587" i="106" s="1"/>
  <c r="L114" i="29"/>
  <c r="F41" i="108"/>
  <c r="G43" i="108" s="1"/>
  <c r="G170" i="5"/>
  <c r="B5778" i="106" s="1"/>
  <c r="D5778" i="106" s="1"/>
  <c r="H151" i="29"/>
  <c r="B1273" i="106" s="1"/>
  <c r="D1273" i="106" s="1"/>
  <c r="K365" i="29"/>
  <c r="K16" i="4" s="1"/>
  <c r="D41" i="108"/>
  <c r="E43" i="108" s="1"/>
  <c r="C114" i="29"/>
  <c r="B757" i="106" s="1"/>
  <c r="D757" i="106" s="1"/>
  <c r="K342" i="29"/>
  <c r="F13" i="34" s="1"/>
  <c r="D51" i="36"/>
  <c r="B2031" i="106"/>
  <c r="D2031" i="106" s="1"/>
  <c r="D7253" i="106"/>
  <c r="F174" i="34"/>
  <c r="B3568" i="106"/>
  <c r="D3568" i="106" s="1"/>
  <c r="D52" i="36"/>
  <c r="B1996" i="106"/>
  <c r="D1996" i="106" s="1"/>
  <c r="I26" i="12"/>
  <c r="B7741" i="106" s="1"/>
  <c r="D7741" i="106" s="1"/>
  <c r="D7254" i="106"/>
  <c r="D7250" i="106"/>
  <c r="C367" i="29"/>
  <c r="B3622" i="106" s="1"/>
  <c r="D3622" i="106" s="1"/>
  <c r="B1317" i="106"/>
  <c r="D1317" i="106" s="1"/>
  <c r="D7255" i="106"/>
  <c r="D7252"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7224" i="106"/>
  <c r="D7224" i="106" s="1"/>
  <c r="B281" i="106"/>
  <c r="D281" i="106" s="1"/>
  <c r="D54" i="36"/>
  <c r="G6" i="4"/>
  <c r="B2604" i="106" s="1"/>
  <c r="D2604" i="106" s="1"/>
  <c r="B1145" i="106"/>
  <c r="D1145" i="106" s="1"/>
  <c r="K367" i="29"/>
  <c r="K368" i="29" s="1"/>
  <c r="B3681" i="106" s="1"/>
  <c r="D3681"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F8" i="4"/>
  <c r="F10" i="4" s="1"/>
  <c r="B4125" i="106" s="1"/>
  <c r="D4125" i="106" s="1"/>
  <c r="B6223" i="106"/>
  <c r="D6223" i="106" s="1"/>
  <c r="K17" i="4"/>
  <c r="K19" i="4" s="1"/>
  <c r="B4144" i="106" s="1"/>
  <c r="D4144" i="106" s="1"/>
  <c r="J20" i="4"/>
  <c r="B6230" i="106" s="1"/>
  <c r="D6230" i="106" s="1"/>
  <c r="B6227" i="106"/>
  <c r="D6227"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3575" i="106"/>
  <c r="D3575" i="106" s="1"/>
  <c r="B2595" i="106"/>
  <c r="D2595" i="106" s="1"/>
  <c r="K20" i="4"/>
  <c r="K78" i="4" s="1"/>
  <c r="J78" i="4"/>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J81" i="4"/>
  <c r="D64" i="36" s="1"/>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J82" i="4"/>
  <c r="B6266" i="106" l="1"/>
  <c r="D6266" i="106" s="1"/>
  <c r="F177" i="34"/>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<sst xmlns="http://schemas.openxmlformats.org/spreadsheetml/2006/main" count="5155" uniqueCount="2137">
  <si>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</si>
  <si>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</si>
  <si>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</si>
  <si>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</si>
  <si>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</si>
  <si>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</si>
  <si>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</si>
  <si>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</si>
  <si>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</si>
  <si>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</si>
  <si>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</si>
  <si>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</si>
  <si>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</si>
  <si>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</si>
  <si>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</si>
  <si>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</si>
  <si>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</si>
  <si>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</si>
  <si>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</si>
  <si>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</si>
  <si>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</si>
  <si>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</si>
  <si>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</si>
  <si>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</si>
  <si>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</si>
  <si>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</si>
  <si>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</si>
  <si>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</si>
  <si>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</si>
  <si>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</si>
  <si>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</si>
  <si>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</si>
  <si>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</si>
  <si>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</si>
  <si>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</si>
  <si>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</si>
  <si>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</si>
  <si>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</si>
  <si>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</si>
  <si>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</si>
  <si>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</si>
  <si>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</si>
  <si>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</si>
  <si>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</si>
  <si>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</si>
  <si>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</si>
  <si>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</si>
  <si>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</si>
  <si>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</si>
  <si>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</si>
  <si>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</si>
  <si>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</si>
  <si>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</si>
  <si>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</si>
  <si>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</si>
  <si>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</si>
  <si>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</si>
  <si>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</si>
  <si>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</si>
  <si>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</si>
  <si>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</si>
  <si>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</si>
  <si>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</si>
  <si>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</si>
  <si>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</si>
  <si>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</si>
  <si>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</si>
  <si>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</si>
  <si>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</si>
  <si>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</si>
  <si>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</si>
  <si>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</si>
  <si>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</si>
  <si>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</si>
  <si>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</si>
  <si>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</si>
  <si>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</si>
  <si>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</si>
  <si>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</si>
  <si>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</si>
  <si>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</si>
  <si>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</si>
  <si>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</si>
  <si>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</si>
  <si>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</si>
  <si>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</si>
  <si>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</si>
  <si>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</si>
  <si>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</si>
  <si>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</si>
  <si>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</si>
  <si>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</si>
  <si>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</si>
  <si>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</si>
  <si>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</si>
  <si>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</si>
  <si>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</si>
  <si>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</si>
  <si>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</si>
  <si>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</si>
  <si>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</si>
  <si>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</si>
  <si>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</si>
  <si>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</si>
  <si>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</si>
  <si>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</si>
  <si>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</si>
  <si>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</si>
  <si>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</si>
  <si>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</si>
  <si>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</si>
  <si>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</si>
  <si>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</si>
  <si>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</si>
  <si>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</si>
  <si>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</si>
  <si>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</si>
  <si>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</si>
  <si>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</si>
  <si>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</si>
  <si>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</si>
  <si>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</si>
  <si>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</si>
  <si>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</si>
  <si>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</si>
  <si>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</si>
  <si>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</si>
  <si>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</si>
  <si>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</si>
  <si>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</si>
  <si>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</si>
  <si>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</si>
  <si>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</si>
  <si>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</si>
  <si>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</si>
  <si>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</si>
  <si>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</si>
  <si>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</si>
  <si>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</si>
  <si>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</si>
  <si>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</si>
  <si>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</si>
  <si>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</si>
  <si>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</si>
  <si>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</si>
  <si>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</si>
  <si>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</si>
  <si>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</si>
  <si>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</si>
  <si>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</si>
  <si>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</si>
  <si>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</si>
  <si>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</si>
  <si>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</si>
  <si>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</si>
  <si>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</si>
  <si>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</si>
  <si>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</si>
  <si>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</si>
  <si>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</si>
  <si>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</si>
  <si>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</si>
  <si>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</si>
  <si>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</si>
  <si>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</si>
  <si>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</si>
  <si>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</si>
  <si>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</si>
  <si>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</si>
  <si>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</si>
  <si>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</si>
  <si>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</si>
  <si>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</si>
  <si>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</si>
  <si>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</si>
  <si>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</si>
  <si>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</si>
  <si>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</si>
  <si>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</si>
  <si>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</si>
  <si>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</si>
  <si>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</si>
  <si>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</si>
  <si>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</si>
  <si>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</si>
  <si>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</si>
  <si>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</si>
  <si>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</si>
  <si>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</si>
  <si>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</si>
  <si>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</si>
  <si>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</si>
  <si>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</si>
  <si>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</si>
  <si>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</si>
  <si>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</si>
  <si>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</si>
  <si>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</si>
  <si>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</si>
  <si>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</si>
  <si>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</si>
  <si>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</si>
  <si>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</si>
  <si>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</si>
  <si>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</si>
  <si>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</si>
  <si>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</si>
  <si>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</si>
  <si>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</si>
  <si>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</si>
  <si>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</si>
  <si>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</si>
  <si>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</si>
  <si>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</si>
  <si>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</si>
  <si>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</si>
  <si>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</si>
  <si>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</si>
  <si>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</si>
  <si>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</si>
  <si>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</si>
  <si>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</si>
  <si>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</si>
  <si>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</si>
  <si>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</si>
  <si>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</si>
  <si>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</si>
  <si>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</si>
  <si>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</si>
  <si>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</si>
  <si>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</si>
  <si>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</si>
  <si>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</si>
  <si>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</si>
  <si>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</si>
  <si>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</si>
  <si>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</si>
  <si>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</si>
  <si>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</si>
  <si>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</si>
  <si>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</si>
  <si>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</si>
  <si>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</si>
  <si>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</si>
  <si>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</si>
  <si>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</si>
  <si>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</si>
  <si>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</si>
  <si>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</si>
  <si>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</si>
  <si>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</si>
  <si>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</si>
  <si>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</si>
  <si>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</si>
  <si>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</si>
  <si>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</si>
  <si>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</si>
  <si>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</si>
  <si>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</si>
  <si>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</si>
  <si>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</si>
  <si>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</si>
  <si>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</si>
  <si>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</si>
  <si>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</si>
  <si>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</si>
  <si>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</si>
  <si>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</si>
  <si>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</si>
  <si>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</si>
  <si>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</si>
  <si>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</si>
  <si>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</si>
  <si>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</si>
  <si>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</si>
  <si>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</si>
  <si>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</si>
  <si>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</si>
  <si>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</si>
  <si>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</si>
  <si>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</si>
  <si>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</si>
  <si>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</si>
  <si>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</si>
  <si>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</si>
  <si>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</si>
  <si>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</si>
  <si>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</si>
  <si>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</si>
  <si>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</si>
  <si>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</si>
  <si>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</si>
  <si>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</si>
  <si>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</si>
  <si>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</si>
  <si>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</si>
  <si>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</si>
  <si>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</si>
  <si>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</si>
  <si>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</si>
  <si>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</si>
  <si>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</si>
  <si>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</si>
  <si>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</si>
  <si>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</si>
  <si>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</si>
  <si>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</si>
  <si>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</si>
  <si>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</si>
  <si>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</si>
  <si>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</si>
  <si>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</si>
  <si>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</si>
  <si>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</si>
  <si>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</si>
  <si>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</si>
  <si>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</si>
  <si>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</si>
  <si>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</si>
  <si>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</si>
  <si>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</si>
  <si>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</si>
  <si>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</si>
  <si>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</si>
  <si>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</si>
  <si>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</si>
  <si>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</si>
  <si>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</si>
  <si>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</si>
  <si>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</si>
  <si>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</si>
  <si>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</si>
  <si>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</si>
  <si>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</si>
  <si>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</si>
  <si>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</si>
  <si>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</si>
  <si>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</si>
  <si>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</si>
  <si>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</si>
  <si>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</si>
  <si>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</si>
  <si>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</si>
  <si>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</si>
  <si>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</si>
  <si>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</si>
  <si>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</si>
  <si>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</si>
  <si>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</si>
  <si>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</si>
  <si>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</si>
  <si>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</si>
  <si>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</si>
  <si>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</si>
  <si>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</si>
  <si>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</si>
  <si>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</si>
  <si>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</si>
  <si>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</si>
  <si>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</si>
  <si>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</si>
  <si>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</si>
  <si>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</si>
  <si>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</si>
  <si>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</si>
  <si>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</si>
  <si>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</si>
  <si>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</si>
  <si>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</si>
  <si>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</si>
  <si>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</si>
  <si>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</si>
  <si>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</si>
  <si>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</si>
  <si>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</si>
  <si>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</si>
  <si>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</si>
  <si>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</si>
  <si>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</si>
  <si>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</si>
  <si>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</si>
  <si>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</si>
  <si>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</si>
  <si>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</si>
  <si>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</si>
  <si>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</si>
  <si>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</si>
  <si>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</si>
  <si>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</si>
  <si>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</si>
  <si>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</si>
  <si>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</si>
  <si>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</si>
  <si>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</si>
  <si>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</si>
  <si>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</si>
  <si>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</si>
  <si>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</si>
  <si>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</si>
  <si>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</si>
  <si>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</si>
  <si>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</si>
  <si>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</si>
  <si>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</si>
  <si>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</si>
  <si>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</si>
  <si>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</si>
  <si>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</si>
  <si>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</si>
  <si>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</si>
  <si>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</si>
  <si>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</si>
  <si>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</si>
  <si>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</si>
  <si>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</si>
  <si>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</si>
  <si>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</si>
  <si>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</si>
  <si>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</si>
  <si>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</si>
  <si>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</si>
  <si>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</si>
  <si>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</si>
  <si>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</si>
  <si>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</si>
  <si>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</si>
  <si>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</si>
  <si>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</si>
  <si>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</si>
  <si>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</si>
  <si>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</si>
  <si>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</si>
  <si>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</si>
  <si>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</si>
  <si>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</si>
  <si>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</si>
  <si>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</si>
  <si>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</si>
  <si>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</si>
  <si>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</si>
  <si>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</si>
  <si>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</si>
  <si>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</si>
  <si>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</si>
  <si>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</si>
  <si>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</si>
  <si>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</si>
  <si>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</si>
  <si>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</si>
  <si>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</si>
  <si>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</si>
  <si>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</si>
  <si>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</si>
  <si>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</si>
  <si>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</si>
  <si>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</si>
  <si>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</si>
  <si>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</si>
  <si>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</si>
  <si>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</si>
  <si>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</si>
  <si>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</si>
  <si>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</si>
  <si>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</si>
  <si>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</si>
  <si>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</si>
  <si>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</si>
  <si>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</si>
  <si>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</si>
  <si>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</si>
  <si>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</si>
  <si>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</si>
  <si>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</si>
  <si>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</si>
  <si>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</si>
  <si>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</si>
  <si>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</si>
  <si>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</si>
  <si>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</si>
  <si>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</si>
  <si>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</si>
  <si>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</si>
  <si>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</si>
  <si>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</si>
  <si>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</si>
  <si>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</si>
  <si>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</si>
  <si>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</si>
  <si>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</si>
  <si>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</si>
  <si>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</si>
  <si>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</si>
  <si>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</si>
  <si>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</si>
  <si>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</si>
  <si>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</si>
  <si>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</si>
  <si>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</si>
  <si>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</si>
  <si>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</si>
  <si>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</si>
  <si>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</si>
  <si>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</si>
  <si>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</si>
  <si>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</si>
  <si>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</si>
  <si>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</si>
  <si>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</si>
  <si>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</si>
  <si>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</si>
  <si>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</si>
  <si>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</si>
  <si>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</si>
  <si>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</si>
  <si>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</si>
  <si>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</si>
  <si>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</si>
  <si>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</si>
  <si>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</si>
  <si>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</si>
  <si>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</si>
  <si>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</si>
  <si>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</si>
  <si>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</si>
  <si>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</si>
  <si>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</si>
  <si>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</si>
  <si>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</si>
  <si>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</si>
  <si>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</si>
  <si>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</si>
  <si>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</si>
  <si>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</si>
  <si>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</si>
  <si>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</si>
  <si>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</si>
  <si>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</si>
  <si>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</si>
  <si>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</si>
  <si>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</si>
  <si>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</si>
  <si>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</si>
  <si>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</si>
  <si>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</si>
  <si>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</si>
  <si>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</si>
  <si>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</si>
  <si>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</si>
  <si>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</si>
  <si>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</si>
  <si>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</si>
  <si>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</si>
  <si>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</si>
  <si>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</si>
  <si>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</si>
  <si>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</si>
  <si>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</si>
  <si>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</si>
  <si>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</si>
  <si>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</si>
  <si>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</si>
  <si>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</si>
  <si>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</si>
  <si>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</si>
  <si>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</si>
  <si>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</si>
  <si>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</si>
  <si>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</si>
  <si>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</si>
  <si>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</si>
  <si>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</si>
  <si>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</si>
  <si>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</si>
  <si>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</si>
  <si>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</si>
  <si>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</si>
  <si>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</si>
  <si>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</si>
  <si>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</si>
  <si>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</si>
  <si>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</si>
  <si>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</si>
  <si>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</si>
  <si>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</si>
  <si>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</si>
  <si>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</si>
  <si>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</si>
  <si>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</si>
  <si>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</si>
  <si>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</si>
  <si>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</si>
  <si>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</si>
  <si>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</si>
  <si>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</si>
  <si>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</si>
  <si>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</si>
  <si>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</si>
  <si>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</si>
  <si>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</si>
  <si>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</si>
  <si>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</si>
  <si>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</si>
  <si>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</si>
  <si>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</si>
  <si>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</si>
  <si>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</si>
  <si>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</si>
  <si>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</si>
  <si>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</si>
  <si>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</si>
  <si>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</si>
  <si>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</si>
  <si>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</si>
  <si>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</si>
  <si>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</si>
  <si>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</si>
  <si>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</si>
  <si>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</si>
  <si>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</si>
  <si>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</si>
  <si>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</si>
  <si>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</si>
  <si>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</si>
  <si>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</si>
  <si>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</si>
  <si>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</si>
  <si>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</si>
  <si>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</si>
  <si>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</si>
  <si>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</si>
  <si>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</si>
  <si>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</si>
  <si>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</si>
  <si>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</si>
  <si>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</si>
  <si>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</si>
  <si>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</si>
  <si>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</si>
  <si>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</si>
  <si>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</si>
  <si>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</si>
  <si>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</si>
  <si>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</si>
  <si>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</si>
  <si>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</si>
  <si>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</si>
  <si>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</si>
  <si>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</si>
  <si>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</si>
  <si>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</si>
  <si>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</si>
  <si>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</si>
  <si>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</si>
  <si>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</si>
  <si>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</si>
  <si>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</si>
  <si>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</si>
  <si>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</si>
  <si>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</si>
  <si>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</si>
  <si>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</si>
  <si>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</si>
  <si>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</si>
  <si>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</si>
  <si>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</si>
  <si>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</si>
  <si>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</si>
  <si>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</si>
  <si>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</si>
  <si>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</si>
  <si>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</si>
  <si>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</si>
  <si>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</si>
  <si>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</si>
  <si>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</si>
  <si>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</si>
  <si>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</si>
  <si>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</si>
  <si>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</si>
  <si>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</si>
  <si>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</si>
  <si>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</si>
  <si>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</si>
  <si>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</si>
  <si>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</si>
  <si>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</si>
  <si>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</si>
  <si>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</si>
  <si>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</si>
  <si>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</si>
  <si>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</si>
  <si>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</si>
  <si>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</si>
  <si>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</si>
  <si>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</si>
  <si>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</si>
  <si>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</si>
  <si>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</si>
  <si>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</si>
  <si>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</si>
  <si>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</si>
  <si>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</si>
  <si>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</si>
  <si>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</si>
  <si>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</si>
  <si>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</si>
  <si>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</si>
  <si>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</si>
  <si>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</si>
  <si>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</si>
  <si>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</si>
  <si>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</si>
  <si>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</si>
  <si>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</si>
  <si>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</si>
  <si>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</si>
  <si>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</si>
  <si>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</si>
  <si>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</si>
  <si>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</si>
  <si>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</si>
  <si>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</si>
  <si>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</si>
  <si>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</si>
  <si>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</si>
  <si>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</si>
  <si>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</si>
  <si>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</si>
  <si>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</si>
  <si>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</si>
  <si>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</si>
  <si>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</si>
  <si>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</si>
  <si>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</si>
  <si>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</si>
  <si>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</si>
  <si>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</si>
  <si>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</si>
  <si>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</si>
  <si>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</si>
  <si>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</si>
  <si>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</si>
  <si>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</si>
  <si>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</si>
  <si>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</si>
  <si>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</si>
  <si>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</si>
  <si>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</si>
  <si>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</si>
  <si>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</si>
  <si>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</si>
  <si>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</si>
  <si>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</si>
  <si>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</si>
  <si>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</si>
  <si>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</si>
  <si>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</si>
  <si>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</si>
  <si>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</si>
  <si>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</si>
  <si>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</si>
  <si>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</si>
  <si>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</si>
  <si>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</si>
  <si>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</si>
  <si>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</si>
  <si>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</si>
  <si>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</si>
  <si>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</si>
  <si>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</si>
  <si>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</si>
  <si>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</si>
  <si>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</si>
  <si>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</si>
  <si>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</si>
  <si>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</si>
  <si>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</si>
  <si>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</si>
  <si>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</si>
  <si>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</si>
  <si>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</si>
  <si>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</si>
  <si>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</si>
  <si>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</si>
  <si>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</si>
  <si>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</si>
  <si>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</si>
  <si>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</si>
  <si>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</si>
  <si>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</si>
  <si>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</si>
  <si>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</si>
  <si>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</si>
  <si>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</si>
  <si>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</si>
  <si>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</si>
  <si>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</si>
  <si>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</si>
  <si>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</si>
  <si>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</si>
  <si>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</si>
  <si>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</si>
  <si>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</si>
  <si>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</si>
  <si>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</si>
  <si>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</si>
  <si>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</si>
  <si>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</si>
  <si>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</si>
  <si>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</si>
  <si>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</si>
  <si>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</si>
  <si>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</si>
  <si>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</si>
  <si>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</si>
  <si>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</si>
  <si>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</si>
  <si>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</si>
  <si>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</si>
  <si>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</si>
  <si>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</si>
  <si>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</si>
  <si>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</si>
  <si>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</si>
  <si>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</si>
  <si>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</si>
  <si>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</si>
  <si>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</si>
  <si>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</si>
  <si>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</si>
  <si>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</si>
  <si>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</si>
  <si>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</si>
  <si>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</si>
  <si>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</si>
  <si>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</si>
  <si>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</si>
  <si>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</si>
  <si>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</si>
  <si>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</si>
  <si>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</si>
  <si>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</si>
  <si>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</si>
  <si>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</si>
  <si>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</si>
  <si>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</si>
  <si>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</si>
  <si>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</si>
  <si>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</si>
  <si>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</si>
  <si>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</si>
  <si>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</si>
  <si>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</si>
  <si>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</si>
  <si>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</si>
  <si>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</si>
  <si>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</si>
  <si>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</si>
  <si>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</si>
  <si>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</si>
  <si>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</si>
  <si>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</si>
  <si>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</si>
  <si>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</si>
  <si>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</si>
  <si>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</si>
  <si>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</si>
  <si>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</si>
  <si>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</si>
  <si>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</si>
  <si>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</si>
  <si>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</si>
  <si>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</si>
  <si>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</si>
  <si>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</si>
  <si>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</si>
  <si>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</si>
  <si>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</si>
  <si>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</si>
  <si>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</si>
  <si>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</si>
  <si>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</si>
  <si>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</si>
  <si>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</si>
  <si>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</si>
  <si>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</si>
  <si>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</si>
  <si>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</si>
  <si>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</si>
  <si>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</si>
  <si>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</si>
  <si>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</si>
  <si>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</si>
  <si>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</si>
  <si>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</si>
  <si>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</si>
  <si>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</si>
  <si>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</si>
  <si>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</si>
  <si>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</si>
  <si>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</si>
  <si>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</si>
  <si>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</si>
  <si>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</si>
  <si>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</si>
  <si>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</si>
  <si>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</si>
  <si>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</si>
  <si>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</si>
  <si>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</si>
  <si>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</si>
  <si>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</si>
  <si>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</si>
  <si>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</si>
  <si>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</si>
  <si>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</si>
  <si>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</si>
  <si>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</si>
  <si>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</si>
  <si>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</si>
  <si>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</si>
  <si>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</si>
  <si>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</si>
  <si>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</si>
  <si>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</si>
  <si>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</si>
  <si>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</si>
  <si>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</si>
  <si>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</si>
  <si>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</si>
  <si>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</si>
  <si>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</si>
  <si>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</si>
  <si>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</si>
  <si>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</si>
  <si>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</si>
  <si>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</si>
  <si>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</si>
  <si>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</si>
  <si>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</si>
  <si>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</si>
  <si>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</si>
  <si>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</si>
  <si>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</si>
  <si>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</si>
  <si>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</si>
  <si>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</si>
  <si>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</si>
  <si>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</si>
  <si>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</si>
  <si>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</si>
  <si>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</si>
  <si>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</si>
  <si>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</si>
  <si>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</si>
  <si>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</si>
  <si>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</si>
  <si>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</si>
  <si>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</si>
  <si>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</si>
  <si>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</si>
  <si>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</si>
  <si>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</si>
  <si>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</si>
  <si>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</si>
  <si>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</si>
  <si>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</si>
  <si>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</si>
  <si>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</si>
  <si>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</si>
  <si>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</si>
  <si>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</si>
  <si>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</si>
  <si>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</si>
  <si>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</si>
  <si>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</si>
  <si>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</si>
  <si>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</si>
  <si>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</si>
  <si>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</si>
  <si>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</si>
  <si>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</si>
  <si>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</si>
  <si>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</si>
  <si>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</si>
  <si>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</si>
  <si>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</si>
  <si>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</si>
  <si>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</si>
  <si>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</si>
  <si>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</si>
  <si>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</si>
  <si>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</si>
  <si>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</si>
  <si>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</si>
  <si>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</si>
  <si>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</si>
  <si>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</si>
  <si>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</si>
  <si>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</si>
  <si>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</si>
  <si>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</si>
  <si>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</si>
  <si>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</si>
  <si>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</si>
  <si>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</si>
  <si>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</si>
  <si>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</si>
  <si>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</si>
  <si>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</si>
  <si>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</si>
  <si>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</si>
  <si>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</si>
  <si>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</si>
  <si>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</si>
  <si>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</si>
  <si>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</si>
  <si>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</si>
  <si>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</si>
  <si>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</si>
  <si>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</si>
  <si>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</si>
  <si>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</si>
  <si>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</si>
  <si>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</si>
  <si>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</si>
  <si>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</si>
  <si>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</si>
  <si>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</si>
  <si>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</si>
  <si>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</si>
  <si>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</si>
  <si>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</si>
  <si>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</si>
  <si>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</si>
  <si>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</si>
  <si>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</si>
  <si>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</si>
  <si>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</si>
  <si>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</si>
  <si>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</si>
  <si>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</si>
  <si>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</si>
  <si>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</si>
  <si>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</si>
  <si>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</si>
  <si>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</si>
  <si>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</si>
  <si>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</si>
  <si>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</si>
  <si>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</si>
  <si>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</si>
  <si>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</si>
  <si>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</si>
  <si>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</si>
  <si>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</si>
  <si>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</si>
  <si>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</si>
  <si>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</si>
  <si>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</si>
  <si>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</si>
  <si>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</si>
  <si>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</si>
  <si>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</si>
  <si>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</si>
  <si>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</si>
  <si>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</si>
  <si>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</si>
  <si>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</si>
  <si>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</si>
  <si>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</si>
  <si>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</si>
  <si>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</si>
  <si>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</si>
  <si>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</si>
  <si>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</si>
  <si>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</si>
  <si>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</si>
  <si>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</si>
  <si>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</si>
  <si>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</si>
  <si>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</si>
  <si>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</si>
  <si>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</si>
  <si>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</si>
  <si>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</si>
  <si>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</si>
  <si>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</si>
  <si>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</si>
  <si>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</si>
  <si>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</si>
  <si>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</si>
  <si>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</si>
  <si>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</si>
  <si>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</si>
  <si>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</si>
  <si>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</si>
  <si>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</si>
  <si>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</si>
  <si>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</si>
  <si>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</si>
  <si>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</si>
  <si>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</si>
  <si>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</si>
  <si>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</si>
  <si>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</si>
  <si>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</si>
  <si>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</si>
  <si>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</si>
  <si>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</si>
  <si>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</si>
  <si>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</si>
  <si>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</si>
  <si>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</si>
  <si>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</si>
  <si>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</si>
  <si>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</si>
  <si>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</si>
  <si>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</si>
  <si>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</si>
  <si>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</si>
  <si>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</si>
  <si>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</si>
  <si>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</si>
  <si>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</si>
  <si>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</si>
  <si>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</si>
  <si>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</si>
  <si>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</si>
  <si>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</si>
  <si>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</si>
  <si>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</si>
  <si>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</si>
  <si>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</si>
  <si>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</si>
  <si>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</si>
  <si>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</si>
  <si>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</si>
  <si>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</si>
  <si>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</si>
  <si>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</si>
  <si>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</si>
  <si>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</si>
  <si>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</si>
  <si>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</si>
  <si>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</si>
  <si>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</si>
  <si>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</si>
  <si>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</si>
  <si>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</si>
  <si>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</si>
  <si>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</si>
  <si>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</si>
  <si>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</si>
  <si>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</si>
  <si>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</si>
  <si>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</si>
  <si>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</si>
  <si>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</si>
  <si>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</si>
  <si>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</si>
  <si>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</si>
  <si>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</si>
  <si>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</si>
  <si>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</si>
  <si>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</si>
  <si>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</si>
  <si>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</si>
  <si>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</si>
  <si>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</si>
  <si>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</si>
  <si>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</si>
  <si>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</si>
  <si>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</si>
  <si>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</si>
  <si>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</si>
  <si>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</si>
  <si>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</si>
  <si>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</si>
  <si>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</si>
  <si>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</si>
  <si>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</si>
  <si>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</si>
  <si>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</si>
  <si>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</si>
  <si>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</si>
  <si>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</si>
  <si>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</si>
  <si>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</si>
  <si>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</si>
  <si>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</si>
  <si>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</si>
  <si>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</si>
  <si>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</si>
  <si>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</si>
  <si>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</si>
  <si>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</si>
  <si>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</si>
  <si>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</si>
  <si>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</si>
  <si>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</si>
  <si>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</si>
  <si>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</si>
  <si>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</si>
  <si>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</si>
  <si>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</si>
  <si>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</si>
  <si>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</si>
  <si>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</si>
  <si>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</si>
  <si>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</si>
  <si>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</si>
  <si>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</si>
  <si>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</si>
  <si>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</si>
  <si>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</si>
  <si>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</si>
  <si>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</si>
  <si>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</si>
  <si>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</si>
  <si>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</si>
  <si>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</si>
  <si>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</si>
  <si>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</si>
  <si>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</si>
  <si>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</si>
  <si>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</si>
  <si>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</si>
  <si>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</si>
  <si>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</si>
  <si>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</si>
  <si>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</si>
  <si>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</si>
  <si>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</si>
  <si>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</si>
  <si>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</si>
  <si>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</si>
  <si>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</si>
  <si>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</si>
  <si>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</si>
  <si>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</si>
  <si>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</si>
  <si>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</si>
  <si>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</si>
  <si>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</si>
  <si>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</si>
  <si>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</si>
  <si>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</si>
  <si>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</si>
  <si>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</si>
  <si>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</si>
  <si>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</si>
  <si>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</si>
  <si>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</si>
  <si>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</si>
  <si>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</si>
  <si>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</si>
  <si>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</si>
  <si>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</si>
  <si>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</si>
  <si>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</si>
  <si>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</si>
  <si>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</si>
  <si>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</si>
  <si>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</si>
  <si>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</si>
  <si>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</si>
  <si>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</si>
  <si>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</si>
  <si>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</si>
  <si>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</si>
  <si>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</si>
  <si>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</si>
  <si>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</si>
  <si>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</si>
  <si>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</si>
  <si>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</si>
  <si>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</si>
  <si>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</si>
  <si>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</si>
  <si>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</si>
  <si>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</si>
  <si>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</si>
  <si>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</si>
  <si>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</si>
  <si>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</si>
  <si>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</si>
  <si>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</si>
  <si>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</si>
  <si>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</si>
  <si>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</si>
  <si>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</si>
  <si>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</si>
  <si>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</si>
  <si>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</si>
  <si>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</si>
  <si>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</si>
  <si>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</si>
  <si>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</si>
  <si>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</si>
  <si>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</si>
  <si>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</si>
  <si>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</si>
  <si>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</si>
  <si>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</si>
  <si>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</si>
  <si>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</si>
  <si>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</si>
  <si>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</si>
  <si>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</si>
  <si>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</si>
  <si>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</si>
  <si>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</si>
  <si>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</si>
  <si>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</si>
  <si>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</si>
  <si>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</si>
  <si>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</si>
  <si>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</si>
  <si>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</si>
  <si>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</si>
  <si>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</si>
  <si>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</si>
  <si>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</si>
  <si>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</si>
  <si>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</si>
  <si>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</si>
  <si>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</si>
  <si>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</si>
  <si>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</si>
  <si>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</si>
  <si>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</si>
  <si>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</si>
  <si>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</si>
  <si>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</si>
  <si>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</si>
  <si>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</si>
  <si>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</si>
  <si>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</si>
  <si>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</si>
  <si>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</si>
  <si>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</si>
  <si>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</si>
  <si>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</si>
  <si>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</si>
  <si>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</si>
  <si>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</si>
  <si>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</si>
  <si>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</si>
  <si>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</si>
  <si>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</si>
  <si>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</si>
  <si>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</si>
  <si>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</si>
  <si>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</si>
  <si>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</si>
  <si>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</si>
  <si>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</si>
  <si>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</si>
  <si>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</si>
  <si>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</si>
  <si>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</si>
  <si>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</si>
  <si>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</si>
  <si>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</si>
  <si>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</si>
  <si>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</si>
  <si>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</si>
  <si>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</si>
  <si>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</si>
  <si>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</si>
  <si>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</si>
  <si>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</si>
  <si>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</si>
  <si>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</si>
  <si>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</si>
  <si>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</si>
  <si>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</si>
  <si>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</si>
  <si>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</si>
  <si>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</si>
  <si>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</si>
  <si>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</si>
  <si>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</si>
  <si>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</si>
  <si>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</si>
  <si>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</si>
  <si>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</si>
  <si>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</si>
  <si>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</si>
  <si>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</si>
  <si>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</si>
  <si>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</si>
  <si>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</si>
  <si>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</si>
  <si>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</si>
  <si>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</si>
  <si>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</si>
  <si>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</si>
  <si>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</si>
  <si>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</si>
  <si>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</si>
  <si>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</si>
  <si>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</si>
  <si>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</si>
  <si>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</si>
  <si>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</si>
  <si>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</si>
  <si>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</si>
  <si>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</si>
  <si>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</si>
  <si>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</si>
  <si>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</si>
  <si>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</si>
  <si>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</si>
  <si>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</si>
  <si>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</si>
  <si>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</si>
  <si>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</si>
  <si>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</si>
  <si>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</si>
  <si>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</si>
  <si>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</si>
  <si>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</si>
  <si>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</si>
  <si>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</si>
  <si>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</si>
  <si>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</si>
  <si>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</si>
  <si>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</si>
  <si>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</si>
  <si>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</si>
  <si>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</si>
  <si>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</si>
  <si>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</si>
  <si>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</si>
  <si>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</si>
  <si>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</si>
  <si>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</si>
  <si>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</si>
  <si>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</si>
  <si>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</si>
  <si>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</si>
  <si>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</si>
  <si>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</si>
  <si>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</si>
  <si>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</si>
  <si>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</si>
  <si>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</si>
  <si>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</si>
  <si>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</si>
  <si>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</si>
  <si>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</si>
  <si>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</si>
  <si>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</si>
  <si>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</si>
  <si>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</si>
  <si>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</si>
  <si>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</si>
  <si>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</si>
  <si>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</si>
  <si>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</si>
  <si>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</si>
  <si>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</si>
  <si>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</si>
  <si>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</si>
  <si>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</si>
  <si>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</si>
  <si>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</si>
  <si>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</si>
  <si>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</si>
  <si>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</si>
  <si>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</si>
  <si>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</si>
  <si>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</si>
  <si>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</si>
  <si>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</si>
  <si>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</si>
  <si>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</si>
  <si>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</si>
  <si>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</si>
  <si>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</si>
  <si>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</si>
  <si>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</si>
  <si>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</si>
  <si>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</si>
  <si>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</si>
  <si>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</si>
  <si>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</si>
  <si>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</si>
  <si>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</si>
  <si>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</si>
  <si>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</si>
  <si>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</si>
  <si>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</si>
  <si>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</si>
  <si>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</si>
  <si>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</si>
  <si>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</si>
  <si>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</si>
  <si>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</si>
  <si>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</si>
  <si>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</si>
  <si>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</si>
  <si>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</si>
  <si>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</si>
  <si>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</si>
  <si>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</si>
  <si>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</si>
  <si>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</si>
  <si>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</si>
  <si>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</si>
  <si>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</si>
  <si>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</si>
  <si>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</si>
  <si>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</si>
  <si>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</si>
  <si>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</si>
  <si>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</si>
  <si>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</si>
  <si>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</si>
  <si>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</si>
  <si>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</si>
  <si>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</si>
  <si>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</si>
  <si>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</si>
  <si>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</si>
  <si>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</si>
  <si>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</si>
  <si>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</si>
  <si>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</si>
  <si>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</si>
  <si>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</si>
  <si>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</si>
  <si>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</si>
  <si>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</si>
  <si>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</si>
  <si>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</si>
  <si>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</si>
  <si>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</si>
  <si>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</si>
  <si>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</si>
  <si>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</si>
  <si>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</si>
  <si>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</si>
  <si>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</si>
  <si>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</si>
  <si>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</si>
  <si>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</si>
  <si>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</si>
  <si>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</si>
  <si>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</si>
  <si>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</si>
  <si>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</si>
  <si>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</si>
  <si>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</si>
  <si>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</si>
  <si>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</si>
  <si>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</si>
  <si>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</si>
  <si>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</si>
  <si>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</si>
  <si>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</si>
  <si>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</si>
  <si>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</si>
  <si>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</si>
  <si>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</si>
  <si>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</si>
  <si>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</si>
  <si>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</si>
  <si>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</si>
  <si>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</si>
  <si>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</si>
  <si>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</si>
  <si>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</si>
  <si>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</si>
  <si>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</si>
  <si>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</si>
  <si>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</si>
  <si>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</si>
  <si>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</si>
  <si>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</si>
  <si>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</si>
  <si>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</si>
  <si>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</si>
  <si>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</si>
  <si>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</si>
  <si>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</si>
  <si>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</si>
  <si>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</si>
  <si>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</si>
  <si>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</si>
  <si>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</si>
  <si>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</si>
  <si>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</si>
  <si>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</si>
  <si>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</si>
  <si>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</si>
  <si>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</si>
  <si>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</si>
  <si>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</si>
  <si>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</si>
  <si>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</si>
  <si>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</si>
  <si>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</si>
  <si>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</si>
  <si>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</si>
  <si>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</si>
  <si>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</si>
  <si>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</si>
  <si>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</si>
  <si>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</si>
  <si>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</si>
  <si>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</si>
  <si>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</si>
  <si>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</si>
  <si>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</si>
  <si>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</si>
  <si>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</si>
  <si>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</si>
  <si>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</si>
  <si>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</si>
  <si>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</si>
  <si>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</si>
  <si>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</si>
  <si>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</si>
  <si>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</si>
  <si>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</si>
  <si>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</si>
  <si>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</si>
  <si>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</si>
  <si>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</si>
  <si>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</si>
  <si>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</si>
  <si>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</si>
  <si>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</si>
  <si>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</si>
  <si>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</si>
  <si>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</si>
  <si>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</si>
  <si>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</si>
  <si>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</si>
  <si>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</si>
  <si>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</si>
  <si>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</si>
  <si>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</si>
  <si>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</si>
  <si>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</si>
  <si>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</si>
  <si>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</si>
  <si>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</si>
  <si>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</si>
  <si>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</si>
  <si>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</si>
  <si>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</si>
  <si>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</si>
  <si>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</si>
  <si>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</si>
  <si>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</si>
  <si>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</si>
  <si>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</si>
  <si>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</si>
  <si>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</si>
  <si>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</si>
  <si>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</si>
  <si>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</si>
  <si>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</si>
  <si>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</si>
  <si>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</si>
  <si>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</si>
  <si>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</si>
  <si>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</si>
  <si>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</si>
  <si>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</si>
  <si>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</si>
  <si>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</si>
  <si>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</si>
  <si>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</si>
  <si>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</si>
  <si>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</si>
  <si>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</si>
  <si>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</si>
  <si>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</si>
  <si>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</si>
  <si>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</si>
  <si>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</si>
  <si>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</si>
  <si>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</si>
  <si>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</si>
  <si>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</si>
  <si>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</si>
  <si>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</si>
  <si>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</si>
  <si>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</si>
  <si>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</si>
  <si>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</si>
  <si>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</si>
  <si>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</si>
  <si>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</si>
  <si>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</si>
  <si>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</si>
  <si>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</si>
  <si>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</si>
  <si>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</si>
  <si>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</si>
  <si>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</si>
  <si>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</si>
  <si>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</si>
  <si>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</si>
  <si>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</si>
  <si>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</si>
  <si>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</si>
  <si>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</si>
  <si>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</si>
  <si>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</si>
  <si>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</si>
  <si>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</si>
  <si>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</si>
  <si>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</si>
  <si>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</si>
  <si>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</si>
  <si>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</si>
  <si>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</si>
  <si>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</si>
  <si>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</si>
  <si>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</si>
  <si>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</si>
  <si>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</si>
  <si>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</si>
  <si>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</si>
  <si>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</si>
  <si>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</si>
  <si>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</si>
  <si>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</si>
  <si>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</si>
  <si>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</si>
  <si>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</si>
  <si>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</si>
  <si>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</si>
  <si>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</si>
  <si>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</si>
  <si>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</si>
  <si>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</si>
  <si>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</si>
  <si>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</si>
  <si>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</si>
  <si>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</si>
  <si>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</si>
  <si>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</si>
  <si>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</si>
  <si>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</si>
  <si>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</si>
  <si>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</si>
  <si>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</si>
  <si>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</si>
  <si>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</si>
  <si>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</si>
  <si>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</si>
  <si>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</si>
  <si>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</si>
  <si>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</si>
  <si>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</si>
  <si>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</si>
  <si>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</si>
  <si>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</si>
  <si>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</si>
  <si>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</si>
  <si>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</si>
  <si>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</si>
  <si>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</si>
  <si>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</si>
  <si>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</si>
  <si>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</si>
  <si>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</si>
  <si>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</si>
  <si>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</si>
  <si>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</si>
  <si>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</si>
  <si>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</si>
  <si>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</si>
  <si>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</si>
  <si>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</si>
  <si>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</si>
  <si>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</si>
  <si>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</si>
  <si>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</si>
  <si>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</si>
  <si>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</si>
  <si>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</si>
  <si>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</si>
  <si>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</si>
  <si>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</si>
  <si>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</si>
  <si>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</si>
  <si>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</si>
  <si>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</si>
  <si>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</si>
  <si>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</si>
  <si>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</si>
  <si>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</si>
  <si>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</si>
  <si>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</si>
  <si>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</si>
  <si>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</si>
  <si>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</si>
  <si>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</si>
  <si>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</si>
  <si>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</si>
  <si>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</si>
  <si>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</si>
  <si>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</si>
  <si>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</si>
  <si>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</si>
  <si>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</si>
  <si>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</si>
  <si>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</si>
  <si>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</si>
  <si>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</si>
  <si>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</si>
  <si>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</si>
  <si>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</si>
  <si>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</si>
  <si>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</si>
  <si>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</si>
  <si>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</si>
  <si>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</si>
  <si>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</si>
  <si>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</si>
  <si>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</si>
  <si>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</si>
  <si>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</si>
  <si>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</si>
  <si>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</si>
  <si>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</si>
  <si>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</si>
  <si>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</si>
  <si>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</si>
  <si>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</si>
  <si>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</si>
  <si>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</si>
  <si>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</si>
  <si>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</si>
  <si>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</si>
  <si>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</si>
  <si>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</si>
  <si>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</si>
  <si>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</si>
  <si>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</si>
  <si>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</si>
  <si>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</si>
  <si>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</si>
  <si>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</si>
  <si>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</si>
  <si>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</si>
  <si>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</si>
  <si>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</si>
  <si>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</si>
  <si>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</si>
  <si>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</si>
  <si>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</si>
  <si>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</si>
  <si>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</si>
  <si>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</si>
  <si>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</si>
  <si>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</si>
  <si>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</si>
  <si>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</si>
  <si>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</si>
  <si>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</si>
  <si>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</si>
  <si>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</si>
  <si>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</si>
  <si>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</si>
  <si>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</si>
  <si>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</si>
  <si>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</si>
  <si>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</si>
  <si>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</si>
  <si>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</si>
  <si>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</si>
  <si>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</si>
  <si>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</si>
  <si>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</si>
  <si>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</si>
  <si>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</si>
  <si>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</si>
  <si>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</si>
  <si>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</si>
  <si>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</si>
  <si>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</si>
  <si>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</si>
  <si>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</si>
  <si>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</si>
  <si>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</si>
  <si>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</si>
  <si>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</si>
  <si>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</si>
  <si>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</si>
  <si>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</si>
  <si>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</si>
  <si>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</si>
  <si>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</si>
  <si>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</si>
  <si>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</si>
  <si>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</si>
  <si>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</si>
  <si>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</si>
  <si>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</si>
  <si>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</si>
  <si>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</si>
  <si>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</si>
  <si>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</si>
  <si>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</si>
  <si>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</si>
  <si>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</si>
  <si>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</si>
  <si>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</si>
  <si>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</si>
  <si>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</si>
  <si>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</si>
  <si>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</si>
  <si>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</si>
  <si>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</si>
  <si>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</si>
  <si>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</si>
  <si>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</si>
  <si>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</si>
  <si>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</si>
  <si>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</si>
  <si>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</si>
  <si>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</si>
  <si>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</si>
  <si>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</si>
  <si>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</si>
  <si>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</si>
  <si>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</si>
  <si>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</si>
  <si>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</si>
  <si>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</si>
  <si>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</si>
  <si>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</si>
  <si>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</si>
  <si>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</si>
  <si>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</si>
  <si>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</si>
  <si>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</si>
  <si>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</si>
  <si>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</si>
  <si>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</si>
  <si>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</si>
  <si>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</si>
  <si>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</si>
  <si>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</si>
  <si>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</si>
  <si>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</si>
  <si>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</si>
  <si>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</si>
  <si>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</si>
  <si>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</si>
  <si>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</si>
  <si>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</si>
  <si>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</si>
  <si>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</si>
  <si>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</si>
  <si>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</si>
  <si>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</si>
  <si>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</si>
  <si>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</si>
  <si>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</si>
  <si>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</si>
  <si>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</si>
  <si>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</si>
  <si>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</si>
  <si>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</si>
  <si>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</si>
  <si>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</si>
  <si>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</si>
  <si>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</si>
  <si>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</si>
  <si>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</si>
  <si>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</si>
  <si>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</si>
  <si>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</si>
  <si>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</si>
  <si>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</si>
  <si>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</si>
  <si>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</si>
  <si>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</si>
  <si>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</si>
  <si>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</si>
  <si>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</si>
  <si>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</si>
  <si>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</si>
  <si>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</si>
  <si>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</si>
  <si>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</si>
  <si>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</si>
  <si>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</si>
  <si>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</si>
  <si>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</si>
  <si>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</si>
  <si>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</si>
  <si>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</si>
  <si>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</si>
  <si>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</si>
  <si>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</si>
  <si>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</si>
  <si>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</si>
  <si>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</si>
  <si>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</si>
  <si>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</si>
  <si>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</si>
  <si>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</si>
  <si>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</si>
  <si>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</si>
  <si>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</si>
  <si>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</si>
  <si>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</si>
  <si>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</si>
  <si>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</si>
  <si>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</si>
  <si>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</si>
  <si>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</si>
  <si>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</si>
  <si>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</si>
  <si>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</si>
  <si>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</si>
  <si>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</si>
  <si>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</si>
  <si>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</si>
  <si>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</si>
  <si>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</si>
  <si>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</si>
  <si>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</si>
  <si>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</si>
  <si>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</si>
  <si>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</si>
  <si>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</si>
  <si>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</si>
  <si>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</si>
  <si>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</si>
  <si>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</si>
  <si>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</si>
  <si>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</si>
  <si>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</si>
  <si>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</si>
  <si>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</si>
  <si>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</si>
  <si>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</si>
  <si>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</si>
  <si>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</si>
  <si>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</si>
  <si>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</si>
  <si>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</si>
  <si>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</si>
  <si>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</si>
  <si>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</si>
  <si>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</si>
  <si>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</si>
  <si>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</si>
  <si>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</si>
  <si>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</si>
  <si>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</si>
  <si>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</si>
  <si>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</si>
  <si>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</si>
  <si>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Sunset Ridge SD 29</t>
  </si>
  <si>
    <t>525 Sunset Ridge Rd</t>
  </si>
  <si>
    <t>Northfield</t>
  </si>
  <si>
    <t>beerheidet@sunsetridge29.org</t>
  </si>
  <si>
    <t>Dr. Edward Stange</t>
  </si>
  <si>
    <t>stangee@sunsetridge29.org</t>
  </si>
  <si>
    <t>847-881-9456</t>
  </si>
  <si>
    <t>847-446-6388</t>
  </si>
  <si>
    <t>Lauterbach &amp; Amen, LLP</t>
  </si>
  <si>
    <t>Don Shaw</t>
  </si>
  <si>
    <t>668 N. River Rd</t>
  </si>
  <si>
    <t>Naperville</t>
  </si>
  <si>
    <t>IL</t>
  </si>
  <si>
    <t>630-393-1483</t>
  </si>
  <si>
    <t>630-393-2516</t>
  </si>
  <si>
    <t>065-037815</t>
  </si>
  <si>
    <t>dshaw@lauterbachamen.com</t>
  </si>
  <si>
    <t>Capital Appreciation Bonds</t>
  </si>
  <si>
    <t>Lease Certificates - 2015</t>
  </si>
  <si>
    <t>Lease Certificates - 2016A</t>
  </si>
  <si>
    <t>Lease Certificates - 2016B</t>
  </si>
  <si>
    <t>Property Tax Assessment</t>
  </si>
  <si>
    <t>2018 GO Refunding Bonds</t>
  </si>
  <si>
    <t>N/A</t>
  </si>
  <si>
    <t>New Trier Township schools</t>
  </si>
  <si>
    <t>Smith Maintenance</t>
  </si>
  <si>
    <t>NSSED,NSSRA,Hyde Park,Cove,Haven,NSSEO,Nrtfd Pk Dst</t>
  </si>
  <si>
    <t>Educational Benefit Cooperative (EBC) and NSBC Health Ins</t>
  </si>
  <si>
    <t>Centerpoint Energy, Mid-American Energy Services, LLC</t>
  </si>
  <si>
    <t>OrganicLife</t>
  </si>
  <si>
    <t>NSSED</t>
  </si>
  <si>
    <t>Northfield Park District</t>
  </si>
  <si>
    <t>Collective Liability Insurance Coop (CLIC)</t>
  </si>
  <si>
    <t>Northfield Township School Trustee, ISDLAF, PMA</t>
  </si>
  <si>
    <t>Village of Northfield, Willow Road IGA</t>
  </si>
  <si>
    <t>North Cook ISC</t>
  </si>
  <si>
    <t>New Trier Township schools, NSSED, NSSEO, FAN</t>
  </si>
  <si>
    <t>Hyde Park, Safe Haven, and Christian Heritage Schools</t>
  </si>
  <si>
    <t>NSSED (North Suburban Special Ed District)</t>
  </si>
  <si>
    <t>US Communities</t>
  </si>
  <si>
    <t>ICN</t>
  </si>
  <si>
    <t>Olson, Septran, Citicare, United Dispatch</t>
  </si>
  <si>
    <t>Northfield Community Center, Village of Northfield</t>
  </si>
  <si>
    <t>Northfield Park Dist,Winnetka/Northfield Pub Libraries, IDOT</t>
  </si>
  <si>
    <t>Page 24: debt retirement includes bond refunding and property tax assessment, both of which are not reported as expenditures in the debt service fund</t>
  </si>
  <si>
    <t>Revenues (line 106): solar renewable energy credit $33,990 (Ed Fund)</t>
  </si>
  <si>
    <t>Revenues (line 107): Cook County teacher institute $108,630 (Ed Fund)</t>
  </si>
  <si>
    <t>Revenues (line 168): library grant $750 (Ed Fund)</t>
  </si>
  <si>
    <t>Expenditures (line 41): contractual crossing guards $11,600 (Ed Fund)</t>
  </si>
  <si>
    <t>ED-Payments for Sp. Ed -Other</t>
  </si>
  <si>
    <t>ED-Food Service-Purchased Services</t>
  </si>
  <si>
    <t>OP-OP &amp; Maint Plant Service-Purchased Services</t>
  </si>
  <si>
    <t>ED-Regular Programs-Purchased Services</t>
  </si>
  <si>
    <t>TR-Pupil Transportation Services-Purchased Services</t>
  </si>
  <si>
    <t>Tort-Support Services-Purchased Services</t>
  </si>
  <si>
    <t>10-4120-600</t>
  </si>
  <si>
    <t>10-2560-300</t>
  </si>
  <si>
    <t>20-2540-300</t>
  </si>
  <si>
    <t>40-2550-300</t>
  </si>
  <si>
    <t>80-2300-300</t>
  </si>
  <si>
    <t>Organiclife, LLC</t>
  </si>
  <si>
    <t>Smith Maintenance Company</t>
  </si>
  <si>
    <t>Midamerican Energy Company</t>
  </si>
  <si>
    <t>Comcast</t>
  </si>
  <si>
    <t>Septran, Inc.</t>
  </si>
  <si>
    <t>CLIC</t>
  </si>
  <si>
    <t>Olson Transportation, Inc.</t>
  </si>
  <si>
    <t>Austism Home Support Services, Inc.</t>
  </si>
  <si>
    <t>Short-Term Long-Term Debt 24: Refunded 2016B Lease Certificate for $5,170,000. Property Tax Assemement paid $819,828</t>
  </si>
  <si>
    <t>10-1000-300</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</si>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</sst>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6" fillId="0" borderId="0" xfId="0" applyFont="1" applyAlignment="1">
      <alignment wrapText="1"/>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1</xdr:row>
          <xdr:rowOff>0</xdr:rowOff>
        </xdr:from>
        <xdr:to>
          <xdr:col>1</xdr:col>
          <xdr:colOff>1828800</xdr:colOff>
          <xdr:row>5</xdr:row>
          <xdr:rowOff>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6</xdr:row>
          <xdr:rowOff>38100</xdr:rowOff>
        </xdr:from>
        <xdr:to>
          <xdr:col>1</xdr:col>
          <xdr:colOff>981075</xdr:colOff>
          <xdr:row>11</xdr:row>
          <xdr:rowOff>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1104900</xdr:colOff>
          <xdr:row>6</xdr:row>
          <xdr:rowOff>28575</xdr:rowOff>
        </xdr:from>
        <xdr:to>
          <xdr:col>1</xdr:col>
          <xdr:colOff>2019300</xdr:colOff>
          <xdr:row>10</xdr:row>
          <xdr:rowOff>152400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topLeftCell="A4" zoomScale="110" zoomScaleNormal="110" workbookViewId="0">
      <selection activeCell="O13" sqref="O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6" t="s">
        <v>405</v>
      </c>
      <c r="J1" s="2017"/>
      <c r="K1" s="2017"/>
      <c r="L1" s="2017"/>
      <c r="M1" s="2017"/>
      <c r="N1" s="2017"/>
      <c r="O1" s="2017"/>
      <c r="P1" s="2017"/>
      <c r="Q1" s="2017"/>
      <c r="R1" s="2017"/>
      <c r="S1" s="2017"/>
    </row>
    <row r="2" spans="1:28" ht="12" customHeight="1" x14ac:dyDescent="0.2">
      <c r="A2" s="47" t="s">
        <v>1993</v>
      </c>
      <c r="D2" s="48"/>
      <c r="I2" s="2018" t="s">
        <v>979</v>
      </c>
      <c r="J2" s="2017"/>
      <c r="K2" s="2017"/>
      <c r="L2" s="2017"/>
      <c r="M2" s="2017"/>
      <c r="N2" s="2017"/>
      <c r="O2" s="2017"/>
      <c r="P2" s="2017"/>
      <c r="Q2" s="2017"/>
      <c r="R2" s="2017"/>
      <c r="S2" s="2017"/>
    </row>
    <row r="3" spans="1:28" ht="12" customHeight="1" x14ac:dyDescent="0.2">
      <c r="A3" s="155" t="s">
        <v>1945</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t="s">
        <v>2064</v>
      </c>
      <c r="C5" s="26" t="s">
        <v>910</v>
      </c>
      <c r="D5" s="84"/>
      <c r="E5" s="84"/>
      <c r="H5" s="38"/>
      <c r="I5" s="2025" t="s">
        <v>680</v>
      </c>
      <c r="J5" s="1970"/>
      <c r="K5" s="1970"/>
      <c r="L5" s="1970"/>
      <c r="M5" s="1970"/>
      <c r="N5" s="1970"/>
      <c r="O5" s="1970"/>
      <c r="P5" s="1970"/>
      <c r="Q5" s="1970"/>
      <c r="R5" s="1970"/>
      <c r="S5" s="1970"/>
    </row>
    <row r="6" spans="1:28" ht="14.1" customHeight="1" x14ac:dyDescent="0.2">
      <c r="B6" s="104"/>
      <c r="C6" s="26" t="s">
        <v>911</v>
      </c>
      <c r="D6" s="84"/>
      <c r="E6" s="84"/>
      <c r="I6" s="2024" t="s">
        <v>883</v>
      </c>
      <c r="J6" s="1970"/>
      <c r="K6" s="1970"/>
      <c r="L6" s="1970"/>
      <c r="M6" s="1970"/>
      <c r="N6" s="1970"/>
      <c r="O6" s="1970"/>
      <c r="P6" s="1970"/>
      <c r="Q6" s="1970"/>
      <c r="R6" s="1970"/>
      <c r="S6" s="1970"/>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1966" t="s">
        <v>533</v>
      </c>
      <c r="U9" s="1967"/>
      <c r="V9" s="1967"/>
      <c r="W9" s="1967"/>
      <c r="X9" s="1967"/>
      <c r="Y9" s="1967"/>
      <c r="Z9" s="1967"/>
      <c r="AA9" s="1968"/>
    </row>
    <row r="10" spans="1:28" ht="13.5" customHeight="1" x14ac:dyDescent="0.2">
      <c r="A10" s="1975" t="s">
        <v>675</v>
      </c>
      <c r="B10" s="1976"/>
      <c r="C10" s="1976"/>
      <c r="D10" s="1976"/>
      <c r="E10" s="1976"/>
      <c r="F10" s="1976"/>
      <c r="G10" s="1976"/>
      <c r="H10" s="1977"/>
      <c r="I10" s="29"/>
      <c r="J10" s="30"/>
      <c r="K10" s="28"/>
      <c r="R10" s="30"/>
      <c r="S10" s="30"/>
      <c r="T10" s="1969"/>
      <c r="U10" s="1970"/>
      <c r="V10" s="1970"/>
      <c r="W10" s="1970"/>
      <c r="X10" s="1970"/>
      <c r="Y10" s="1970"/>
      <c r="Z10" s="1970"/>
      <c r="AA10" s="1971"/>
    </row>
    <row r="11" spans="1:28" ht="14.25" customHeight="1" x14ac:dyDescent="0.2">
      <c r="A11" s="1978" t="s">
        <v>955</v>
      </c>
      <c r="B11" s="1979"/>
      <c r="C11" s="1979"/>
      <c r="D11" s="1979"/>
      <c r="E11" s="1979"/>
      <c r="F11" s="1979"/>
      <c r="G11" s="1979"/>
      <c r="H11" s="1980"/>
      <c r="I11" s="27"/>
      <c r="J11" s="74"/>
      <c r="K11" s="27"/>
      <c r="O11" s="148"/>
      <c r="P11" s="100" t="s">
        <v>201</v>
      </c>
      <c r="Q11" s="30"/>
      <c r="R11" s="28"/>
      <c r="S11" s="27"/>
      <c r="T11" s="1972"/>
      <c r="U11" s="1973"/>
      <c r="V11" s="1973"/>
      <c r="W11" s="1973"/>
      <c r="X11" s="1973"/>
      <c r="Y11" s="1973"/>
      <c r="Z11" s="1973"/>
      <c r="AA11" s="1974"/>
    </row>
    <row r="12" spans="1:28" ht="13.5" customHeight="1" x14ac:dyDescent="0.2">
      <c r="A12" s="85" t="s">
        <v>925</v>
      </c>
      <c r="B12" s="76"/>
      <c r="C12" s="76"/>
      <c r="D12" s="76"/>
      <c r="E12" s="76"/>
      <c r="F12" s="76"/>
      <c r="G12" s="76"/>
      <c r="H12" s="53"/>
      <c r="I12" s="29"/>
      <c r="J12" s="30"/>
      <c r="K12" s="28"/>
      <c r="O12" s="149" t="s">
        <v>2136</v>
      </c>
      <c r="P12" s="100" t="s">
        <v>202</v>
      </c>
      <c r="Q12" s="74"/>
      <c r="R12" s="30"/>
      <c r="S12" s="30"/>
      <c r="T12" s="85" t="s">
        <v>265</v>
      </c>
      <c r="U12" s="51"/>
      <c r="V12" s="51"/>
      <c r="W12" s="51"/>
      <c r="X12" s="51"/>
      <c r="Y12" s="45"/>
      <c r="Z12" s="45"/>
      <c r="AA12" s="46"/>
    </row>
    <row r="13" spans="1:28" ht="13.5" customHeight="1" x14ac:dyDescent="0.2">
      <c r="A13" s="1986">
        <v>5016029002</v>
      </c>
      <c r="B13" s="1987"/>
      <c r="C13" s="1987"/>
      <c r="D13" s="1987"/>
      <c r="E13" s="1987"/>
      <c r="F13" s="1987"/>
      <c r="G13" s="1987"/>
      <c r="H13" s="1988"/>
      <c r="I13" s="31"/>
      <c r="J13" s="30"/>
      <c r="K13" s="28"/>
      <c r="L13" s="30"/>
      <c r="M13" s="30"/>
      <c r="N13" s="30"/>
      <c r="O13" s="30"/>
      <c r="P13" s="30"/>
      <c r="Q13" s="30"/>
      <c r="R13" s="30"/>
      <c r="S13" s="30"/>
      <c r="T13" s="1991" t="s">
        <v>2074</v>
      </c>
      <c r="U13" s="1992"/>
      <c r="V13" s="1992"/>
      <c r="W13" s="1992"/>
      <c r="X13" s="1992"/>
      <c r="Y13" s="1993"/>
      <c r="Z13" s="1993"/>
      <c r="AA13" s="199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4" t="s">
        <v>2065</v>
      </c>
      <c r="B15" s="1989"/>
      <c r="C15" s="1989"/>
      <c r="D15" s="1989"/>
      <c r="E15" s="1989"/>
      <c r="F15" s="1989"/>
      <c r="G15" s="1989"/>
      <c r="H15" s="1990"/>
      <c r="T15" s="1952" t="s">
        <v>2075</v>
      </c>
      <c r="U15" s="1953"/>
      <c r="V15" s="1953"/>
      <c r="W15" s="1953"/>
      <c r="X15" s="1953"/>
      <c r="Y15" s="1995"/>
      <c r="Z15" s="1995"/>
      <c r="AA15" s="199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4" t="s">
        <v>2066</v>
      </c>
      <c r="B17" s="2014"/>
      <c r="C17" s="2014"/>
      <c r="D17" s="2014"/>
      <c r="E17" s="2014"/>
      <c r="F17" s="2014"/>
      <c r="G17" s="2014"/>
      <c r="H17" s="2015"/>
      <c r="T17" s="2001" t="s">
        <v>2076</v>
      </c>
      <c r="U17" s="2002"/>
      <c r="V17" s="2002"/>
      <c r="W17" s="2002"/>
      <c r="X17" s="2002"/>
      <c r="Y17" s="2002"/>
      <c r="Z17" s="2002"/>
      <c r="AA17" s="2003"/>
    </row>
    <row r="18" spans="1:27" ht="13.5" customHeight="1" x14ac:dyDescent="0.2">
      <c r="A18" s="85" t="s">
        <v>530</v>
      </c>
      <c r="B18" s="76"/>
      <c r="C18" s="72"/>
      <c r="D18" s="76"/>
      <c r="E18" s="76"/>
      <c r="F18" s="76"/>
      <c r="G18" s="76"/>
      <c r="H18" s="56"/>
      <c r="I18" s="2011" t="s">
        <v>676</v>
      </c>
      <c r="J18" s="2012"/>
      <c r="K18" s="2012"/>
      <c r="L18" s="2012"/>
      <c r="M18" s="2012"/>
      <c r="N18" s="2012"/>
      <c r="O18" s="2012"/>
      <c r="P18" s="2012"/>
      <c r="Q18" s="2012"/>
      <c r="R18" s="2012"/>
      <c r="S18" s="2013"/>
      <c r="T18" s="85" t="s">
        <v>711</v>
      </c>
      <c r="U18" s="51"/>
      <c r="V18" s="72"/>
      <c r="W18" s="50"/>
      <c r="X18" s="85" t="s">
        <v>266</v>
      </c>
      <c r="Y18" s="81"/>
      <c r="Z18" s="159" t="s">
        <v>677</v>
      </c>
      <c r="AA18" s="46"/>
    </row>
    <row r="19" spans="1:27" ht="13.5" customHeight="1" x14ac:dyDescent="0.2">
      <c r="A19" s="1984" t="s">
        <v>2067</v>
      </c>
      <c r="B19" s="1985"/>
      <c r="C19" s="1985"/>
      <c r="D19" s="1985"/>
      <c r="E19" s="1985"/>
      <c r="F19" s="1985"/>
      <c r="G19" s="1985"/>
      <c r="H19" s="1983"/>
      <c r="I19" s="30"/>
      <c r="J19" s="99"/>
      <c r="K19" s="40"/>
      <c r="L19" s="38"/>
      <c r="M19" s="112" t="s">
        <v>315</v>
      </c>
      <c r="P19" s="27"/>
      <c r="Q19" s="27"/>
      <c r="R19" s="27"/>
      <c r="S19" s="31"/>
      <c r="T19" s="1984" t="s">
        <v>2077</v>
      </c>
      <c r="U19" s="1982"/>
      <c r="V19" s="1982"/>
      <c r="W19" s="1983"/>
      <c r="X19" s="1999" t="s">
        <v>2078</v>
      </c>
      <c r="Y19" s="2000"/>
      <c r="Z19" s="1997">
        <v>60563</v>
      </c>
      <c r="AA19" s="199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1" t="s">
        <v>2068</v>
      </c>
      <c r="B21" s="1982"/>
      <c r="C21" s="1982"/>
      <c r="D21" s="1982"/>
      <c r="E21" s="1982"/>
      <c r="F21" s="1982"/>
      <c r="G21" s="1982"/>
      <c r="H21" s="1983"/>
      <c r="I21" s="2007" t="s">
        <v>678</v>
      </c>
      <c r="J21" s="1970"/>
      <c r="K21" s="1970"/>
      <c r="L21" s="1970"/>
      <c r="M21" s="1970"/>
      <c r="N21" s="1970"/>
      <c r="O21" s="1970"/>
      <c r="P21" s="1970"/>
      <c r="Q21" s="1970"/>
      <c r="R21" s="1970"/>
      <c r="S21" s="1971"/>
      <c r="T21" s="1949" t="s">
        <v>2079</v>
      </c>
      <c r="U21" s="1950"/>
      <c r="V21" s="1950"/>
      <c r="W21" s="1950"/>
      <c r="X21" s="1963" t="s">
        <v>2080</v>
      </c>
      <c r="Y21" s="1964"/>
      <c r="Z21" s="1964"/>
      <c r="AA21" s="1965"/>
    </row>
    <row r="22" spans="1:27" ht="13.5" customHeight="1" x14ac:dyDescent="0.2">
      <c r="A22" s="87" t="s">
        <v>531</v>
      </c>
      <c r="B22" s="59"/>
      <c r="C22" s="59"/>
      <c r="D22" s="59"/>
      <c r="E22" s="59"/>
      <c r="F22" s="59"/>
      <c r="G22" s="59"/>
      <c r="H22" s="60"/>
      <c r="I22" s="2008" t="s">
        <v>1429</v>
      </c>
      <c r="J22" s="2009"/>
      <c r="K22" s="2009"/>
      <c r="L22" s="2009"/>
      <c r="M22" s="2009"/>
      <c r="N22" s="2009"/>
      <c r="O22" s="2009"/>
      <c r="P22" s="2009"/>
      <c r="Q22" s="2009"/>
      <c r="R22" s="2009"/>
      <c r="S22" s="2010"/>
      <c r="T22" s="85" t="s">
        <v>1516</v>
      </c>
      <c r="U22" s="51"/>
      <c r="V22" s="72"/>
      <c r="W22" s="51"/>
      <c r="X22" s="160" t="s">
        <v>1318</v>
      </c>
      <c r="Z22" s="45"/>
      <c r="AA22" s="46"/>
    </row>
    <row r="23" spans="1:27" ht="13.5" customHeight="1" x14ac:dyDescent="0.2">
      <c r="A23" s="2004" t="s">
        <v>2069</v>
      </c>
      <c r="B23" s="2005"/>
      <c r="C23" s="2005"/>
      <c r="D23" s="2005"/>
      <c r="E23" s="2005"/>
      <c r="F23" s="2005"/>
      <c r="G23" s="2005"/>
      <c r="H23" s="2006"/>
      <c r="T23" s="1944" t="s">
        <v>2081</v>
      </c>
      <c r="U23" s="1945"/>
      <c r="V23" s="1945"/>
      <c r="W23" s="1945"/>
      <c r="X23" s="1960">
        <v>44469</v>
      </c>
      <c r="Y23" s="1961"/>
      <c r="Z23" s="1961"/>
      <c r="AA23" s="1962"/>
    </row>
    <row r="24" spans="1:27" ht="14.1" customHeight="1" x14ac:dyDescent="0.2">
      <c r="A24" s="88" t="s">
        <v>677</v>
      </c>
      <c r="B24" s="49"/>
      <c r="C24" s="49"/>
      <c r="D24" s="49"/>
      <c r="E24" s="49"/>
      <c r="F24" s="49"/>
      <c r="G24" s="49"/>
      <c r="H24" s="61"/>
      <c r="J24" s="2046">
        <f>IF(B5="x",IF(AUDITCHECK!D29="AFR form Incomplete.","",IF(AUDITCHECK!D29="Deficit reduction plan is required.","School District must complete a deficit reduction plan in the 2019-2020 Budget",)),"")</f>
        <v>0</v>
      </c>
      <c r="K24" s="2046"/>
      <c r="L24" s="2046"/>
      <c r="M24" s="2046"/>
      <c r="N24" s="2046"/>
      <c r="O24" s="2046"/>
      <c r="P24" s="2046"/>
      <c r="Q24" s="2046"/>
      <c r="R24" s="2046"/>
      <c r="S24" s="2047"/>
      <c r="T24" s="105" t="s">
        <v>531</v>
      </c>
      <c r="U24" s="106"/>
      <c r="V24" s="106"/>
      <c r="W24" s="106"/>
      <c r="X24" s="107"/>
      <c r="Y24" s="107"/>
      <c r="Z24" s="107"/>
      <c r="AA24" s="108"/>
    </row>
    <row r="25" spans="1:27" ht="14.1" customHeight="1" x14ac:dyDescent="0.2">
      <c r="A25" s="1981">
        <v>60093</v>
      </c>
      <c r="B25" s="1982"/>
      <c r="C25" s="1982"/>
      <c r="D25" s="1982"/>
      <c r="E25" s="1982"/>
      <c r="F25" s="1982"/>
      <c r="G25" s="1982"/>
      <c r="H25" s="1983"/>
      <c r="I25" s="113"/>
      <c r="J25" s="2048"/>
      <c r="K25" s="2048"/>
      <c r="L25" s="2048"/>
      <c r="M25" s="2048"/>
      <c r="N25" s="2048"/>
      <c r="O25" s="2048"/>
      <c r="P25" s="2048"/>
      <c r="Q25" s="2048"/>
      <c r="R25" s="2048"/>
      <c r="S25" s="2049"/>
      <c r="T25" s="1941" t="s">
        <v>2082</v>
      </c>
      <c r="U25" s="1942"/>
      <c r="V25" s="1942"/>
      <c r="W25" s="1942"/>
      <c r="X25" s="1942"/>
      <c r="Y25" s="1942"/>
      <c r="Z25" s="1942"/>
      <c r="AA25" s="19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9" t="s">
        <v>1511</v>
      </c>
      <c r="J27" s="2012"/>
      <c r="K27" s="2012"/>
      <c r="L27" s="2012"/>
      <c r="M27" s="2012"/>
      <c r="N27" s="2012"/>
      <c r="O27" s="2012"/>
      <c r="P27" s="2012"/>
      <c r="Q27" s="2012"/>
      <c r="R27" s="2012"/>
      <c r="S27" s="201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02" t="s">
        <v>2064</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02"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5"/>
      <c r="Q35" s="1982"/>
      <c r="R35" s="198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4" t="s">
        <v>2070</v>
      </c>
      <c r="B38" s="2014"/>
      <c r="C38" s="2014"/>
      <c r="D38" s="2014"/>
      <c r="E38" s="2014"/>
      <c r="F38" s="1982"/>
      <c r="G38" s="1982"/>
      <c r="H38" s="1983"/>
      <c r="I38" s="2033"/>
      <c r="J38" s="1953"/>
      <c r="K38" s="1953"/>
      <c r="L38" s="1953"/>
      <c r="M38" s="1953"/>
      <c r="N38" s="1953"/>
      <c r="O38" s="1953"/>
      <c r="P38" s="1954"/>
      <c r="Q38" s="1954"/>
      <c r="R38" s="1954"/>
      <c r="S38" s="1955"/>
      <c r="T38" s="1952"/>
      <c r="U38" s="1953"/>
      <c r="V38" s="1953"/>
      <c r="W38" s="1953"/>
      <c r="X38" s="1954"/>
      <c r="Y38" s="1954"/>
      <c r="Z38" s="1954"/>
      <c r="AA38" s="1955"/>
    </row>
    <row r="39" spans="1:27" ht="12" customHeight="1" x14ac:dyDescent="0.2">
      <c r="A39" s="2037" t="s">
        <v>531</v>
      </c>
      <c r="B39" s="2038"/>
      <c r="C39" s="72"/>
      <c r="D39" s="69"/>
      <c r="E39" s="69"/>
      <c r="F39" s="79"/>
      <c r="G39" s="69"/>
      <c r="H39" s="56"/>
      <c r="I39" s="2037" t="s">
        <v>531</v>
      </c>
      <c r="J39" s="2038"/>
      <c r="K39" s="2038"/>
      <c r="L39" s="2038"/>
      <c r="M39" s="2038"/>
      <c r="N39" s="67"/>
      <c r="O39" s="72"/>
      <c r="P39" s="72"/>
      <c r="Q39" s="78"/>
      <c r="R39" s="72"/>
      <c r="S39" s="56"/>
      <c r="T39" s="72" t="s">
        <v>531</v>
      </c>
      <c r="U39" s="51"/>
      <c r="V39" s="72"/>
      <c r="W39" s="50"/>
      <c r="X39" s="78"/>
      <c r="Y39" s="45"/>
      <c r="Z39" s="45"/>
      <c r="AA39" s="46"/>
    </row>
    <row r="40" spans="1:27" ht="13.5" customHeight="1" x14ac:dyDescent="0.2">
      <c r="A40" s="2040" t="s">
        <v>2071</v>
      </c>
      <c r="B40" s="2041"/>
      <c r="C40" s="2042"/>
      <c r="D40" s="2042"/>
      <c r="E40" s="2042"/>
      <c r="F40" s="2043"/>
      <c r="G40" s="2043"/>
      <c r="H40" s="2044"/>
      <c r="I40" s="1956"/>
      <c r="J40" s="1958"/>
      <c r="K40" s="1958"/>
      <c r="L40" s="1958"/>
      <c r="M40" s="1958"/>
      <c r="N40" s="1958"/>
      <c r="O40" s="1958"/>
      <c r="P40" s="1958"/>
      <c r="Q40" s="1958"/>
      <c r="R40" s="1958"/>
      <c r="S40" s="1959"/>
      <c r="T40" s="1956"/>
      <c r="U40" s="1957"/>
      <c r="V40" s="1958"/>
      <c r="W40" s="1958"/>
      <c r="X40" s="1958"/>
      <c r="Y40" s="1958"/>
      <c r="Z40" s="1958"/>
      <c r="AA40" s="195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0" t="s">
        <v>2072</v>
      </c>
      <c r="B42" s="2031"/>
      <c r="C42" s="2032"/>
      <c r="D42" s="2045" t="s">
        <v>2073</v>
      </c>
      <c r="E42" s="2031"/>
      <c r="F42" s="2031"/>
      <c r="G42" s="2031"/>
      <c r="H42" s="2032"/>
      <c r="I42" s="1951"/>
      <c r="J42" s="1947"/>
      <c r="K42" s="1947"/>
      <c r="L42" s="1947"/>
      <c r="M42" s="1947"/>
      <c r="N42" s="1947"/>
      <c r="O42" s="1948"/>
      <c r="P42" s="1946"/>
      <c r="Q42" s="1947"/>
      <c r="R42" s="1947"/>
      <c r="S42" s="1948"/>
      <c r="T42" s="1951"/>
      <c r="U42" s="1947"/>
      <c r="V42" s="1947"/>
      <c r="W42" s="1948"/>
      <c r="X42" s="1946"/>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E7" sqref="E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1951</v>
      </c>
      <c r="C2" s="714" t="s">
        <v>1952</v>
      </c>
      <c r="D2" s="714" t="s">
        <v>1953</v>
      </c>
      <c r="E2" s="714" t="s">
        <v>1954</v>
      </c>
      <c r="F2" s="714" t="s">
        <v>1955</v>
      </c>
    </row>
    <row r="3" spans="1:6" ht="12" customHeight="1" x14ac:dyDescent="0.2">
      <c r="A3" s="2184"/>
      <c r="B3" s="1525"/>
      <c r="C3" s="1526"/>
      <c r="D3" s="1527" t="s">
        <v>256</v>
      </c>
      <c r="E3" s="1526"/>
      <c r="F3" s="1527" t="s">
        <v>257</v>
      </c>
    </row>
    <row r="4" spans="1:6" ht="13.7" customHeight="1" x14ac:dyDescent="0.2">
      <c r="A4" s="715" t="s">
        <v>1155</v>
      </c>
      <c r="B4" s="1749">
        <f>'Revenues 9-14'!C5</f>
        <v>10398751</v>
      </c>
      <c r="C4" s="1524">
        <v>5286517</v>
      </c>
      <c r="D4" s="1752">
        <f>B4-C4</f>
        <v>5112234</v>
      </c>
      <c r="E4" s="1524">
        <v>11551772</v>
      </c>
      <c r="F4" s="1752">
        <f>E4-C4</f>
        <v>6265255</v>
      </c>
    </row>
    <row r="5" spans="1:6" ht="13.7" customHeight="1" x14ac:dyDescent="0.2">
      <c r="A5" s="715" t="s">
        <v>870</v>
      </c>
      <c r="B5" s="1750">
        <f>'Revenues 9-14'!D5</f>
        <v>1079002</v>
      </c>
      <c r="C5" s="585">
        <v>535729</v>
      </c>
      <c r="D5" s="1753">
        <f t="shared" ref="D5:D18" si="0">B5-C5</f>
        <v>543273</v>
      </c>
      <c r="E5" s="585">
        <v>1170641</v>
      </c>
      <c r="F5" s="1753">
        <f>E5-C5</f>
        <v>634912</v>
      </c>
    </row>
    <row r="6" spans="1:6" ht="13.7" customHeight="1" x14ac:dyDescent="0.2">
      <c r="A6" s="715" t="s">
        <v>411</v>
      </c>
      <c r="B6" s="1750">
        <f>'Revenues 9-14'!E5</f>
        <v>362881</v>
      </c>
      <c r="C6" s="585">
        <v>204631</v>
      </c>
      <c r="D6" s="1753">
        <f t="shared" si="0"/>
        <v>158250</v>
      </c>
      <c r="E6" s="585">
        <v>447148</v>
      </c>
      <c r="F6" s="1753">
        <f t="shared" ref="F6:F18" si="1">E6-C6</f>
        <v>242517</v>
      </c>
    </row>
    <row r="7" spans="1:6" ht="13.7" customHeight="1" x14ac:dyDescent="0.2">
      <c r="A7" s="715" t="s">
        <v>155</v>
      </c>
      <c r="B7" s="1750">
        <f>'Revenues 9-14'!F5</f>
        <v>123083</v>
      </c>
      <c r="C7" s="585">
        <v>51351</v>
      </c>
      <c r="D7" s="1753">
        <f t="shared" si="0"/>
        <v>71732</v>
      </c>
      <c r="E7" s="585">
        <v>112208</v>
      </c>
      <c r="F7" s="1753">
        <f t="shared" si="1"/>
        <v>60857</v>
      </c>
    </row>
    <row r="8" spans="1:6" ht="13.7" customHeight="1" x14ac:dyDescent="0.2">
      <c r="A8" s="715" t="s">
        <v>1179</v>
      </c>
      <c r="B8" s="1750">
        <f>'Revenues 9-14'!G5</f>
        <v>142492</v>
      </c>
      <c r="C8" s="585">
        <v>75731</v>
      </c>
      <c r="D8" s="1753">
        <f t="shared" si="0"/>
        <v>66761</v>
      </c>
      <c r="E8" s="585">
        <v>165483</v>
      </c>
      <c r="F8" s="1753">
        <f t="shared" si="1"/>
        <v>89752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5859</v>
      </c>
      <c r="C10" s="585">
        <v>2157</v>
      </c>
      <c r="D10" s="1753">
        <f t="shared" si="0"/>
        <v>3702</v>
      </c>
      <c r="E10" s="585">
        <v>4714</v>
      </c>
      <c r="F10" s="1753">
        <f t="shared" si="1"/>
        <v>2557</v>
      </c>
    </row>
    <row r="11" spans="1:6" x14ac:dyDescent="0.2">
      <c r="A11" s="715" t="s">
        <v>409</v>
      </c>
      <c r="B11" s="1750">
        <f>'Revenues 9-14'!J5</f>
        <v>72956</v>
      </c>
      <c r="C11" s="585">
        <v>35816</v>
      </c>
      <c r="D11" s="1753">
        <f t="shared" si="0"/>
        <v>37140</v>
      </c>
      <c r="E11" s="585">
        <v>78262</v>
      </c>
      <c r="F11" s="1753">
        <f t="shared" si="1"/>
        <v>42446</v>
      </c>
    </row>
    <row r="12" spans="1:6" ht="13.7" customHeight="1" x14ac:dyDescent="0.2">
      <c r="A12" s="715" t="s">
        <v>157</v>
      </c>
      <c r="B12" s="1750">
        <f>'Revenues 9-14'!K5</f>
        <v>66</v>
      </c>
      <c r="C12" s="585">
        <v>431</v>
      </c>
      <c r="D12" s="1753">
        <f t="shared" si="0"/>
        <v>-365</v>
      </c>
      <c r="E12" s="585">
        <v>942</v>
      </c>
      <c r="F12" s="1753">
        <f t="shared" si="1"/>
        <v>511</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142483</v>
      </c>
      <c r="C16" s="585">
        <v>75731</v>
      </c>
      <c r="D16" s="1753">
        <f t="shared" si="0"/>
        <v>66752</v>
      </c>
      <c r="E16" s="585">
        <v>165483</v>
      </c>
      <c r="F16" s="1753">
        <f t="shared" si="1"/>
        <v>89752</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12327573</v>
      </c>
      <c r="C19" s="1751">
        <f>SUM(C4:C18)</f>
        <v>6268094</v>
      </c>
      <c r="D19" s="1751">
        <f>SUM(D4:D18)</f>
        <v>6059479</v>
      </c>
      <c r="E19" s="1751">
        <f>SUM(E4:E18)</f>
        <v>13696653</v>
      </c>
      <c r="F19" s="1751">
        <f>SUM(F4:F18)</f>
        <v>7428559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B27" colorId="8" zoomScale="110" zoomScaleNormal="110" workbookViewId="0">
      <selection activeCell="G37" sqref="G3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9" t="s">
        <v>629</v>
      </c>
      <c r="B1" s="2190"/>
      <c r="C1" s="721"/>
    </row>
    <row r="2" spans="1:7" ht="33.75" x14ac:dyDescent="0.2">
      <c r="A2" s="2198" t="s">
        <v>1802</v>
      </c>
      <c r="B2" s="2199"/>
      <c r="C2" s="1884" t="s">
        <v>1956</v>
      </c>
      <c r="D2" s="723" t="s">
        <v>1957</v>
      </c>
      <c r="E2" s="723" t="s">
        <v>1958</v>
      </c>
      <c r="F2" s="1884" t="s">
        <v>1959</v>
      </c>
    </row>
    <row r="3" spans="1:7" ht="15.75" customHeight="1" x14ac:dyDescent="0.2">
      <c r="A3" s="2202" t="s">
        <v>1114</v>
      </c>
      <c r="B3" s="2203"/>
      <c r="C3" s="2191"/>
      <c r="D3" s="2192"/>
      <c r="E3" s="2192"/>
      <c r="F3" s="2193"/>
    </row>
    <row r="4" spans="1:7" ht="12.75" customHeight="1" thickBot="1" x14ac:dyDescent="0.25">
      <c r="A4" s="2200" t="s">
        <v>630</v>
      </c>
      <c r="B4" s="2201"/>
      <c r="C4" s="581"/>
      <c r="D4" s="581"/>
      <c r="E4" s="581"/>
      <c r="F4" s="1755">
        <f>SUM(C4+D4)-E4</f>
        <v>0</v>
      </c>
    </row>
    <row r="5" spans="1:7" ht="15.75" customHeight="1" thickTop="1" x14ac:dyDescent="0.2">
      <c r="A5" s="2185" t="s">
        <v>1110</v>
      </c>
      <c r="B5" s="2186"/>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7" t="s">
        <v>631</v>
      </c>
      <c r="B15" s="2188"/>
      <c r="C15" s="1755">
        <f>SUM(C6:C14)</f>
        <v>0</v>
      </c>
      <c r="D15" s="1755">
        <f>SUM(D6:D14)</f>
        <v>0</v>
      </c>
      <c r="E15" s="1755">
        <f>SUM(E6:E14)</f>
        <v>0</v>
      </c>
      <c r="F15" s="1755">
        <f>SUM(F6:F14)</f>
        <v>0</v>
      </c>
      <c r="G15" s="552"/>
    </row>
    <row r="16" spans="1:7" s="202" customFormat="1" ht="15.75" customHeight="1" thickTop="1" x14ac:dyDescent="0.2">
      <c r="A16" s="2197" t="s">
        <v>1111</v>
      </c>
      <c r="B16" s="2186"/>
      <c r="C16" s="2194"/>
      <c r="D16" s="2195"/>
      <c r="E16" s="2195"/>
      <c r="F16" s="2196"/>
    </row>
    <row r="17" spans="1:11" ht="12.75" customHeight="1" thickBot="1" x14ac:dyDescent="0.25">
      <c r="A17" s="2210" t="s">
        <v>64</v>
      </c>
      <c r="B17" s="2211"/>
      <c r="C17" s="726"/>
      <c r="D17" s="585"/>
      <c r="E17" s="726"/>
      <c r="F17" s="1755">
        <f>SUM(C17+D17)-E17</f>
        <v>0</v>
      </c>
    </row>
    <row r="18" spans="1:11" ht="12.75" customHeight="1" thickTop="1" thickBot="1" x14ac:dyDescent="0.25">
      <c r="A18" s="2210" t="s">
        <v>6</v>
      </c>
      <c r="B18" s="2211"/>
      <c r="C18" s="726"/>
      <c r="D18" s="585"/>
      <c r="E18" s="726"/>
      <c r="F18" s="1755">
        <f>SUM(C18+D18)-E18</f>
        <v>0</v>
      </c>
    </row>
    <row r="19" spans="1:11" ht="12.75" customHeight="1" thickTop="1" thickBot="1" x14ac:dyDescent="0.25">
      <c r="A19" s="2210" t="s">
        <v>388</v>
      </c>
      <c r="B19" s="2211"/>
      <c r="C19" s="726"/>
      <c r="D19" s="585"/>
      <c r="E19" s="726"/>
      <c r="F19" s="1755">
        <f>SUM(C19+D19)-E19</f>
        <v>0</v>
      </c>
    </row>
    <row r="20" spans="1:11" ht="12.75" customHeight="1" thickTop="1" thickBot="1" x14ac:dyDescent="0.25">
      <c r="A20" s="2210" t="s">
        <v>448</v>
      </c>
      <c r="B20" s="2211"/>
      <c r="C20" s="726"/>
      <c r="D20" s="585"/>
      <c r="E20" s="726"/>
      <c r="F20" s="1755">
        <f>SUM(C20+D20)-E20</f>
        <v>0</v>
      </c>
    </row>
    <row r="21" spans="1:11" ht="14.25" thickTop="1" thickBot="1" x14ac:dyDescent="0.25">
      <c r="A21" s="2187" t="s">
        <v>632</v>
      </c>
      <c r="B21" s="2188"/>
      <c r="C21" s="1755">
        <f>SUM(C17:C20)</f>
        <v>0</v>
      </c>
      <c r="D21" s="1755">
        <f>SUM(D17:D20)</f>
        <v>0</v>
      </c>
      <c r="E21" s="1755">
        <f>SUM(E17:E20)</f>
        <v>0</v>
      </c>
      <c r="F21" s="1755">
        <f>SUM(F17:F20)</f>
        <v>0</v>
      </c>
      <c r="G21" s="552"/>
    </row>
    <row r="22" spans="1:11" ht="15.75" customHeight="1" thickTop="1" x14ac:dyDescent="0.2">
      <c r="A22" s="2212" t="s">
        <v>1112</v>
      </c>
      <c r="B22" s="2186"/>
      <c r="C22" s="2194"/>
      <c r="D22" s="2195"/>
      <c r="E22" s="2195"/>
      <c r="F22" s="2196"/>
    </row>
    <row r="23" spans="1:11" ht="13.5" thickBot="1" x14ac:dyDescent="0.25">
      <c r="A23" s="2200" t="s">
        <v>633</v>
      </c>
      <c r="B23" s="2201"/>
      <c r="C23" s="581"/>
      <c r="D23" s="581"/>
      <c r="E23" s="581"/>
      <c r="F23" s="1755">
        <f>SUM(C23+D23)-E23</f>
        <v>0</v>
      </c>
      <c r="G23" s="552"/>
    </row>
    <row r="24" spans="1:11" ht="15.75" customHeight="1" thickTop="1" x14ac:dyDescent="0.2">
      <c r="A24" s="2212" t="s">
        <v>1113</v>
      </c>
      <c r="B24" s="2186"/>
      <c r="C24" s="2194"/>
      <c r="D24" s="2195"/>
      <c r="E24" s="2195"/>
      <c r="F24" s="2196"/>
    </row>
    <row r="25" spans="1:11" ht="13.5" thickBot="1" x14ac:dyDescent="0.25">
      <c r="A25" s="2200" t="s">
        <v>634</v>
      </c>
      <c r="B25" s="2201"/>
      <c r="C25" s="581"/>
      <c r="D25" s="581"/>
      <c r="E25" s="581"/>
      <c r="F25" s="1755">
        <f>SUM(C25+D25)-E25</f>
        <v>0</v>
      </c>
      <c r="G25" s="552"/>
    </row>
    <row r="26" spans="1:11" ht="15.75" customHeight="1" thickTop="1" x14ac:dyDescent="0.2">
      <c r="A26" s="2185" t="s">
        <v>657</v>
      </c>
      <c r="B26" s="2186"/>
      <c r="C26" s="727"/>
      <c r="D26" s="727"/>
      <c r="E26" s="727"/>
      <c r="F26" s="728"/>
    </row>
    <row r="27" spans="1:11" ht="13.5" thickBot="1" x14ac:dyDescent="0.25">
      <c r="A27" s="2187" t="s">
        <v>1070</v>
      </c>
      <c r="B27" s="2188"/>
      <c r="C27" s="585"/>
      <c r="D27" s="585"/>
      <c r="E27" s="585"/>
      <c r="F27" s="1755">
        <f>SUM(C27+D27)-E27</f>
        <v>0</v>
      </c>
      <c r="G27" s="552"/>
    </row>
    <row r="28" spans="1:11" ht="7.5" customHeight="1" thickTop="1" x14ac:dyDescent="0.2">
      <c r="A28" s="593"/>
    </row>
    <row r="29" spans="1:11" ht="23.25" customHeight="1" x14ac:dyDescent="0.2">
      <c r="A29" s="2213" t="s">
        <v>582</v>
      </c>
      <c r="B29" s="2190"/>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2083</v>
      </c>
      <c r="B31" s="733">
        <v>36584</v>
      </c>
      <c r="C31" s="734">
        <v>5025000</v>
      </c>
      <c r="D31" s="735">
        <v>1</v>
      </c>
      <c r="E31" s="734">
        <v>602891</v>
      </c>
      <c r="F31" s="734"/>
      <c r="G31" s="734">
        <v>26395</v>
      </c>
      <c r="H31" s="734">
        <v>362458</v>
      </c>
      <c r="I31" s="1756">
        <f>((E31+F31)-H31)+G31</f>
        <v>266828</v>
      </c>
      <c r="J31" s="734">
        <f>I31-266828</f>
        <v>0</v>
      </c>
      <c r="K31" s="736"/>
    </row>
    <row r="32" spans="1:11" ht="12" customHeight="1" x14ac:dyDescent="0.2">
      <c r="A32" s="732" t="s">
        <v>2084</v>
      </c>
      <c r="B32" s="733">
        <v>42345</v>
      </c>
      <c r="C32" s="734">
        <v>9540000</v>
      </c>
      <c r="D32" s="735">
        <v>7</v>
      </c>
      <c r="E32" s="734">
        <v>9540000</v>
      </c>
      <c r="F32" s="734"/>
      <c r="G32" s="734"/>
      <c r="H32" s="734"/>
      <c r="I32" s="1756">
        <f>((E32+F32)-H32)+G32</f>
        <v>9540000</v>
      </c>
      <c r="J32" s="734">
        <f>I32-243487</f>
        <v>9296513</v>
      </c>
      <c r="K32" s="736"/>
    </row>
    <row r="33" spans="1:11" ht="12" customHeight="1" x14ac:dyDescent="0.2">
      <c r="A33" s="732" t="s">
        <v>2085</v>
      </c>
      <c r="B33" s="733">
        <v>42443</v>
      </c>
      <c r="C33" s="734">
        <v>9140000</v>
      </c>
      <c r="D33" s="735">
        <v>7</v>
      </c>
      <c r="E33" s="734">
        <v>8445000</v>
      </c>
      <c r="F33" s="734"/>
      <c r="G33" s="734"/>
      <c r="H33" s="734">
        <v>655000</v>
      </c>
      <c r="I33" s="1756">
        <f t="shared" ref="I33:I48" si="1">((E33+F33)-H33)+G33</f>
        <v>7790000</v>
      </c>
      <c r="J33" s="734">
        <f>I33</f>
        <v>7790000</v>
      </c>
      <c r="K33" s="736"/>
    </row>
    <row r="34" spans="1:11" ht="12" customHeight="1" x14ac:dyDescent="0.2">
      <c r="A34" s="732" t="s">
        <v>2086</v>
      </c>
      <c r="B34" s="733">
        <v>42443</v>
      </c>
      <c r="C34" s="734">
        <v>5740000</v>
      </c>
      <c r="D34" s="735">
        <v>7</v>
      </c>
      <c r="E34" s="734">
        <v>5170000</v>
      </c>
      <c r="F34" s="734"/>
      <c r="G34" s="734">
        <v>-5170000</v>
      </c>
      <c r="H34" s="734"/>
      <c r="I34" s="1756">
        <f t="shared" si="1"/>
        <v>0</v>
      </c>
      <c r="J34" s="734"/>
      <c r="K34" s="737"/>
    </row>
    <row r="35" spans="1:11" ht="12" customHeight="1" x14ac:dyDescent="0.2">
      <c r="A35" s="732" t="s">
        <v>2088</v>
      </c>
      <c r="B35" s="733">
        <v>43368</v>
      </c>
      <c r="C35" s="738">
        <v>5170000</v>
      </c>
      <c r="D35" s="735">
        <v>3</v>
      </c>
      <c r="E35" s="738"/>
      <c r="F35" s="738">
        <v>5100000</v>
      </c>
      <c r="G35" s="738"/>
      <c r="H35" s="738"/>
      <c r="I35" s="1756">
        <f t="shared" si="1"/>
        <v>5100000</v>
      </c>
      <c r="J35" s="738">
        <f>I35</f>
        <v>5100000</v>
      </c>
      <c r="K35" s="737"/>
    </row>
    <row r="36" spans="1:11" ht="12" customHeight="1" x14ac:dyDescent="0.2">
      <c r="A36" s="732" t="s">
        <v>2087</v>
      </c>
      <c r="B36" s="733" t="s">
        <v>2089</v>
      </c>
      <c r="C36" s="734">
        <v>819828</v>
      </c>
      <c r="D36" s="735">
        <v>8</v>
      </c>
      <c r="E36" s="734">
        <v>819282</v>
      </c>
      <c r="F36" s="734"/>
      <c r="G36" s="734">
        <v>-819282</v>
      </c>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35434828</v>
      </c>
      <c r="D49" s="745"/>
      <c r="E49" s="1756">
        <f t="shared" ref="E49:J49" si="2">SUM(E31:E48)</f>
        <v>24577173</v>
      </c>
      <c r="F49" s="1756">
        <f t="shared" si="2"/>
        <v>5100000</v>
      </c>
      <c r="G49" s="1756">
        <f t="shared" si="2"/>
        <v>-5962887</v>
      </c>
      <c r="H49" s="1756">
        <f t="shared" si="2"/>
        <v>1017458</v>
      </c>
      <c r="I49" s="1756">
        <f t="shared" si="2"/>
        <v>22696828</v>
      </c>
      <c r="J49" s="1756">
        <f t="shared" si="2"/>
        <v>22186513</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4" t="s">
        <v>584</v>
      </c>
      <c r="C52" s="2205"/>
      <c r="D52" s="2205"/>
      <c r="E52" s="749" t="s">
        <v>845</v>
      </c>
      <c r="F52" s="2206"/>
      <c r="G52" s="2207"/>
      <c r="H52" s="736"/>
      <c r="I52" s="736"/>
      <c r="J52" s="746"/>
    </row>
    <row r="53" spans="1:11" ht="11.25" customHeight="1" x14ac:dyDescent="0.2">
      <c r="A53" s="750" t="s">
        <v>913</v>
      </c>
      <c r="B53" s="751" t="s">
        <v>951</v>
      </c>
      <c r="C53" s="746"/>
      <c r="D53" s="737"/>
      <c r="E53" s="749" t="s">
        <v>497</v>
      </c>
      <c r="F53" s="2208"/>
      <c r="G53" s="2209"/>
      <c r="H53" s="736"/>
      <c r="I53" s="736"/>
      <c r="J53" s="746"/>
    </row>
    <row r="54" spans="1:11" ht="11.25" customHeight="1" x14ac:dyDescent="0.2">
      <c r="A54" s="752" t="s">
        <v>914</v>
      </c>
      <c r="B54" s="747" t="s">
        <v>952</v>
      </c>
      <c r="C54" s="746"/>
      <c r="D54" s="737"/>
      <c r="E54" s="749" t="s">
        <v>498</v>
      </c>
      <c r="F54" s="2208"/>
      <c r="G54" s="220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856</v>
      </c>
      <c r="B1" s="2239"/>
      <c r="C1" s="2239"/>
      <c r="D1" s="2239"/>
      <c r="E1" s="2239"/>
      <c r="F1" s="2239"/>
      <c r="G1" s="2240"/>
      <c r="H1" s="1530"/>
      <c r="I1" s="760"/>
      <c r="J1" s="433"/>
    </row>
    <row r="2" spans="1:11" ht="26.25" x14ac:dyDescent="0.2">
      <c r="A2" s="2217" t="s">
        <v>1677</v>
      </c>
      <c r="B2" s="2218"/>
      <c r="C2" s="2218"/>
      <c r="D2" s="2218"/>
      <c r="E2" s="2219"/>
      <c r="F2" s="761" t="s">
        <v>904</v>
      </c>
      <c r="G2" s="762" t="s">
        <v>1674</v>
      </c>
      <c r="H2" s="762" t="s">
        <v>410</v>
      </c>
      <c r="I2" s="762" t="s">
        <v>1158</v>
      </c>
      <c r="J2" s="762" t="s">
        <v>1812</v>
      </c>
      <c r="K2" s="762" t="s">
        <v>138</v>
      </c>
    </row>
    <row r="3" spans="1:11" x14ac:dyDescent="0.2">
      <c r="A3" s="2220" t="s">
        <v>1964</v>
      </c>
      <c r="B3" s="2221"/>
      <c r="C3" s="2221"/>
      <c r="D3" s="2221"/>
      <c r="E3" s="2222"/>
      <c r="F3" s="763"/>
      <c r="G3" s="764"/>
      <c r="H3" s="764"/>
      <c r="I3" s="764"/>
      <c r="J3" s="765"/>
      <c r="K3" s="765"/>
    </row>
    <row r="4" spans="1:11" x14ac:dyDescent="0.2">
      <c r="A4" s="2223" t="s">
        <v>369</v>
      </c>
      <c r="B4" s="2224"/>
      <c r="C4" s="2224"/>
      <c r="D4" s="2224"/>
      <c r="E4" s="2205"/>
      <c r="F4" s="766"/>
      <c r="G4" s="767"/>
      <c r="H4" s="768"/>
      <c r="I4" s="767"/>
      <c r="J4" s="769"/>
      <c r="K4" s="769"/>
    </row>
    <row r="5" spans="1:11" x14ac:dyDescent="0.2">
      <c r="A5" s="2241" t="s">
        <v>1069</v>
      </c>
      <c r="B5" s="2214"/>
      <c r="C5" s="2214"/>
      <c r="D5" s="2214"/>
      <c r="E5" s="2242"/>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1" t="s">
        <v>1813</v>
      </c>
      <c r="B10" s="2214"/>
      <c r="C10" s="2214"/>
      <c r="D10" s="2214"/>
      <c r="E10" s="2243"/>
      <c r="F10" s="783" t="s">
        <v>862</v>
      </c>
      <c r="G10" s="782"/>
      <c r="H10" s="784"/>
      <c r="I10" s="764"/>
      <c r="J10" s="765"/>
      <c r="K10" s="765"/>
    </row>
    <row r="11" spans="1:11" x14ac:dyDescent="0.2">
      <c r="A11" s="2241" t="s">
        <v>160</v>
      </c>
      <c r="B11" s="2214"/>
      <c r="C11" s="2214"/>
      <c r="D11" s="2214"/>
      <c r="E11" s="2242"/>
      <c r="F11" s="770" t="s">
        <v>852</v>
      </c>
      <c r="G11" s="771"/>
      <c r="H11" s="764"/>
      <c r="I11" s="764"/>
      <c r="J11" s="765"/>
      <c r="K11" s="773"/>
    </row>
    <row r="12" spans="1:11" ht="13.5" thickBot="1" x14ac:dyDescent="0.25">
      <c r="A12" s="2231" t="s">
        <v>905</v>
      </c>
      <c r="B12" s="2232"/>
      <c r="C12" s="2232"/>
      <c r="D12" s="2232"/>
      <c r="E12" s="2233"/>
      <c r="F12" s="1757"/>
      <c r="G12" s="1758">
        <f>SUM(G5:G11)</f>
        <v>0</v>
      </c>
      <c r="H12" s="1758">
        <f>SUM(H5:H11)</f>
        <v>0</v>
      </c>
      <c r="I12" s="1758">
        <f>SUM(I5:I11)</f>
        <v>0</v>
      </c>
      <c r="J12" s="1758">
        <f>SUM(J5:J11)</f>
        <v>0</v>
      </c>
      <c r="K12" s="1758">
        <f>SUM(K5:K11)</f>
        <v>0</v>
      </c>
    </row>
    <row r="13" spans="1:11" ht="13.5" thickTop="1" x14ac:dyDescent="0.2">
      <c r="A13" s="2225" t="s">
        <v>370</v>
      </c>
      <c r="B13" s="2226"/>
      <c r="C13" s="2226"/>
      <c r="D13" s="2226"/>
      <c r="E13" s="2227"/>
      <c r="F13" s="785"/>
      <c r="G13" s="786"/>
      <c r="H13" s="787"/>
      <c r="I13" s="788"/>
      <c r="J13" s="788"/>
      <c r="K13" s="788"/>
    </row>
    <row r="14" spans="1:11" x14ac:dyDescent="0.2">
      <c r="A14" s="2247" t="s">
        <v>456</v>
      </c>
      <c r="B14" s="2247"/>
      <c r="C14" s="2247"/>
      <c r="D14" s="2247"/>
      <c r="E14" s="2248"/>
      <c r="F14" s="789" t="s">
        <v>854</v>
      </c>
      <c r="G14" s="782"/>
      <c r="H14" s="764"/>
      <c r="I14" s="771"/>
      <c r="J14" s="773"/>
      <c r="K14" s="765"/>
    </row>
    <row r="15" spans="1:11" x14ac:dyDescent="0.2">
      <c r="A15" s="2214" t="s">
        <v>4</v>
      </c>
      <c r="B15" s="2214"/>
      <c r="C15" s="2214"/>
      <c r="D15" s="2214"/>
      <c r="E15" s="2242"/>
      <c r="F15" s="789" t="s">
        <v>855</v>
      </c>
      <c r="G15" s="771"/>
      <c r="H15" s="764"/>
      <c r="I15" s="764"/>
      <c r="J15" s="765"/>
      <c r="K15" s="765"/>
    </row>
    <row r="16" spans="1:11" x14ac:dyDescent="0.2">
      <c r="A16" s="2214" t="s">
        <v>298</v>
      </c>
      <c r="B16" s="2214"/>
      <c r="C16" s="2214"/>
      <c r="D16" s="2214"/>
      <c r="E16" s="2242"/>
      <c r="F16" s="789" t="s">
        <v>923</v>
      </c>
      <c r="G16" s="772"/>
      <c r="H16" s="767"/>
      <c r="I16" s="767"/>
      <c r="J16" s="769"/>
      <c r="K16" s="769"/>
    </row>
    <row r="17" spans="1:11" x14ac:dyDescent="0.2">
      <c r="A17" s="2236" t="s">
        <v>935</v>
      </c>
      <c r="B17" s="2236"/>
      <c r="C17" s="2236"/>
      <c r="D17" s="2236"/>
      <c r="E17" s="2237"/>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49" t="s">
        <v>1809</v>
      </c>
      <c r="B19" s="2249"/>
      <c r="C19" s="2249"/>
      <c r="D19" s="2249"/>
      <c r="E19" s="2250"/>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34" t="s">
        <v>638</v>
      </c>
      <c r="B21" s="2234"/>
      <c r="C21" s="2234"/>
      <c r="D21" s="2234"/>
      <c r="E21" s="2234"/>
      <c r="F21" s="1759"/>
      <c r="G21" s="792"/>
      <c r="H21" s="796"/>
      <c r="I21" s="796"/>
      <c r="J21" s="1760">
        <f>SUM(J18:J20)</f>
        <v>0</v>
      </c>
      <c r="K21" s="793"/>
    </row>
    <row r="22" spans="1:11" ht="13.5" thickTop="1" x14ac:dyDescent="0.2">
      <c r="A22" s="2214" t="s">
        <v>1815</v>
      </c>
      <c r="B22" s="2214"/>
      <c r="C22" s="2214"/>
      <c r="D22" s="2214"/>
      <c r="E22" s="2242"/>
      <c r="F22" s="789" t="s">
        <v>862</v>
      </c>
      <c r="G22" s="782"/>
      <c r="H22" s="764"/>
      <c r="I22" s="764"/>
      <c r="J22" s="797"/>
      <c r="K22" s="765"/>
    </row>
    <row r="23" spans="1:11" ht="13.5" thickBot="1" x14ac:dyDescent="0.25">
      <c r="A23" s="2235" t="s">
        <v>906</v>
      </c>
      <c r="B23" s="2234"/>
      <c r="C23" s="2234"/>
      <c r="D23" s="2234"/>
      <c r="E23" s="2234"/>
      <c r="F23" s="1761"/>
      <c r="G23" s="1758">
        <f>SUM(G14:G16,G21,G22)</f>
        <v>0</v>
      </c>
      <c r="H23" s="1758">
        <f>SUM(H14:H16,H21,H22)</f>
        <v>0</v>
      </c>
      <c r="I23" s="1758">
        <f>SUM(I14:I16,I21,I22)</f>
        <v>0</v>
      </c>
      <c r="J23" s="1758">
        <f>SUM(J14:J16,J21,J22)</f>
        <v>0</v>
      </c>
      <c r="K23" s="1758">
        <f>SUM(K14:K16,K21,K22)</f>
        <v>0</v>
      </c>
    </row>
    <row r="24" spans="1:11" ht="14.25" thickTop="1" thickBot="1" x14ac:dyDescent="0.25">
      <c r="A24" s="2235" t="s">
        <v>1965</v>
      </c>
      <c r="B24" s="2234"/>
      <c r="C24" s="2234"/>
      <c r="D24" s="2234"/>
      <c r="E24" s="223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44"/>
      <c r="I31" s="2245"/>
      <c r="J31" s="2245"/>
      <c r="K31" s="2245"/>
    </row>
    <row r="32" spans="1:11" x14ac:dyDescent="0.2">
      <c r="A32" s="809"/>
      <c r="B32" s="237"/>
      <c r="C32" s="237"/>
      <c r="D32" s="237"/>
      <c r="E32" s="805"/>
      <c r="F32" s="811" t="s">
        <v>540</v>
      </c>
      <c r="G32" s="764"/>
      <c r="H32" s="2246"/>
      <c r="I32" s="2245"/>
      <c r="J32" s="2245"/>
      <c r="K32" s="2245"/>
    </row>
    <row r="33" spans="1:11" ht="1.5" customHeight="1" x14ac:dyDescent="0.2">
      <c r="A33" s="812" t="s">
        <v>1169</v>
      </c>
      <c r="B33" s="364"/>
      <c r="C33" s="364"/>
      <c r="D33" s="364"/>
      <c r="E33" s="364"/>
      <c r="F33" s="364"/>
      <c r="G33" s="813"/>
      <c r="H33" s="2246"/>
      <c r="I33" s="2245"/>
      <c r="J33" s="2245"/>
      <c r="K33" s="224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4" t="s">
        <v>541</v>
      </c>
      <c r="B41" s="2215"/>
      <c r="C41" s="2215"/>
      <c r="D41" s="2215"/>
      <c r="E41" s="2215"/>
      <c r="F41" s="221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G12" sqref="G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1909</v>
      </c>
      <c r="B1" s="2254"/>
      <c r="C1" s="2255"/>
      <c r="D1" s="826"/>
      <c r="E1" s="827"/>
      <c r="F1" s="827"/>
      <c r="G1" s="828"/>
      <c r="H1" s="829"/>
      <c r="I1" s="830"/>
      <c r="J1" s="2251"/>
      <c r="K1" s="2252"/>
      <c r="L1" s="2252"/>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76885</v>
      </c>
      <c r="D5" s="841"/>
      <c r="E5" s="841"/>
      <c r="F5" s="1760">
        <f>(C5+D5)-E5</f>
        <v>76885</v>
      </c>
      <c r="G5" s="837"/>
      <c r="H5" s="842"/>
      <c r="I5" s="842"/>
      <c r="J5" s="842"/>
      <c r="K5" s="793"/>
      <c r="L5" s="1769">
        <f>F5-K5</f>
        <v>76885</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33933914</v>
      </c>
      <c r="D8" s="844"/>
      <c r="E8" s="844"/>
      <c r="F8" s="1760">
        <f>(C8+D8)-E8</f>
        <v>33933914</v>
      </c>
      <c r="G8" s="843">
        <v>50</v>
      </c>
      <c r="H8" s="765">
        <v>4020501</v>
      </c>
      <c r="I8" s="765">
        <v>869873</v>
      </c>
      <c r="J8" s="765"/>
      <c r="K8" s="1769">
        <f>(H8+I8)-J8</f>
        <v>4890374</v>
      </c>
      <c r="L8" s="1769">
        <f>F8-K8</f>
        <v>29043540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264760</v>
      </c>
      <c r="D10" s="846">
        <v>7890</v>
      </c>
      <c r="E10" s="846"/>
      <c r="F10" s="1764">
        <f>(C10+D10)-E10</f>
        <v>272650</v>
      </c>
      <c r="G10" s="843">
        <v>20</v>
      </c>
      <c r="H10" s="847">
        <v>231267</v>
      </c>
      <c r="I10" s="847">
        <v>3179</v>
      </c>
      <c r="J10" s="847"/>
      <c r="K10" s="1769">
        <f>(H10+I10)-J10</f>
        <v>234446</v>
      </c>
      <c r="L10" s="1769">
        <f>F10-K10</f>
        <v>38204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1156451</v>
      </c>
      <c r="D12" s="844">
        <v>24139</v>
      </c>
      <c r="E12" s="844">
        <v>6046</v>
      </c>
      <c r="F12" s="1760">
        <f>(C12+D12)-E12</f>
        <v>1174544</v>
      </c>
      <c r="G12" s="843">
        <v>10</v>
      </c>
      <c r="H12" s="765">
        <v>320777</v>
      </c>
      <c r="I12" s="765">
        <v>137997</v>
      </c>
      <c r="J12" s="765">
        <v>5744</v>
      </c>
      <c r="K12" s="1769">
        <f>(H12+I12)-J12</f>
        <v>453030</v>
      </c>
      <c r="L12" s="1769">
        <f>F12-K12</f>
        <v>721514</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v>513521</v>
      </c>
      <c r="E15" s="844"/>
      <c r="F15" s="1760">
        <f>(C15+D15)-E15</f>
        <v>513521</v>
      </c>
      <c r="G15" s="849" t="s">
        <v>862</v>
      </c>
      <c r="H15" s="781"/>
      <c r="I15" s="781"/>
      <c r="J15" s="781"/>
      <c r="K15" s="781"/>
      <c r="L15" s="1769">
        <f>F15-K15</f>
        <v>513521</v>
      </c>
    </row>
    <row r="16" spans="1:14" ht="15" customHeight="1" thickTop="1" thickBot="1" x14ac:dyDescent="0.25">
      <c r="A16" s="1765" t="s">
        <v>643</v>
      </c>
      <c r="B16" s="1766">
        <v>200</v>
      </c>
      <c r="C16" s="1760">
        <f>SUM(C3,C5:C6,C8:C10,C12:C15)</f>
        <v>35432010</v>
      </c>
      <c r="D16" s="1760">
        <f>SUM(D3,D5:D6,D8:D10,D12:D15)</f>
        <v>545550</v>
      </c>
      <c r="E16" s="1760">
        <f>SUM(E3,E5:E6,E8:E10,E12:E15)</f>
        <v>6046</v>
      </c>
      <c r="F16" s="1760">
        <f>SUM(F3,F5:F6,F8:F10,F12:F15)</f>
        <v>35971514</v>
      </c>
      <c r="G16" s="843"/>
      <c r="H16" s="1760">
        <f>SUM(H3,H6,H8:H10,H12:H14,)</f>
        <v>4572545</v>
      </c>
      <c r="I16" s="1760">
        <f>SUM(I3,I6,I8:I10,I12:I14,)</f>
        <v>1011049</v>
      </c>
      <c r="J16" s="1760">
        <f>SUM(J3,J6,J8:J10,J12:J14,)</f>
        <v>5744</v>
      </c>
      <c r="K16" s="1760">
        <f>(H16+I16)-J16</f>
        <v>5577850</v>
      </c>
      <c r="L16" s="1760">
        <f>F16-K16</f>
        <v>30393664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274487</v>
      </c>
      <c r="G17" s="837">
        <v>10</v>
      </c>
      <c r="H17" s="769"/>
      <c r="I17" s="1769">
        <f>F17/G17</f>
        <v>27448.7</v>
      </c>
      <c r="J17" s="769"/>
      <c r="K17" s="795"/>
      <c r="L17" s="795"/>
    </row>
    <row r="18" spans="1:12" ht="14.25" thickTop="1" thickBot="1" x14ac:dyDescent="0.25">
      <c r="A18" s="1767" t="s">
        <v>685</v>
      </c>
      <c r="B18" s="1768"/>
      <c r="C18" s="771"/>
      <c r="D18" s="771"/>
      <c r="E18" s="771"/>
      <c r="F18" s="850"/>
      <c r="G18" s="851"/>
      <c r="H18" s="773"/>
      <c r="I18" s="1760">
        <f>SUM(I16,I17)</f>
        <v>1038497.7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74" activePane="bottomLeft" state="frozen"/>
      <selection activeCell="A47" sqref="A47"/>
      <selection pane="bottomLeft" activeCell="M90" sqref="M9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1975</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10555215</v>
      </c>
      <c r="G8" s="865"/>
    </row>
    <row r="9" spans="1:7" x14ac:dyDescent="0.2">
      <c r="A9" s="869" t="s">
        <v>460</v>
      </c>
      <c r="B9" s="870" t="s">
        <v>1877</v>
      </c>
      <c r="C9" s="871"/>
      <c r="D9" s="869" t="s">
        <v>501</v>
      </c>
      <c r="E9" s="868"/>
      <c r="F9" s="1909">
        <f>'Expenditures 15-22'!K151</f>
        <v>1475622</v>
      </c>
      <c r="G9" s="872"/>
    </row>
    <row r="10" spans="1:7" x14ac:dyDescent="0.2">
      <c r="A10" s="869" t="s">
        <v>499</v>
      </c>
      <c r="B10" s="870" t="s">
        <v>1878</v>
      </c>
      <c r="C10" s="871"/>
      <c r="D10" s="869" t="s">
        <v>501</v>
      </c>
      <c r="E10" s="868"/>
      <c r="F10" s="1909">
        <f>'Expenditures 15-22'!K174</f>
        <v>1838718</v>
      </c>
      <c r="G10" s="872"/>
    </row>
    <row r="11" spans="1:7" x14ac:dyDescent="0.2">
      <c r="A11" s="869" t="s">
        <v>461</v>
      </c>
      <c r="B11" s="870" t="s">
        <v>1879</v>
      </c>
      <c r="C11" s="871"/>
      <c r="D11" s="869" t="s">
        <v>501</v>
      </c>
      <c r="E11" s="868"/>
      <c r="F11" s="1909">
        <f>'Expenditures 15-22'!K210</f>
        <v>204027</v>
      </c>
      <c r="G11" s="872"/>
    </row>
    <row r="12" spans="1:7" x14ac:dyDescent="0.2">
      <c r="A12" s="869" t="s">
        <v>462</v>
      </c>
      <c r="B12" s="870" t="s">
        <v>1880</v>
      </c>
      <c r="C12" s="871"/>
      <c r="D12" s="869" t="s">
        <v>501</v>
      </c>
      <c r="E12" s="868"/>
      <c r="F12" s="1909">
        <f>'Expenditures 15-22'!K295</f>
        <v>287977</v>
      </c>
      <c r="G12" s="872"/>
    </row>
    <row r="13" spans="1:7" x14ac:dyDescent="0.2">
      <c r="A13" s="869" t="s">
        <v>106</v>
      </c>
      <c r="B13" s="870" t="s">
        <v>1881</v>
      </c>
      <c r="C13" s="871"/>
      <c r="D13" s="869" t="s">
        <v>501</v>
      </c>
      <c r="E13" s="868"/>
      <c r="F13" s="1909">
        <f>'Expenditures 15-22'!K342</f>
        <v>61145</v>
      </c>
      <c r="G13" s="873"/>
    </row>
    <row r="14" spans="1:7" ht="12" customHeight="1" thickBot="1" x14ac:dyDescent="0.25">
      <c r="A14" s="1770"/>
      <c r="B14" s="1771"/>
      <c r="C14" s="1772"/>
      <c r="D14" s="1773" t="s">
        <v>501</v>
      </c>
      <c r="E14" s="1774" t="s">
        <v>958</v>
      </c>
      <c r="F14" s="1775">
        <f>SUM(F8:F13)</f>
        <v>14422704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9170</v>
      </c>
      <c r="G52" s="865"/>
    </row>
    <row r="53" spans="1:7" x14ac:dyDescent="0.2">
      <c r="A53" s="869" t="s">
        <v>459</v>
      </c>
      <c r="B53" s="869" t="s">
        <v>1475</v>
      </c>
      <c r="C53" s="889">
        <f>'Expenditures 15-22'!B102</f>
        <v>4000</v>
      </c>
      <c r="D53" s="888" t="str">
        <f>'Expenditures 15-22'!A102</f>
        <v>Total Payments to Other Govt Units</v>
      </c>
      <c r="E53" s="868"/>
      <c r="F53" s="1913">
        <f>'Expenditures 15-22'!K102</f>
        <v>755175</v>
      </c>
      <c r="G53" s="865"/>
    </row>
    <row r="54" spans="1:7" x14ac:dyDescent="0.2">
      <c r="A54" s="869" t="s">
        <v>459</v>
      </c>
      <c r="B54" s="869" t="s">
        <v>1476</v>
      </c>
      <c r="C54" s="889" t="s">
        <v>982</v>
      </c>
      <c r="D54" s="885" t="s">
        <v>1095</v>
      </c>
      <c r="E54" s="868"/>
      <c r="F54" s="1913">
        <f>'Expenditures 15-22'!G114</f>
        <v>32287</v>
      </c>
      <c r="G54" s="865"/>
    </row>
    <row r="55" spans="1:7" x14ac:dyDescent="0.2">
      <c r="A55" s="869" t="s">
        <v>459</v>
      </c>
      <c r="B55" s="869" t="s">
        <v>1477</v>
      </c>
      <c r="C55" s="889" t="s">
        <v>982</v>
      </c>
      <c r="D55" s="885" t="s">
        <v>291</v>
      </c>
      <c r="E55" s="868"/>
      <c r="F55" s="1913">
        <f>'Expenditures 15-22'!I114</f>
        <v>261161</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548000</v>
      </c>
      <c r="G58" s="865"/>
    </row>
    <row r="59" spans="1:7" x14ac:dyDescent="0.2">
      <c r="A59" s="893" t="s">
        <v>460</v>
      </c>
      <c r="B59" s="856" t="s">
        <v>1884</v>
      </c>
      <c r="C59" s="894" t="s">
        <v>982</v>
      </c>
      <c r="D59" s="856" t="s">
        <v>291</v>
      </c>
      <c r="F59" s="1916">
        <f>'Expenditures 15-22'!I151</f>
        <v>13326</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1017458</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2636577</v>
      </c>
      <c r="G76" s="865"/>
    </row>
    <row r="77" spans="1:8" s="893" customFormat="1" ht="12" customHeight="1" thickTop="1" thickBot="1" x14ac:dyDescent="0.25">
      <c r="A77" s="1779"/>
      <c r="B77" s="1776"/>
      <c r="C77" s="1772"/>
      <c r="D77" s="1777" t="s">
        <v>1900</v>
      </c>
      <c r="E77" s="1774"/>
      <c r="F77" s="1780">
        <f>(F14-F76)</f>
        <v>11786127</v>
      </c>
      <c r="G77" s="869"/>
    </row>
    <row r="78" spans="1:8" s="893" customFormat="1" ht="12" customHeight="1" thickTop="1" x14ac:dyDescent="0.2">
      <c r="A78" s="1781"/>
      <c r="B78" s="1776"/>
      <c r="C78" s="1772"/>
      <c r="D78" s="1777" t="s">
        <v>2062</v>
      </c>
      <c r="E78" s="1774"/>
      <c r="F78" s="898">
        <v>446.6</v>
      </c>
      <c r="G78" s="899"/>
      <c r="H78" s="869"/>
    </row>
    <row r="79" spans="1:8" s="893" customFormat="1" ht="12" customHeight="1" thickBot="1" x14ac:dyDescent="0.25">
      <c r="A79" s="1782"/>
      <c r="B79" s="1776"/>
      <c r="C79" s="1772"/>
      <c r="D79" s="1777" t="s">
        <v>1901</v>
      </c>
      <c r="E79" s="1774" t="s">
        <v>958</v>
      </c>
      <c r="F79" s="1783">
        <f>IF(F78&gt;0,F77/F78," Complete Line 78")</f>
        <v>26390.790416480071</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232698</v>
      </c>
      <c r="G94" s="912"/>
    </row>
    <row r="95" spans="1:7" x14ac:dyDescent="0.2">
      <c r="A95" s="908" t="s">
        <v>140</v>
      </c>
      <c r="B95" s="908" t="s">
        <v>175</v>
      </c>
      <c r="C95" s="910">
        <v>1700</v>
      </c>
      <c r="D95" s="918" t="str">
        <f>'Revenues 9-14'!A82</f>
        <v>Total District/School Activity Income</v>
      </c>
      <c r="E95" s="906"/>
      <c r="F95" s="1789">
        <f>SUM('Revenues 9-14'!C82,'Revenues 9-14'!D82)</f>
        <v>8616</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900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33990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39343</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750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3895</v>
      </c>
      <c r="G125" s="930"/>
    </row>
    <row r="126" spans="1:7" x14ac:dyDescent="0.2">
      <c r="A126" s="927" t="s">
        <v>668</v>
      </c>
      <c r="B126" s="927" t="s">
        <v>2024</v>
      </c>
      <c r="C126" s="932">
        <v>4300</v>
      </c>
      <c r="D126" s="933" t="str">
        <f>'Revenues 9-14'!A204</f>
        <v>Total Title I</v>
      </c>
      <c r="E126" s="906"/>
      <c r="F126" s="1789">
        <f>SUM('Revenues 9-14'!C204,'Revenues 9-14'!D204,'Revenues 9-14'!F204,'Revenues 9-14'!G204)</f>
        <v>82119</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771</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113025</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5613</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253496.7</v>
      </c>
      <c r="G171" s="927"/>
    </row>
    <row r="172" spans="1:7" x14ac:dyDescent="0.2">
      <c r="A172" s="1918" t="s">
        <v>664</v>
      </c>
      <c r="B172" s="1919" t="s">
        <v>1920</v>
      </c>
      <c r="C172" s="1920">
        <v>3300</v>
      </c>
      <c r="D172" s="1921" t="s">
        <v>1923</v>
      </c>
      <c r="E172" s="906"/>
      <c r="F172" s="1906">
        <v>15613</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790839.7</v>
      </c>
    </row>
    <row r="175" spans="1:7" ht="12" customHeight="1" x14ac:dyDescent="0.2">
      <c r="A175" s="1770"/>
      <c r="B175" s="1784"/>
      <c r="C175" s="1785"/>
      <c r="D175" s="1786" t="s">
        <v>2057</v>
      </c>
      <c r="E175" s="1787"/>
      <c r="F175" s="1789">
        <f>'PCTC-OEPP 27-28'!F77-F174</f>
        <v>10995287.300000001</v>
      </c>
    </row>
    <row r="176" spans="1:7" ht="12" customHeight="1" x14ac:dyDescent="0.2">
      <c r="A176" s="1770"/>
      <c r="B176" s="1784"/>
      <c r="C176" s="1785"/>
      <c r="D176" s="1786" t="s">
        <v>1817</v>
      </c>
      <c r="E176" s="1787"/>
      <c r="F176" s="1789">
        <f>'Cap Outlay Deprec 26'!I18</f>
        <v>1038497.7</v>
      </c>
    </row>
    <row r="177" spans="1:7" ht="12" customHeight="1" x14ac:dyDescent="0.2">
      <c r="A177" s="1770"/>
      <c r="B177" s="1784"/>
      <c r="C177" s="1785"/>
      <c r="D177" s="1786" t="s">
        <v>2058</v>
      </c>
      <c r="E177" s="1787"/>
      <c r="F177" s="1789">
        <f>F175+F176</f>
        <v>12033785</v>
      </c>
    </row>
    <row r="178" spans="1:7" ht="12" customHeight="1" x14ac:dyDescent="0.2">
      <c r="A178" s="1770"/>
      <c r="B178" s="1790"/>
      <c r="C178" s="1785"/>
      <c r="D178" s="1786" t="str">
        <f>D78</f>
        <v>9 Month ADA from District Average Daily Attendance/Prior General State Aid Inquiry 2018-2019</v>
      </c>
      <c r="E178" s="1787"/>
      <c r="F178" s="1791">
        <f>'PCTC-OEPP 27-28'!F78</f>
        <v>446.6</v>
      </c>
      <c r="G178" s="930"/>
    </row>
    <row r="179" spans="1:7" ht="12" customHeight="1" thickBot="1" x14ac:dyDescent="0.25">
      <c r="A179" s="1770"/>
      <c r="B179" s="1790"/>
      <c r="C179" s="1785"/>
      <c r="D179" s="1786" t="s">
        <v>2059</v>
      </c>
      <c r="E179" s="1787" t="s">
        <v>1545</v>
      </c>
      <c r="F179" s="1792">
        <f>F177/F178</f>
        <v>26945.331392745185</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showGridLines="0" topLeftCell="A7" zoomScaleNormal="100" workbookViewId="0">
      <selection activeCell="B22" sqref="B22"/>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1932</v>
      </c>
      <c r="B7" s="2277"/>
      <c r="C7" s="2277"/>
      <c r="D7" s="2277"/>
      <c r="E7" s="2277"/>
      <c r="F7" s="2277"/>
      <c r="G7" s="2278"/>
    </row>
    <row r="8" spans="1:7" ht="15.75" customHeight="1" x14ac:dyDescent="0.25">
      <c r="A8" s="2279" t="s">
        <v>1907</v>
      </c>
      <c r="B8" s="2280"/>
      <c r="C8" s="2280"/>
      <c r="D8" s="2280"/>
      <c r="E8" s="2280"/>
      <c r="F8" s="2280"/>
      <c r="G8" s="2281"/>
    </row>
    <row r="9" spans="1:7" ht="35.25" customHeight="1" x14ac:dyDescent="0.25">
      <c r="A9" s="2276" t="s">
        <v>1935</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1934</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1976</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t="s">
        <v>2115</v>
      </c>
      <c r="B17" s="1935" t="s">
        <v>2121</v>
      </c>
      <c r="C17" s="1656" t="s">
        <v>2096</v>
      </c>
      <c r="D17" s="1844">
        <v>654638</v>
      </c>
      <c r="E17" s="1540">
        <f t="shared" ref="E17:E141" si="0">IF(D17&lt;=25000,D17,IF(D17&gt;25000,25000,0))</f>
        <v>25000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t="s">
        <v>2116</v>
      </c>
      <c r="B18" s="1935" t="s">
        <v>2122</v>
      </c>
      <c r="C18" s="1656" t="s">
        <v>2126</v>
      </c>
      <c r="D18" s="1844">
        <v>215799</v>
      </c>
      <c r="E18" s="1540">
        <f t="shared" ref="E18:E140" si="2">IF(D18&lt;=25000,D18,IF(D18&gt;25000,25000,0))</f>
        <v>25000</v>
      </c>
      <c r="F18" s="1933">
        <f t="shared" si="1"/>
        <v>25000</v>
      </c>
      <c r="G18" s="1793">
        <f t="shared" ref="G18:G140" si="3">IF(F18=0,0,D18-F18)</f>
        <v>190799</v>
      </c>
    </row>
    <row r="19" spans="1:8" x14ac:dyDescent="0.25">
      <c r="A19" s="1653" t="s">
        <v>2117</v>
      </c>
      <c r="B19" s="1935" t="s">
        <v>2123</v>
      </c>
      <c r="C19" s="1656" t="s">
        <v>2127</v>
      </c>
      <c r="D19" s="1844">
        <v>199472</v>
      </c>
      <c r="E19" s="1540">
        <f t="shared" si="2"/>
        <v>25000</v>
      </c>
      <c r="F19" s="1933">
        <f t="shared" si="1"/>
        <v>25000</v>
      </c>
      <c r="G19" s="1793">
        <f t="shared" si="3"/>
        <v>174472</v>
      </c>
    </row>
    <row r="20" spans="1:8" x14ac:dyDescent="0.25">
      <c r="A20" s="1653" t="s">
        <v>2117</v>
      </c>
      <c r="B20" s="1935" t="s">
        <v>2123</v>
      </c>
      <c r="C20" s="1656" t="s">
        <v>2128</v>
      </c>
      <c r="D20" s="1844">
        <v>106099</v>
      </c>
      <c r="E20" s="1540">
        <f t="shared" si="2"/>
        <v>25000</v>
      </c>
      <c r="F20" s="1933">
        <f t="shared" si="1"/>
        <v>25000</v>
      </c>
      <c r="G20" s="1793">
        <f t="shared" si="3"/>
        <v>81099</v>
      </c>
    </row>
    <row r="21" spans="1:8" x14ac:dyDescent="0.25">
      <c r="A21" s="1940" t="s">
        <v>2118</v>
      </c>
      <c r="B21" s="1939" t="s">
        <v>2135</v>
      </c>
      <c r="C21" s="1656" t="s">
        <v>2129</v>
      </c>
      <c r="D21" s="1844">
        <v>48570</v>
      </c>
      <c r="E21" s="1540">
        <f t="shared" si="2"/>
        <v>25000</v>
      </c>
      <c r="F21" s="1933">
        <f t="shared" si="1"/>
        <v>25000</v>
      </c>
      <c r="G21" s="1793">
        <f t="shared" si="3"/>
        <v>23570</v>
      </c>
    </row>
    <row r="22" spans="1:8" x14ac:dyDescent="0.25">
      <c r="A22" s="1653" t="s">
        <v>2119</v>
      </c>
      <c r="B22" s="1935" t="s">
        <v>2124</v>
      </c>
      <c r="C22" s="1656" t="s">
        <v>2130</v>
      </c>
      <c r="D22" s="1844">
        <v>142105</v>
      </c>
      <c r="E22" s="1540">
        <f t="shared" si="2"/>
        <v>25000</v>
      </c>
      <c r="F22" s="1933">
        <f t="shared" si="1"/>
        <v>25000</v>
      </c>
      <c r="G22" s="1793">
        <f t="shared" si="3"/>
        <v>117105</v>
      </c>
    </row>
    <row r="23" spans="1:8" x14ac:dyDescent="0.25">
      <c r="A23" s="1653" t="s">
        <v>2117</v>
      </c>
      <c r="B23" s="1935" t="s">
        <v>2123</v>
      </c>
      <c r="C23" s="1656" t="s">
        <v>2097</v>
      </c>
      <c r="D23" s="1844">
        <v>55104</v>
      </c>
      <c r="E23" s="1540">
        <f t="shared" si="2"/>
        <v>25000</v>
      </c>
      <c r="F23" s="1933">
        <f t="shared" si="1"/>
        <v>25000</v>
      </c>
      <c r="G23" s="1793">
        <f t="shared" si="3"/>
        <v>30104</v>
      </c>
    </row>
    <row r="24" spans="1:8" x14ac:dyDescent="0.25">
      <c r="A24" s="1653" t="s">
        <v>2120</v>
      </c>
      <c r="B24" s="1935" t="s">
        <v>2125</v>
      </c>
      <c r="C24" s="1656" t="s">
        <v>2131</v>
      </c>
      <c r="D24" s="1844">
        <v>59366</v>
      </c>
      <c r="E24" s="1540">
        <f t="shared" si="2"/>
        <v>25000</v>
      </c>
      <c r="F24" s="1933">
        <f t="shared" si="1"/>
        <v>25000</v>
      </c>
      <c r="G24" s="1793">
        <f t="shared" si="3"/>
        <v>34366</v>
      </c>
    </row>
    <row r="25" spans="1:8" x14ac:dyDescent="0.25">
      <c r="A25" s="1653" t="s">
        <v>2119</v>
      </c>
      <c r="B25" s="1935" t="s">
        <v>2124</v>
      </c>
      <c r="C25" s="1656" t="s">
        <v>2132</v>
      </c>
      <c r="D25" s="1844">
        <v>40480</v>
      </c>
      <c r="E25" s="1540">
        <f t="shared" si="2"/>
        <v>25000</v>
      </c>
      <c r="F25" s="1933">
        <f t="shared" si="1"/>
        <v>25000</v>
      </c>
      <c r="G25" s="1793">
        <f t="shared" si="3"/>
        <v>15480</v>
      </c>
    </row>
    <row r="26" spans="1:8" x14ac:dyDescent="0.25">
      <c r="A26" s="1653" t="s">
        <v>2115</v>
      </c>
      <c r="B26" s="1935" t="s">
        <v>2121</v>
      </c>
      <c r="C26" s="1654" t="s">
        <v>2133</v>
      </c>
      <c r="D26" s="1844">
        <v>54766</v>
      </c>
      <c r="E26" s="1540">
        <f t="shared" si="2"/>
        <v>25000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1576399</v>
      </c>
      <c r="E141" s="1541">
        <f t="shared" si="0"/>
        <v>25000</v>
      </c>
      <c r="F141" s="1934">
        <f>SUM(F17:F140)</f>
        <v>200000</v>
      </c>
      <c r="G141" s="1795">
        <f>SUM(G17:G140)</f>
        <v>666995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7" t="s">
        <v>1977</v>
      </c>
      <c r="B11" s="2288"/>
      <c r="C11" s="2288"/>
      <c r="D11" s="2289"/>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7109251</v>
      </c>
      <c r="F19" s="1799"/>
      <c r="G19" s="1801">
        <f>'Expenditures 15-22'!K33-SUM('Expenditures 15-22'!G33,'Expenditures 15-22'!I33)+'Expenditures 15-22'!D229</f>
        <v>7109251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560716</v>
      </c>
      <c r="F21" s="1802"/>
      <c r="G21" s="1805">
        <f>'Expenditures 15-22'!K42-SUM('Expenditures 15-22'!G42,'Expenditures 15-22'!I42)+'Expenditures 15-22'!K120-SUM('Expenditures 15-22'!G120,'Expenditures 15-22'!I120)+'Expenditures 15-22'!K180-SUM('Expenditures 15-22'!G180,'Expenditures 15-22'!I180)+'Expenditures 15-22'!D238</f>
        <v>560716</v>
      </c>
      <c r="H21" s="987"/>
      <c r="I21" s="162"/>
    </row>
    <row r="22" spans="1:9" s="668" customFormat="1" ht="12" customHeight="1" x14ac:dyDescent="0.2">
      <c r="A22" s="994" t="s">
        <v>564</v>
      </c>
      <c r="B22" s="995"/>
      <c r="C22" s="993">
        <v>2200</v>
      </c>
      <c r="D22" s="1802"/>
      <c r="E22" s="1804">
        <f>'Expenditures 15-22'!K47-SUM('Expenditures 15-22'!G47,'Expenditures 15-22'!I47)+'Expenditures 15-22'!D243</f>
        <v>61906</v>
      </c>
      <c r="F22" s="1802"/>
      <c r="G22" s="1805">
        <f>'Expenditures 15-22'!K47-SUM('Expenditures 15-22'!G47,'Expenditures 15-22'!I47)+'Expenditures 15-22'!D243</f>
        <v>61906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683636</v>
      </c>
      <c r="F23" s="1802"/>
      <c r="G23" s="1804">
        <f>'Expenditures 15-22'!K53-SUM('Expenditures 15-22'!G53,'Expenditures 15-22'!I53)+'Expenditures 15-22'!D257+'Expenditures 15-22'!K330-SUM('Expenditures 15-22'!G330,'Expenditures 15-22'!I330)</f>
        <v>683636</v>
      </c>
      <c r="H23" s="987"/>
      <c r="I23" s="162"/>
    </row>
    <row r="24" spans="1:9" s="668" customFormat="1" ht="12" customHeight="1" x14ac:dyDescent="0.2">
      <c r="A24" s="994" t="s">
        <v>566</v>
      </c>
      <c r="B24" s="995"/>
      <c r="C24" s="993">
        <v>2400</v>
      </c>
      <c r="D24" s="1802"/>
      <c r="E24" s="1804">
        <f>'Expenditures 15-22'!K57-SUM('Expenditures 15-22'!G57,'Expenditures 15-22'!I57)+'Expenditures 15-22'!D261</f>
        <v>547872</v>
      </c>
      <c r="F24" s="1802"/>
      <c r="G24" s="1805">
        <f>'Expenditures 15-22'!K57-SUM('Expenditures 15-22'!G57,'Expenditures 15-22'!I57)+'Expenditures 15-22'!D261</f>
        <v>547872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214054</v>
      </c>
      <c r="E26" s="1804">
        <f>'Expenditures 15-22'!K122-SUM('Expenditures 15-22'!G122,'Expenditures 15-22'!I122)+E7</f>
        <v>0</v>
      </c>
      <c r="F26" s="1804">
        <f>'Expenditures 15-22'!K59-SUM('Expenditures 15-22'!G59,'Expenditures 15-22'!I59)+'Expenditures 15-22'!D263-E7</f>
        <v>214054</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279183</v>
      </c>
      <c r="E27" s="1804">
        <f>E8</f>
        <v>0</v>
      </c>
      <c r="F27" s="1804">
        <f>'Expenditures 15-22'!K60-SUM('Expenditures 15-22'!G60,'Expenditures 15-22'!I60)+'Expenditures 15-22'!D264-E8</f>
        <v>279183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954275</v>
      </c>
      <c r="F28" s="1806">
        <f>'Expenditures 15-22'!K61-SUM('Expenditures 15-22'!G61,'Expenditures 15-22'!I61)+'Expenditures 15-22'!K124-SUM('Expenditures 15-22'!G124,'Expenditures 15-22'!I124)+'Expenditures 15-22'!D266-E9</f>
        <v>954275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204027</v>
      </c>
      <c r="F29" s="1802"/>
      <c r="G29" s="1805">
        <f>'Expenditures 15-22'!K62-SUM('Expenditures 15-22'!G62,'Expenditures 15-22'!I62)+'Expenditures 15-22'!K125-SUM('Expenditures 15-22'!G125,'Expenditures 15-22'!I125)+'Expenditures 15-22'!K182-SUM('Expenditures 15-22'!G182,'Expenditures 15-22'!I182)+'Expenditures 15-22'!D267</f>
        <v>204027</v>
      </c>
      <c r="H29" s="985"/>
    </row>
    <row r="30" spans="1:9" ht="12" customHeight="1" x14ac:dyDescent="0.2">
      <c r="A30" s="994" t="s">
        <v>100</v>
      </c>
      <c r="B30" s="997"/>
      <c r="C30" s="993">
        <v>2560</v>
      </c>
      <c r="D30" s="1802"/>
      <c r="E30" s="1804">
        <f>'Expenditures 15-22'!K63-SUM('Expenditures 15-22'!G63,'Expenditures 15-22'!I63)+'Expenditures 15-22'!D268-E10</f>
        <v>215799</v>
      </c>
      <c r="F30" s="1802"/>
      <c r="G30" s="1804">
        <f>'Expenditures 15-22'!K63-SUM('Expenditures 15-22'!G63,'Expenditures 15-22'!I63)+'Expenditures 15-22'!D268-E10</f>
        <v>215799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4676</v>
      </c>
      <c r="F35" s="1802"/>
      <c r="G35" s="1804">
        <f>'Expenditures 15-22'!K69-SUM('Expenditures 15-22'!G69,'Expenditures 15-22'!I69)+'Expenditures 15-22'!D274</f>
        <v>4676</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129472</v>
      </c>
      <c r="E37" s="1804">
        <f>E14</f>
        <v>0</v>
      </c>
      <c r="F37" s="1804">
        <f>'Expenditures 15-22'!K71-SUM('Expenditures 15-22'!G71,'Expenditures 15-22'!I71)+'Expenditures 15-22'!D276-E14</f>
        <v>129472</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9170</v>
      </c>
      <c r="F39" s="1802"/>
      <c r="G39" s="1804">
        <f>'Expenditures 15-22'!K75-SUM('Expenditures 15-22'!G75,'Expenditures 15-22'!I75)+'Expenditures 15-22'!K130-SUM('Expenditures 15-22'!G130,'Expenditures 15-22'!I130)+'Expenditures 15-22'!K185-SUM('Expenditures 15-22'!G185,'Expenditures 15-22'!I185)+'Expenditures 15-22'!D280</f>
        <v>9170</v>
      </c>
    </row>
    <row r="40" spans="1:7" ht="12" customHeight="1" x14ac:dyDescent="0.2">
      <c r="A40" s="990" t="s">
        <v>1823</v>
      </c>
      <c r="B40" s="991"/>
      <c r="C40" s="993"/>
      <c r="D40" s="1802"/>
      <c r="E40" s="1806">
        <f>-'Contracts Paid in CY 29'!G141</f>
        <v>-666995</v>
      </c>
      <c r="F40" s="1802"/>
      <c r="G40" s="1806">
        <f>-'Contracts Paid in CY 29'!G141</f>
        <v>-666995</v>
      </c>
    </row>
    <row r="41" spans="1:7" ht="12" customHeight="1" x14ac:dyDescent="0.2">
      <c r="A41" s="998" t="s">
        <v>156</v>
      </c>
      <c r="B41" s="999"/>
      <c r="C41" s="1000"/>
      <c r="D41" s="1806">
        <f>SUM(D19:D39)</f>
        <v>622709</v>
      </c>
      <c r="E41" s="1806">
        <f>SUM(E19:E40)</f>
        <v>9684333</v>
      </c>
      <c r="F41" s="1806">
        <f>SUM(F19:F39)</f>
        <v>1576984</v>
      </c>
      <c r="G41" s="1806">
        <f>SUM(G19:G40)</f>
        <v>8730058</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622709</v>
      </c>
      <c r="F43" s="1807" t="s">
        <v>473</v>
      </c>
      <c r="G43" s="1808">
        <f>F41</f>
        <v>1576984</v>
      </c>
    </row>
    <row r="44" spans="1:7" ht="12" customHeight="1" x14ac:dyDescent="0.2">
      <c r="A44" s="987"/>
      <c r="B44" s="162"/>
      <c r="C44" s="1001"/>
      <c r="D44" s="1807" t="s">
        <v>474</v>
      </c>
      <c r="E44" s="1808">
        <f>E41</f>
        <v>9684333</v>
      </c>
      <c r="F44" s="1807" t="s">
        <v>474</v>
      </c>
      <c r="G44" s="1808">
        <f>G41</f>
        <v>8730058</v>
      </c>
    </row>
    <row r="45" spans="1:7" ht="12" customHeight="1" x14ac:dyDescent="0.2">
      <c r="A45" s="987"/>
      <c r="B45" s="162"/>
      <c r="C45" s="162"/>
      <c r="D45" s="1809" t="s">
        <v>1006</v>
      </c>
      <c r="E45" s="1810">
        <f>(E43/E44)</f>
        <v>6.4300659632418669E-2</v>
      </c>
      <c r="F45" s="1809" t="s">
        <v>1006</v>
      </c>
      <c r="G45" s="1810">
        <f>(G43/G44)</f>
        <v>0.18063843332999621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L97"/>
  <sheetViews>
    <sheetView showGridLines="0" zoomScale="110" zoomScaleNormal="110" workbookViewId="0">
      <pane ySplit="4" topLeftCell="A9" activePane="bottomLeft" state="frozen"/>
      <selection activeCell="A47" sqref="A47"/>
      <selection pane="bottomLeft" activeCell="C34" sqref="C3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3" t="s">
        <v>1379</v>
      </c>
      <c r="B1" s="2293"/>
      <c r="C1" s="2293"/>
      <c r="D1" s="2293"/>
      <c r="E1" s="2293"/>
      <c r="F1" s="2293"/>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4" t="s">
        <v>1546</v>
      </c>
      <c r="B5" s="2295"/>
      <c r="C5" s="2296"/>
      <c r="D5" s="2296"/>
      <c r="E5" s="2296"/>
      <c r="F5" s="2296"/>
    </row>
    <row r="6" spans="1:10" ht="12" customHeight="1" x14ac:dyDescent="0.25">
      <c r="A6" s="1850"/>
      <c r="B6" s="1851"/>
      <c r="C6" s="2297" t="str">
        <f>COVER!A17</f>
        <v>Sunset Ridge SD 29</v>
      </c>
      <c r="D6" s="2297"/>
      <c r="E6" s="2297"/>
      <c r="F6" s="1852"/>
    </row>
    <row r="7" spans="1:10" ht="11.25" customHeight="1" thickBot="1" x14ac:dyDescent="0.3">
      <c r="A7" s="1850"/>
      <c r="B7" s="1851"/>
      <c r="C7" s="2298">
        <f>COVER!A13</f>
        <v>5016029002</v>
      </c>
      <c r="D7" s="2298"/>
      <c r="E7" s="2298"/>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t="s">
        <v>2064</v>
      </c>
      <c r="D11" s="1865" t="s">
        <v>2064</v>
      </c>
      <c r="E11" s="1866"/>
      <c r="F11" s="1867" t="s">
        <v>2090</v>
      </c>
      <c r="H11" s="1878">
        <f>IF(C11="X",5,0)</f>
        <v>5</v>
      </c>
      <c r="I11" s="1878">
        <f>IF(D11="X",5,0)</f>
        <v>5</v>
      </c>
      <c r="J11" s="1878">
        <f>IF(E11="X",5,0)</f>
        <v>0</v>
      </c>
    </row>
    <row r="12" spans="1:10" ht="12" customHeight="1" x14ac:dyDescent="0.2">
      <c r="A12" s="1863" t="s">
        <v>1384</v>
      </c>
      <c r="B12" s="1864"/>
      <c r="C12" s="1865" t="s">
        <v>2064</v>
      </c>
      <c r="D12" s="1865" t="s">
        <v>2064</v>
      </c>
      <c r="E12" s="1868"/>
      <c r="F12" s="1867" t="s">
        <v>2091</v>
      </c>
      <c r="H12" s="1878">
        <f t="shared" ref="H12:H33" si="0">IF(C12="X",5,0)</f>
        <v>5</v>
      </c>
      <c r="I12" s="1878">
        <f t="shared" ref="I12:I33" si="1">IF(D12="X",5,0)</f>
        <v>5</v>
      </c>
      <c r="J12" s="1878">
        <f t="shared" ref="J12:J33" si="2">IF(E12="X",5,0)</f>
        <v>0</v>
      </c>
    </row>
    <row r="13" spans="1:10" ht="12" customHeight="1" x14ac:dyDescent="0.2">
      <c r="A13" s="1863" t="s">
        <v>1385</v>
      </c>
      <c r="B13" s="1864"/>
      <c r="C13" s="1865" t="s">
        <v>2064</v>
      </c>
      <c r="D13" s="1865" t="s">
        <v>2064</v>
      </c>
      <c r="E13" s="1868"/>
      <c r="F13" s="1867" t="s">
        <v>2092</v>
      </c>
      <c r="H13" s="1878">
        <f t="shared" si="0"/>
        <v>5</v>
      </c>
      <c r="I13" s="1878">
        <f t="shared" si="1"/>
        <v>5</v>
      </c>
      <c r="J13" s="1878">
        <f t="shared" si="2"/>
        <v>0</v>
      </c>
    </row>
    <row r="14" spans="1:10" ht="12" customHeight="1" x14ac:dyDescent="0.2">
      <c r="A14" s="1863" t="s">
        <v>1386</v>
      </c>
      <c r="B14" s="1864"/>
      <c r="C14" s="1865" t="s">
        <v>2064</v>
      </c>
      <c r="D14" s="1865" t="s">
        <v>2064</v>
      </c>
      <c r="E14" s="1868"/>
      <c r="F14" s="1867" t="s">
        <v>2093</v>
      </c>
      <c r="H14" s="1878">
        <f t="shared" si="0"/>
        <v>5</v>
      </c>
      <c r="I14" s="1878">
        <f t="shared" si="1"/>
        <v>5</v>
      </c>
      <c r="J14" s="1878">
        <f t="shared" si="2"/>
        <v>0</v>
      </c>
    </row>
    <row r="15" spans="1:10" ht="12" customHeight="1" x14ac:dyDescent="0.2">
      <c r="A15" s="1863" t="s">
        <v>1387</v>
      </c>
      <c r="B15" s="1864"/>
      <c r="C15" s="1865" t="s">
        <v>2064</v>
      </c>
      <c r="D15" s="1865" t="s">
        <v>2064</v>
      </c>
      <c r="E15" s="1868"/>
      <c r="F15" s="1867" t="s">
        <v>2094</v>
      </c>
      <c r="H15" s="1878">
        <f t="shared" si="0"/>
        <v>5</v>
      </c>
      <c r="I15" s="1878">
        <f t="shared" si="1"/>
        <v>5</v>
      </c>
      <c r="J15" s="1878">
        <f t="shared" si="2"/>
        <v>0</v>
      </c>
    </row>
    <row r="16" spans="1:10" ht="12" customHeight="1" x14ac:dyDescent="0.2">
      <c r="A16" s="1863" t="s">
        <v>1388</v>
      </c>
      <c r="B16" s="1864"/>
      <c r="C16" s="1865" t="s">
        <v>2064</v>
      </c>
      <c r="D16" s="1865" t="s">
        <v>2064</v>
      </c>
      <c r="E16" s="1868"/>
      <c r="F16" s="1867" t="s">
        <v>2095</v>
      </c>
      <c r="H16" s="1878">
        <f t="shared" si="0"/>
        <v>5</v>
      </c>
      <c r="I16" s="1878">
        <f t="shared" si="1"/>
        <v>5</v>
      </c>
      <c r="J16" s="1878">
        <f t="shared" si="2"/>
        <v>0</v>
      </c>
    </row>
    <row r="17" spans="1:12" ht="12" customHeight="1" x14ac:dyDescent="0.2">
      <c r="A17" s="1863" t="s">
        <v>1389</v>
      </c>
      <c r="B17" s="1864"/>
      <c r="C17" s="1865" t="s">
        <v>2064</v>
      </c>
      <c r="D17" s="1865" t="s">
        <v>2064</v>
      </c>
      <c r="E17" s="1868"/>
      <c r="F17" s="1867" t="s">
        <v>2096</v>
      </c>
      <c r="H17" s="1878">
        <f t="shared" si="0"/>
        <v>5</v>
      </c>
      <c r="I17" s="1878">
        <f t="shared" si="1"/>
        <v>5</v>
      </c>
      <c r="J17" s="1878">
        <f t="shared" si="2"/>
        <v>0</v>
      </c>
    </row>
    <row r="18" spans="1:12" ht="12" customHeight="1" x14ac:dyDescent="0.2">
      <c r="A18" s="1863" t="s">
        <v>1390</v>
      </c>
      <c r="B18" s="1864"/>
      <c r="C18" s="1865" t="s">
        <v>2064</v>
      </c>
      <c r="D18" s="1865" t="s">
        <v>2064</v>
      </c>
      <c r="E18" s="1868"/>
      <c r="F18" s="1867" t="s">
        <v>2097</v>
      </c>
      <c r="H18" s="1878">
        <f t="shared" si="0"/>
        <v>5</v>
      </c>
      <c r="I18" s="1878">
        <f t="shared" si="1"/>
        <v>5</v>
      </c>
      <c r="J18" s="1878">
        <f t="shared" si="2"/>
        <v>0</v>
      </c>
    </row>
    <row r="19" spans="1:12" ht="12" customHeight="1" x14ac:dyDescent="0.2">
      <c r="A19" s="1863" t="s">
        <v>1527</v>
      </c>
      <c r="B19" s="1864"/>
      <c r="C19" s="1865" t="s">
        <v>2064</v>
      </c>
      <c r="D19" s="1865" t="s">
        <v>2064</v>
      </c>
      <c r="E19" s="1868"/>
      <c r="F19" s="1867" t="s">
        <v>2098</v>
      </c>
      <c r="H19" s="1878">
        <f t="shared" si="0"/>
        <v>5</v>
      </c>
      <c r="I19" s="1878">
        <f t="shared" si="1"/>
        <v>5</v>
      </c>
      <c r="J19" s="1878">
        <f t="shared" si="2"/>
        <v>0</v>
      </c>
    </row>
    <row r="20" spans="1:12" ht="12" customHeight="1" x14ac:dyDescent="0.2">
      <c r="A20" s="1863" t="s">
        <v>1528</v>
      </c>
      <c r="B20" s="1864"/>
      <c r="C20" s="1865" t="s">
        <v>2064</v>
      </c>
      <c r="D20" s="1865" t="s">
        <v>2064</v>
      </c>
      <c r="E20" s="1868"/>
      <c r="F20" s="1867" t="s">
        <v>2099</v>
      </c>
      <c r="H20" s="1878">
        <f t="shared" si="0"/>
        <v>5</v>
      </c>
      <c r="I20" s="1878">
        <f t="shared" si="1"/>
        <v>5</v>
      </c>
      <c r="J20" s="1878">
        <f t="shared" si="2"/>
        <v>0</v>
      </c>
    </row>
    <row r="21" spans="1:12" ht="12" customHeight="1" x14ac:dyDescent="0.2">
      <c r="A21" s="1863" t="s">
        <v>1529</v>
      </c>
      <c r="B21" s="1864"/>
      <c r="C21" s="1865" t="s">
        <v>2064</v>
      </c>
      <c r="D21" s="1865" t="s">
        <v>2064</v>
      </c>
      <c r="E21" s="1868"/>
      <c r="F21" s="1867" t="s">
        <v>2100</v>
      </c>
      <c r="H21" s="1878">
        <f t="shared" si="0"/>
        <v>5</v>
      </c>
      <c r="I21" s="1878">
        <f t="shared" si="1"/>
        <v>5</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t="s">
        <v>2064</v>
      </c>
      <c r="D23" s="1865" t="s">
        <v>2064</v>
      </c>
      <c r="E23" s="1868"/>
      <c r="F23" s="1867" t="s">
        <v>2101</v>
      </c>
      <c r="H23" s="1878">
        <f t="shared" si="0"/>
        <v>5</v>
      </c>
      <c r="I23" s="1878">
        <f t="shared" si="1"/>
        <v>5</v>
      </c>
      <c r="J23" s="1878">
        <f t="shared" si="2"/>
        <v>0</v>
      </c>
    </row>
    <row r="24" spans="1:12" ht="12" customHeight="1" x14ac:dyDescent="0.2">
      <c r="A24" s="1863" t="s">
        <v>1532</v>
      </c>
      <c r="B24" s="1864"/>
      <c r="C24" s="1865" t="s">
        <v>2064</v>
      </c>
      <c r="D24" s="1865" t="s">
        <v>2064</v>
      </c>
      <c r="E24" s="1868"/>
      <c r="F24" s="1867" t="s">
        <v>2102</v>
      </c>
      <c r="H24" s="1878">
        <f t="shared" si="0"/>
        <v>5</v>
      </c>
      <c r="I24" s="1878">
        <f t="shared" si="1"/>
        <v>5</v>
      </c>
      <c r="J24" s="1878">
        <f t="shared" si="2"/>
        <v>0</v>
      </c>
    </row>
    <row r="25" spans="1:12" ht="12" customHeight="1" x14ac:dyDescent="0.2">
      <c r="A25" s="1863" t="s">
        <v>1533</v>
      </c>
      <c r="B25" s="1864"/>
      <c r="C25" s="1865" t="s">
        <v>2064</v>
      </c>
      <c r="D25" s="1865" t="s">
        <v>2064</v>
      </c>
      <c r="E25" s="1868"/>
      <c r="F25" s="1867" t="s">
        <v>2103</v>
      </c>
      <c r="H25" s="1878">
        <f t="shared" si="0"/>
        <v>5</v>
      </c>
      <c r="I25" s="1878">
        <f t="shared" si="1"/>
        <v>5</v>
      </c>
      <c r="J25" s="1878">
        <f t="shared" si="2"/>
        <v>0</v>
      </c>
    </row>
    <row r="26" spans="1:12" ht="12" customHeight="1" x14ac:dyDescent="0.2">
      <c r="A26" s="1863" t="s">
        <v>1534</v>
      </c>
      <c r="B26" s="1864"/>
      <c r="C26" s="1865" t="s">
        <v>2064</v>
      </c>
      <c r="D26" s="1865" t="s">
        <v>2064</v>
      </c>
      <c r="E26" s="1868"/>
      <c r="F26" s="1867" t="s">
        <v>2104</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2064</v>
      </c>
      <c r="D28" s="1865" t="s">
        <v>2064</v>
      </c>
      <c r="E28" s="1868"/>
      <c r="F28" s="1867" t="s">
        <v>2105</v>
      </c>
      <c r="H28" s="1878">
        <f t="shared" si="0"/>
        <v>5</v>
      </c>
      <c r="I28" s="1878">
        <f t="shared" si="1"/>
        <v>5</v>
      </c>
      <c r="J28" s="1878">
        <f t="shared" si="2"/>
        <v>0</v>
      </c>
    </row>
    <row r="29" spans="1:12" ht="12" customHeight="1" x14ac:dyDescent="0.2">
      <c r="A29" s="1863" t="s">
        <v>1537</v>
      </c>
      <c r="B29" s="1864"/>
      <c r="C29" s="1865" t="s">
        <v>2064</v>
      </c>
      <c r="D29" s="1865" t="s">
        <v>2064</v>
      </c>
      <c r="E29" s="1868"/>
      <c r="F29" s="1867" t="s">
        <v>2106</v>
      </c>
      <c r="H29" s="1878">
        <f t="shared" si="0"/>
        <v>5</v>
      </c>
      <c r="I29" s="1878">
        <f t="shared" si="1"/>
        <v>5</v>
      </c>
      <c r="J29" s="1878">
        <f t="shared" si="2"/>
        <v>0</v>
      </c>
    </row>
    <row r="30" spans="1:12" ht="12" customHeight="1" x14ac:dyDescent="0.2">
      <c r="A30" s="1863" t="s">
        <v>1538</v>
      </c>
      <c r="B30" s="1864"/>
      <c r="C30" s="1865" t="s">
        <v>2064</v>
      </c>
      <c r="D30" s="1865" t="s">
        <v>2064</v>
      </c>
      <c r="E30" s="1868"/>
      <c r="F30" s="1867" t="s">
        <v>2107</v>
      </c>
      <c r="H30" s="1878">
        <f t="shared" si="0"/>
        <v>5</v>
      </c>
      <c r="I30" s="1878">
        <f t="shared" si="1"/>
        <v>5</v>
      </c>
      <c r="J30" s="1878">
        <f t="shared" si="2"/>
        <v>0</v>
      </c>
    </row>
    <row r="31" spans="1:12" ht="12" customHeight="1" x14ac:dyDescent="0.2">
      <c r="A31" s="1863" t="s">
        <v>1539</v>
      </c>
      <c r="B31" s="1864"/>
      <c r="C31" s="1865" t="s">
        <v>2064</v>
      </c>
      <c r="D31" s="1865" t="s">
        <v>2064</v>
      </c>
      <c r="E31" s="1868"/>
      <c r="F31" s="1867" t="s">
        <v>2096</v>
      </c>
      <c r="H31" s="1878">
        <f t="shared" si="0"/>
        <v>5</v>
      </c>
      <c r="I31" s="1878">
        <f t="shared" si="1"/>
        <v>5</v>
      </c>
      <c r="J31" s="1878">
        <f t="shared" si="2"/>
        <v>0</v>
      </c>
      <c r="L31" s="1869"/>
    </row>
    <row r="32" spans="1:12" ht="12" customHeight="1" x14ac:dyDescent="0.2">
      <c r="A32" s="1863" t="s">
        <v>1540</v>
      </c>
      <c r="B32" s="1864"/>
      <c r="C32" s="1865" t="s">
        <v>2064</v>
      </c>
      <c r="D32" s="1865" t="s">
        <v>2064</v>
      </c>
      <c r="E32" s="1868"/>
      <c r="F32" s="1867" t="s">
        <v>2108</v>
      </c>
      <c r="H32" s="1878">
        <f t="shared" si="0"/>
        <v>5</v>
      </c>
      <c r="I32" s="1878">
        <f t="shared" si="1"/>
        <v>5</v>
      </c>
      <c r="J32" s="1878">
        <f t="shared" si="2"/>
        <v>0</v>
      </c>
    </row>
    <row r="33" spans="1:11" ht="12" customHeight="1" x14ac:dyDescent="0.2">
      <c r="A33" s="1863" t="s">
        <v>1541</v>
      </c>
      <c r="B33" s="1864"/>
      <c r="C33" s="1865" t="s">
        <v>2064</v>
      </c>
      <c r="D33" s="1865" t="s">
        <v>2064</v>
      </c>
      <c r="E33" s="1868"/>
      <c r="F33" s="1867" t="s">
        <v>2109</v>
      </c>
      <c r="H33" s="1878">
        <f t="shared" si="0"/>
        <v>5</v>
      </c>
      <c r="I33" s="1878">
        <f t="shared" si="1"/>
        <v>5</v>
      </c>
      <c r="J33" s="1878">
        <f t="shared" si="2"/>
        <v>0</v>
      </c>
    </row>
    <row r="34" spans="1:11" ht="12" customHeight="1" x14ac:dyDescent="0.25">
      <c r="A34" s="1870"/>
      <c r="B34" s="1870"/>
      <c r="C34" s="1870"/>
      <c r="D34" s="1870"/>
      <c r="E34" s="1870"/>
      <c r="F34" s="1870"/>
      <c r="H34" s="1878">
        <f>SUM(H11:H32)</f>
        <v>100</v>
      </c>
      <c r="I34" s="1878">
        <f>SUM(I11:I32)</f>
        <v>100</v>
      </c>
      <c r="J34" s="1878">
        <f>SUM(J11:J32)</f>
        <v>0</v>
      </c>
      <c r="K34" s="1878">
        <f>SUM(H34:J34)</f>
        <v>200</v>
      </c>
    </row>
    <row r="35" spans="1:11" ht="12" customHeight="1" x14ac:dyDescent="0.2">
      <c r="A35" s="1871" t="s">
        <v>1392</v>
      </c>
      <c r="B35" s="1872"/>
      <c r="C35" s="2299"/>
      <c r="D35" s="2299"/>
      <c r="E35" s="2299"/>
      <c r="F35" s="2300"/>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304"/>
      <c r="B38" s="2305"/>
      <c r="C38" s="2305"/>
      <c r="D38" s="2305"/>
      <c r="E38" s="2305"/>
      <c r="F38" s="2306"/>
    </row>
    <row r="39" spans="1:11" ht="4.5" hidden="1" customHeight="1" x14ac:dyDescent="0.2">
      <c r="A39" s="1873"/>
      <c r="B39" s="1873"/>
      <c r="C39" s="1873"/>
      <c r="D39" s="1873"/>
      <c r="E39" s="1873"/>
      <c r="F39" s="1873"/>
    </row>
    <row r="40" spans="1:11" s="1870" customFormat="1" ht="12" customHeight="1" x14ac:dyDescent="0.25">
      <c r="A40" s="1874" t="s">
        <v>1391</v>
      </c>
      <c r="B40" s="1875"/>
      <c r="C40" s="2307"/>
      <c r="D40" s="2307"/>
      <c r="E40" s="2307"/>
      <c r="F40" s="2308"/>
      <c r="H40" s="1879"/>
      <c r="I40" s="1879"/>
      <c r="J40" s="1879"/>
      <c r="K40" s="1879"/>
    </row>
    <row r="41" spans="1:11" s="1870" customFormat="1" ht="12" customHeight="1" x14ac:dyDescent="0.25">
      <c r="A41" s="2309"/>
      <c r="B41" s="2310"/>
      <c r="C41" s="2310"/>
      <c r="D41" s="2310"/>
      <c r="E41" s="2310"/>
      <c r="F41" s="2311"/>
      <c r="H41" s="1879"/>
      <c r="I41" s="1879"/>
      <c r="J41" s="1879"/>
      <c r="K41" s="1879"/>
    </row>
    <row r="42" spans="1:11" s="1870" customFormat="1" ht="12" customHeight="1" x14ac:dyDescent="0.25">
      <c r="A42" s="2309"/>
      <c r="B42" s="2310"/>
      <c r="C42" s="2310"/>
      <c r="D42" s="2310"/>
      <c r="E42" s="2310"/>
      <c r="F42" s="2311"/>
      <c r="H42" s="1879"/>
      <c r="I42" s="1879"/>
      <c r="J42" s="1879"/>
      <c r="K42" s="1879"/>
    </row>
    <row r="43" spans="1:11" s="1870" customFormat="1" ht="15" x14ac:dyDescent="0.25">
      <c r="A43" s="2301"/>
      <c r="B43" s="2302"/>
      <c r="C43" s="2302"/>
      <c r="D43" s="2302"/>
      <c r="E43" s="2302"/>
      <c r="F43" s="2303"/>
      <c r="H43" s="1879"/>
      <c r="I43" s="1879"/>
      <c r="J43" s="1879"/>
      <c r="K43" s="1879"/>
    </row>
    <row r="44" spans="1:11" s="1870" customFormat="1" ht="12" hidden="1" customHeight="1" x14ac:dyDescent="0.25">
      <c r="A44" s="2301"/>
      <c r="B44" s="2302"/>
      <c r="C44" s="2302"/>
      <c r="D44" s="2302"/>
      <c r="E44" s="2302"/>
      <c r="F44" s="230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J25" sqref="J2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Sunset Ridge SD 29</v>
      </c>
      <c r="J6" s="2318"/>
      <c r="Q6" s="1664"/>
    </row>
    <row r="7" spans="1:17" x14ac:dyDescent="0.2">
      <c r="A7" s="2319" t="s">
        <v>869</v>
      </c>
      <c r="B7" s="2320"/>
      <c r="C7" s="2320"/>
      <c r="D7" s="2320"/>
      <c r="E7" s="2321"/>
      <c r="F7" s="1017"/>
      <c r="G7" s="1009"/>
      <c r="H7" s="1016" t="s">
        <v>372</v>
      </c>
      <c r="I7" s="2322">
        <f>COVER!A13</f>
        <v>5016029002</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342335</v>
      </c>
      <c r="F12" s="1039"/>
      <c r="G12" s="1811">
        <f t="shared" ref="G12:G18" si="0">SUM(E12:F12)</f>
        <v>342335</v>
      </c>
      <c r="H12" s="1040">
        <v>368093</v>
      </c>
      <c r="I12" s="1039"/>
      <c r="J12" s="1811">
        <f t="shared" ref="J12:J18" si="1">SUM(H12:I12)</f>
        <v>368093</v>
      </c>
    </row>
    <row r="13" spans="1:17" ht="15" customHeight="1" x14ac:dyDescent="0.2">
      <c r="A13" s="1035">
        <v>2</v>
      </c>
      <c r="B13" s="1036" t="s">
        <v>42</v>
      </c>
      <c r="C13" s="1037"/>
      <c r="D13" s="1038">
        <v>2330</v>
      </c>
      <c r="E13" s="1811">
        <f>'Expenditures 15-22'!K51</f>
        <v>140877</v>
      </c>
      <c r="F13" s="1039"/>
      <c r="G13" s="1811">
        <f t="shared" si="0"/>
        <v>140877</v>
      </c>
      <c r="H13" s="1040">
        <v>145757</v>
      </c>
      <c r="I13" s="1039"/>
      <c r="J13" s="1811">
        <f t="shared" si="1"/>
        <v>145757</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1068</v>
      </c>
      <c r="C15" s="1037"/>
      <c r="D15" s="1038">
        <v>2510</v>
      </c>
      <c r="E15" s="1811">
        <f>'Expenditures 15-22'!K59</f>
        <v>211349</v>
      </c>
      <c r="F15" s="1811">
        <f>'Expenditures 15-22'!K122</f>
        <v>0</v>
      </c>
      <c r="G15" s="1811">
        <f t="shared" si="0"/>
        <v>211349</v>
      </c>
      <c r="H15" s="1040">
        <v>218657</v>
      </c>
      <c r="I15" s="1040">
        <v>0</v>
      </c>
      <c r="J15" s="1811">
        <f t="shared" si="1"/>
        <v>218657</v>
      </c>
    </row>
    <row r="16" spans="1:17" ht="15" customHeight="1" x14ac:dyDescent="0.2">
      <c r="A16" s="1035">
        <v>5</v>
      </c>
      <c r="B16" s="1036" t="s">
        <v>101</v>
      </c>
      <c r="C16" s="1037"/>
      <c r="D16" s="1038">
        <v>2570</v>
      </c>
      <c r="E16" s="1811">
        <f>'Expenditures 15-22'!K64</f>
        <v>0</v>
      </c>
      <c r="F16" s="1039"/>
      <c r="G16" s="1811">
        <f t="shared" si="0"/>
        <v>0</v>
      </c>
      <c r="H16" s="1040">
        <v>0</v>
      </c>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v>0</v>
      </c>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694561</v>
      </c>
      <c r="F19" s="1813">
        <f t="shared" si="2"/>
        <v>0</v>
      </c>
      <c r="G19" s="1813">
        <f t="shared" si="2"/>
        <v>694561</v>
      </c>
      <c r="H19" s="1813">
        <f t="shared" si="2"/>
        <v>732507</v>
      </c>
      <c r="I19" s="1813">
        <f t="shared" si="2"/>
        <v>0</v>
      </c>
      <c r="J19" s="1813">
        <f t="shared" si="2"/>
        <v>732507</v>
      </c>
    </row>
    <row r="20" spans="1:10" ht="13.5" thickTop="1" x14ac:dyDescent="0.2">
      <c r="A20" s="1035">
        <v>9</v>
      </c>
      <c r="B20" s="2329" t="s">
        <v>1981</v>
      </c>
      <c r="C20" s="2329"/>
      <c r="D20" s="2330"/>
      <c r="E20" s="1046"/>
      <c r="F20" s="1046"/>
      <c r="G20" s="1046"/>
      <c r="H20" s="1046"/>
      <c r="I20" s="1046"/>
      <c r="J20" s="1814">
        <f>IF(AND(G19&gt;0,J19&gt;0),(((J19-G19)/G19)),"Enter Budget Data")</f>
        <v>5.4633070385466505E-2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1983</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B11" sqref="B1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ht="25.5" x14ac:dyDescent="0.2">
      <c r="A5" s="1068">
        <v>1</v>
      </c>
      <c r="B5" s="1938" t="s">
        <v>2110</v>
      </c>
    </row>
    <row r="6" spans="1:2" x14ac:dyDescent="0.2">
      <c r="A6" s="1068">
        <v>2</v>
      </c>
      <c r="B6" s="329" t="s">
        <v>2111</v>
      </c>
    </row>
    <row r="7" spans="1:2" x14ac:dyDescent="0.2">
      <c r="A7" s="1068">
        <v>3</v>
      </c>
      <c r="B7" s="329" t="s">
        <v>2112</v>
      </c>
    </row>
    <row r="8" spans="1:2" x14ac:dyDescent="0.2">
      <c r="A8" s="1068">
        <v>4</v>
      </c>
      <c r="B8" s="329" t="s">
        <v>2113</v>
      </c>
    </row>
    <row r="9" spans="1:2" x14ac:dyDescent="0.2">
      <c r="A9" s="1069">
        <v>5</v>
      </c>
      <c r="B9" s="329" t="s">
        <v>2114</v>
      </c>
    </row>
    <row r="10" spans="1:2" x14ac:dyDescent="0.2">
      <c r="A10" s="1069">
        <v>6</v>
      </c>
      <c r="B10" s="329" t="s">
        <v>2134</v>
      </c>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Sunset Ridge SD 29</v>
      </c>
    </row>
    <row r="65" spans="2:2" x14ac:dyDescent="0.2">
      <c r="B65" s="1070">
        <f>COVER!A13</f>
        <v>5016029002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B32" sqref="B3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6" sqref="D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914400</xdr:colOff>
                <xdr:row>1</xdr:row>
                <xdr:rowOff>0</xdr:rowOff>
              </from>
              <to>
                <xdr:col>1</xdr:col>
                <xdr:colOff>1828800</xdr:colOff>
                <xdr:row>5</xdr:row>
                <xdr:rowOff>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66675</xdr:colOff>
                <xdr:row>6</xdr:row>
                <xdr:rowOff>38100</xdr:rowOff>
              </from>
              <to>
                <xdr:col>1</xdr:col>
                <xdr:colOff>981075</xdr:colOff>
                <xdr:row>11</xdr:row>
                <xdr:rowOff>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1104900</xdr:colOff>
                <xdr:row>6</xdr:row>
                <xdr:rowOff>28575</xdr:rowOff>
              </from>
              <to>
                <xdr:col>1</xdr:col>
                <xdr:colOff>2019300</xdr:colOff>
                <xdr:row>10</xdr:row>
                <xdr:rowOff>152400</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1987</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1988</v>
      </c>
      <c r="B4" s="2357"/>
      <c r="C4" s="2357"/>
      <c r="D4" s="2357"/>
      <c r="E4" s="2357"/>
      <c r="F4" s="2358"/>
      <c r="G4" s="1074"/>
      <c r="H4" s="1074"/>
    </row>
    <row r="5" spans="1:8" ht="14.25" customHeight="1" x14ac:dyDescent="0.2">
      <c r="A5" s="2359" t="s">
        <v>1984</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12101074</v>
      </c>
      <c r="C8" s="1815">
        <f>'Acct Summary 7-8'!D8</f>
        <v>1202413</v>
      </c>
      <c r="D8" s="1815">
        <f>'Acct Summary 7-8'!F8</f>
        <v>162456</v>
      </c>
      <c r="E8" s="1815">
        <f>'Acct Summary 7-8'!I8</f>
        <v>5860</v>
      </c>
      <c r="F8" s="1815">
        <f>SUM(B8:E8)</f>
        <v>13471803</v>
      </c>
    </row>
    <row r="9" spans="1:8" s="1079" customFormat="1" ht="14.25" customHeight="1" thickBot="1" x14ac:dyDescent="0.25">
      <c r="A9" s="1078" t="s">
        <v>1369</v>
      </c>
      <c r="B9" s="1816">
        <f>'Acct Summary 7-8'!C17</f>
        <v>10555215</v>
      </c>
      <c r="C9" s="1816">
        <f>'Acct Summary 7-8'!D17</f>
        <v>1475622</v>
      </c>
      <c r="D9" s="1816">
        <f>'Acct Summary 7-8'!F17</f>
        <v>204027</v>
      </c>
      <c r="E9" s="1815"/>
      <c r="F9" s="1815">
        <f>SUM(B9:E9)</f>
        <v>12234864</v>
      </c>
    </row>
    <row r="10" spans="1:8" s="1079" customFormat="1" ht="14.25" thickTop="1" thickBot="1" x14ac:dyDescent="0.25">
      <c r="A10" s="1080" t="s">
        <v>1370</v>
      </c>
      <c r="B10" s="1817">
        <f>(B8-B9)</f>
        <v>1545859</v>
      </c>
      <c r="C10" s="1817">
        <f>(C8-C9)</f>
        <v>-273209</v>
      </c>
      <c r="D10" s="1817">
        <f>(D8-D9)</f>
        <v>-41571</v>
      </c>
      <c r="E10" s="1816">
        <f>(E8-E9)</f>
        <v>5860</v>
      </c>
      <c r="F10" s="1818">
        <f>SUM(F8-F9)</f>
        <v>1236939</v>
      </c>
    </row>
    <row r="11" spans="1:8" s="1079" customFormat="1" ht="14.25" thickTop="1" thickBot="1" x14ac:dyDescent="0.25">
      <c r="A11" s="1081" t="s">
        <v>1985</v>
      </c>
      <c r="B11" s="1819">
        <f>'Acct Summary 7-8'!C81</f>
        <v>8204283</v>
      </c>
      <c r="C11" s="1819">
        <f>'Acct Summary 7-8'!D81</f>
        <v>2439047</v>
      </c>
      <c r="D11" s="1819">
        <f>'Acct Summary 7-8'!F81</f>
        <v>266399</v>
      </c>
      <c r="E11" s="1819">
        <f>'Acct Summary 7-8'!I81</f>
        <v>56279</v>
      </c>
      <c r="F11" s="1820">
        <f>SUM(B11:E11)</f>
        <v>10966008</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3" colorId="8" zoomScale="110" zoomScaleNormal="110" workbookViewId="0">
      <selection activeCell="C55" sqref="C5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5016029002</v>
      </c>
    </row>
    <row r="3" spans="1:2" x14ac:dyDescent="0.2">
      <c r="A3" t="s">
        <v>956</v>
      </c>
      <c r="B3" s="138" t="str">
        <f>COVER!A15</f>
        <v>Cook</v>
      </c>
    </row>
    <row r="4" spans="1:2" x14ac:dyDescent="0.2">
      <c r="A4" t="s">
        <v>1007</v>
      </c>
      <c r="B4" s="138" t="str">
        <f>COVER!A17</f>
        <v>Sunset Ridge SD 29</v>
      </c>
    </row>
    <row r="5" spans="1:2" x14ac:dyDescent="0.2">
      <c r="A5" t="s">
        <v>704</v>
      </c>
      <c r="B5" s="138" t="str">
        <f>COVER!A38</f>
        <v>Dr. Edward Stange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065-037815</v>
      </c>
    </row>
    <row r="16" spans="1:2" x14ac:dyDescent="0.2">
      <c r="A16" t="s">
        <v>422</v>
      </c>
      <c r="B16" s="138" t="str">
        <f>COVER!T13</f>
        <v>Lauterbach &amp; Amen, LLP</v>
      </c>
    </row>
    <row r="17" spans="1:2" x14ac:dyDescent="0.2">
      <c r="A17" t="s">
        <v>884</v>
      </c>
      <c r="B17" s="138" t="str">
        <f>COVER!T15</f>
        <v>Don Shaw</v>
      </c>
    </row>
    <row r="18" spans="1:2" x14ac:dyDescent="0.2">
      <c r="A18" t="s">
        <v>1150</v>
      </c>
      <c r="B18" s="138" t="str">
        <f>COVER!T17</f>
        <v>668 N. River Rd</v>
      </c>
    </row>
    <row r="19" spans="1:2" x14ac:dyDescent="0.2">
      <c r="A19" t="s">
        <v>886</v>
      </c>
      <c r="B19" s="138" t="str">
        <f>COVER!T25</f>
        <v>dshaw@lauterbachamen.com</v>
      </c>
    </row>
    <row r="20" spans="1:2" x14ac:dyDescent="0.2">
      <c r="A20" t="s">
        <v>887</v>
      </c>
      <c r="B20" s="138" t="str">
        <f>COVER!T19</f>
        <v>Naperville</v>
      </c>
    </row>
    <row r="21" spans="1:2" x14ac:dyDescent="0.2">
      <c r="A21" t="s">
        <v>479</v>
      </c>
      <c r="B21" s="138" t="str">
        <f>COVER!X19</f>
        <v>IL</v>
      </c>
    </row>
    <row r="22" spans="1:2" x14ac:dyDescent="0.2">
      <c r="A22" t="s">
        <v>888</v>
      </c>
      <c r="B22" s="138">
        <f>COVER!Z19</f>
        <v>60563</v>
      </c>
    </row>
    <row r="23" spans="1:2" x14ac:dyDescent="0.2">
      <c r="A23" t="s">
        <v>1152</v>
      </c>
      <c r="B23" s="138" t="str">
        <f>COVER!T21</f>
        <v>630-393-1483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34742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6265255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14695524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80171</v>
      </c>
      <c r="D86" s="2" t="str">
        <f t="shared" si="0"/>
        <v>Error?</v>
      </c>
    </row>
    <row r="87" spans="1:4" x14ac:dyDescent="0.2">
      <c r="A87" s="10">
        <v>26</v>
      </c>
      <c r="D87" s="2" t="str">
        <f t="shared" si="0"/>
        <v>OK</v>
      </c>
    </row>
    <row r="88" spans="1:4" x14ac:dyDescent="0.2">
      <c r="A88" s="5">
        <v>27</v>
      </c>
      <c r="B88" s="138">
        <f>'Assets-Liab 5-6'!C32</f>
        <v>6265255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6491241</v>
      </c>
      <c r="C91" s="2" t="s">
        <v>573</v>
      </c>
      <c r="D91" s="2" t="str">
        <f t="shared" si="0"/>
        <v>Error?</v>
      </c>
    </row>
    <row r="92" spans="1:4" x14ac:dyDescent="0.2">
      <c r="A92" s="5">
        <v>31</v>
      </c>
      <c r="B92" s="138">
        <f>'Assets-Liab 5-6'!C39</f>
        <v>8204283</v>
      </c>
      <c r="D92" s="2" t="str">
        <f t="shared" si="0"/>
        <v>Error?</v>
      </c>
    </row>
    <row r="93" spans="1:4" x14ac:dyDescent="0.2">
      <c r="A93" s="5">
        <v>32</v>
      </c>
      <c r="B93" s="138">
        <f>'Assets-Liab 5-6'!C41</f>
        <v>14695524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634912</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3464399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7245</v>
      </c>
      <c r="D117" s="2" t="str">
        <f t="shared" si="0"/>
        <v>Error?</v>
      </c>
    </row>
    <row r="118" spans="1:4" x14ac:dyDescent="0.2">
      <c r="A118" s="10">
        <v>57</v>
      </c>
      <c r="D118" s="2" t="str">
        <f t="shared" si="0"/>
        <v>OK</v>
      </c>
    </row>
    <row r="119" spans="1:4" x14ac:dyDescent="0.2">
      <c r="A119" s="5">
        <v>58</v>
      </c>
      <c r="B119" s="138">
        <f>'Assets-Liab 5-6'!D32</f>
        <v>634912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1025352</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3464399</v>
      </c>
      <c r="C124" s="2" t="s">
        <v>573</v>
      </c>
      <c r="D124" s="2" t="str">
        <f t="shared" si="0"/>
        <v>Error?</v>
      </c>
    </row>
    <row r="125" spans="1:4" x14ac:dyDescent="0.2">
      <c r="A125" s="10">
        <v>64</v>
      </c>
      <c r="D125" s="2" t="str">
        <f t="shared" si="0"/>
        <v>OK</v>
      </c>
    </row>
    <row r="126" spans="1:4" x14ac:dyDescent="0.2">
      <c r="A126" s="5">
        <v>65</v>
      </c>
      <c r="B126" s="138">
        <f>'Assets-Liab 5-6'!E6</f>
        <v>242517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510315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242517</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242517</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510315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60857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335676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60857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69277</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335676</v>
      </c>
      <c r="C171" s="2" t="s">
        <v>573</v>
      </c>
      <c r="D171" s="2" t="str">
        <f t="shared" si="1"/>
        <v>Error?</v>
      </c>
    </row>
    <row r="172" spans="1:4" x14ac:dyDescent="0.2">
      <c r="A172" s="10">
        <v>111</v>
      </c>
      <c r="D172" s="2" t="str">
        <f t="shared" si="1"/>
        <v>OK</v>
      </c>
    </row>
    <row r="173" spans="1:4" x14ac:dyDescent="0.2">
      <c r="A173" s="5">
        <v>112</v>
      </c>
      <c r="B173" s="138">
        <f>'Assets-Liab 5-6'!G6</f>
        <v>179504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436846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179504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179504</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436846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104701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104701</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104701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76885</v>
      </c>
      <c r="D273" s="2" t="str">
        <f t="shared" si="3"/>
        <v>Error?</v>
      </c>
    </row>
    <row r="274" spans="1:4" x14ac:dyDescent="0.2">
      <c r="A274" s="5">
        <v>213</v>
      </c>
      <c r="B274" s="138">
        <f>'Assets-Liab 5-6'!M17</f>
        <v>33941804</v>
      </c>
      <c r="D274" s="2" t="str">
        <f t="shared" si="3"/>
        <v>Error?</v>
      </c>
    </row>
    <row r="275" spans="1:4" x14ac:dyDescent="0.2">
      <c r="A275" s="5">
        <v>214</v>
      </c>
      <c r="B275" s="138">
        <f>'Assets-Liab 5-6'!M18</f>
        <v>264760</v>
      </c>
      <c r="D275" s="2" t="str">
        <f t="shared" si="3"/>
        <v>Error?</v>
      </c>
    </row>
    <row r="276" spans="1:4" x14ac:dyDescent="0.2">
      <c r="A276" s="5">
        <v>215</v>
      </c>
      <c r="B276" s="138">
        <f>'Assets-Liab 5-6'!M19</f>
        <v>1174544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35971514</v>
      </c>
      <c r="C279" s="2" t="s">
        <v>573</v>
      </c>
      <c r="D279" s="2" t="str">
        <f t="shared" si="3"/>
        <v>Error?</v>
      </c>
    </row>
    <row r="280" spans="1:4" x14ac:dyDescent="0.2">
      <c r="A280" s="5">
        <v>219</v>
      </c>
      <c r="B280" s="138">
        <f>'Assets-Liab 5-6'!M40</f>
        <v>35971514</v>
      </c>
      <c r="D280" s="2" t="str">
        <f t="shared" si="3"/>
        <v>Error?</v>
      </c>
    </row>
    <row r="281" spans="1:4" x14ac:dyDescent="0.2">
      <c r="A281" s="5">
        <v>220</v>
      </c>
      <c r="B281" s="138">
        <f>'Assets-Liab 5-6'!M41</f>
        <v>35971514</v>
      </c>
      <c r="C281" s="2" t="s">
        <v>573</v>
      </c>
      <c r="D281" s="2" t="str">
        <f t="shared" si="3"/>
        <v>Error?</v>
      </c>
    </row>
    <row r="282" spans="1:4" x14ac:dyDescent="0.2">
      <c r="A282" s="5">
        <v>221</v>
      </c>
      <c r="B282" s="138">
        <f>'Assets-Liab 5-6'!N21</f>
        <v>510315</v>
      </c>
      <c r="D282" s="2" t="str">
        <f t="shared" si="3"/>
        <v>Error?</v>
      </c>
    </row>
    <row r="283" spans="1:4" x14ac:dyDescent="0.2">
      <c r="A283" s="5">
        <v>222</v>
      </c>
      <c r="B283" s="138">
        <f>'Assets-Liab 5-6'!N22</f>
        <v>22186513</v>
      </c>
      <c r="D283" s="2" t="str">
        <f t="shared" si="3"/>
        <v>Error?</v>
      </c>
    </row>
    <row r="284" spans="1:4" x14ac:dyDescent="0.2">
      <c r="A284" s="5">
        <v>223</v>
      </c>
      <c r="B284" s="138">
        <f>'Assets-Liab 5-6'!N23</f>
        <v>22696828</v>
      </c>
      <c r="C284" s="2" t="s">
        <v>573</v>
      </c>
      <c r="D284" s="2" t="str">
        <f t="shared" si="3"/>
        <v>Error?</v>
      </c>
    </row>
    <row r="285" spans="1:4" x14ac:dyDescent="0.2">
      <c r="A285" s="5">
        <v>224</v>
      </c>
      <c r="B285" s="138">
        <f>'Assets-Liab 5-6'!N36</f>
        <v>22696828</v>
      </c>
      <c r="D285" s="2" t="str">
        <f t="shared" si="3"/>
        <v>Error?</v>
      </c>
    </row>
    <row r="286" spans="1:4" x14ac:dyDescent="0.2">
      <c r="A286" s="10">
        <v>225</v>
      </c>
      <c r="D286" s="2" t="str">
        <f t="shared" si="3"/>
        <v>OK</v>
      </c>
    </row>
    <row r="287" spans="1:4" x14ac:dyDescent="0.2">
      <c r="A287" s="5">
        <v>226</v>
      </c>
      <c r="B287" s="138">
        <f>'Assets-Liab 5-6'!N37</f>
        <v>22696828</v>
      </c>
      <c r="C287" s="2" t="s">
        <v>573</v>
      </c>
      <c r="D287" s="2" t="str">
        <f t="shared" si="3"/>
        <v>Error?</v>
      </c>
    </row>
    <row r="288" spans="1:4" x14ac:dyDescent="0.2">
      <c r="A288" s="5">
        <v>227</v>
      </c>
      <c r="B288" s="138">
        <f>'Assets-Liab 5-6'!N41</f>
        <v>22696828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172805</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4142678</v>
      </c>
      <c r="D705" s="2" t="str">
        <f t="shared" si="10"/>
        <v>Error?</v>
      </c>
    </row>
    <row r="706" spans="1:4" x14ac:dyDescent="0.2">
      <c r="A706" s="5">
        <v>645</v>
      </c>
      <c r="B706" s="138">
        <f>'Expenditures 15-22'!C16</f>
        <v>165603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90508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5539269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70511</v>
      </c>
      <c r="D722" s="2" t="str">
        <f t="shared" si="10"/>
        <v>Error?</v>
      </c>
    </row>
    <row r="723" spans="1:4" x14ac:dyDescent="0.2">
      <c r="A723" s="5">
        <v>662</v>
      </c>
      <c r="B723" s="138">
        <f>'Expenditures 15-22'!C38</f>
        <v>120680</v>
      </c>
      <c r="D723" s="2" t="str">
        <f t="shared" si="10"/>
        <v>Error?</v>
      </c>
    </row>
    <row r="724" spans="1:4" x14ac:dyDescent="0.2">
      <c r="A724" s="5">
        <v>663</v>
      </c>
      <c r="B724" s="138">
        <f>'Expenditures 15-22'!C39</f>
        <v>97966</v>
      </c>
      <c r="D724" s="2" t="str">
        <f t="shared" si="10"/>
        <v>Error?</v>
      </c>
    </row>
    <row r="725" spans="1:4" x14ac:dyDescent="0.2">
      <c r="A725" s="5">
        <v>664</v>
      </c>
      <c r="B725" s="138">
        <f>'Expenditures 15-22'!C40</f>
        <v>149948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439105</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275984</v>
      </c>
      <c r="D733" s="2" t="str">
        <f t="shared" si="10"/>
        <v>Error?</v>
      </c>
    </row>
    <row r="734" spans="1:4" x14ac:dyDescent="0.2">
      <c r="A734" s="5">
        <v>673</v>
      </c>
      <c r="B734" s="138">
        <f>'Expenditures 15-22'!C53</f>
        <v>402491</v>
      </c>
      <c r="C734" s="2" t="s">
        <v>573</v>
      </c>
      <c r="D734" s="2" t="str">
        <f t="shared" si="10"/>
        <v>Error?</v>
      </c>
    </row>
    <row r="735" spans="1:4" x14ac:dyDescent="0.2">
      <c r="A735" s="5">
        <v>674</v>
      </c>
      <c r="B735" s="138">
        <f>'Expenditures 15-22'!C55</f>
        <v>424501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424501</v>
      </c>
      <c r="C737" s="2" t="s">
        <v>573</v>
      </c>
      <c r="D737" s="2" t="str">
        <f t="shared" si="10"/>
        <v>Error?</v>
      </c>
    </row>
    <row r="738" spans="1:4" x14ac:dyDescent="0.2">
      <c r="A738" s="5">
        <v>677</v>
      </c>
      <c r="B738" s="138">
        <f>'Expenditures 15-22'!C59</f>
        <v>174701</v>
      </c>
      <c r="D738" s="2" t="str">
        <f t="shared" si="10"/>
        <v>Error?</v>
      </c>
    </row>
    <row r="739" spans="1:4" x14ac:dyDescent="0.2">
      <c r="A739" s="5">
        <v>678</v>
      </c>
      <c r="B739" s="138">
        <f>'Expenditures 15-22'!C60</f>
        <v>158025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332726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1598823</v>
      </c>
      <c r="C755" s="2" t="s">
        <v>573</v>
      </c>
      <c r="D755" s="2" t="str">
        <f t="shared" si="10"/>
        <v>Error?</v>
      </c>
    </row>
    <row r="756" spans="1:4" x14ac:dyDescent="0.2">
      <c r="A756" s="5">
        <v>695</v>
      </c>
      <c r="B756" s="138">
        <f>'Expenditures 15-22'!C75</f>
        <v>6651</v>
      </c>
      <c r="D756" s="2" t="str">
        <f t="shared" si="10"/>
        <v>Error?</v>
      </c>
    </row>
    <row r="757" spans="1:4" x14ac:dyDescent="0.2">
      <c r="A757" s="5">
        <v>696</v>
      </c>
      <c r="B757" s="138">
        <f>'Expenditures 15-22'!C114</f>
        <v>7144743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671055</v>
      </c>
      <c r="D763" s="2" t="str">
        <f t="shared" si="10"/>
        <v>Error?</v>
      </c>
    </row>
    <row r="764" spans="1:4" x14ac:dyDescent="0.2">
      <c r="A764" s="5">
        <v>703</v>
      </c>
      <c r="B764" s="138">
        <f>'Expenditures 15-22'!D16</f>
        <v>44389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27209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1035691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11795</v>
      </c>
      <c r="D780" s="2" t="str">
        <f t="shared" si="11"/>
        <v>Error?</v>
      </c>
    </row>
    <row r="781" spans="1:4" x14ac:dyDescent="0.2">
      <c r="A781" s="5">
        <v>720</v>
      </c>
      <c r="B781" s="138">
        <f>'Expenditures 15-22'!D38</f>
        <v>24085</v>
      </c>
      <c r="D781" s="2" t="str">
        <f t="shared" si="11"/>
        <v>Error?</v>
      </c>
    </row>
    <row r="782" spans="1:4" x14ac:dyDescent="0.2">
      <c r="A782" s="5">
        <v>721</v>
      </c>
      <c r="B782" s="138">
        <f>'Expenditures 15-22'!D39</f>
        <v>22747</v>
      </c>
      <c r="D782" s="2" t="str">
        <f t="shared" si="11"/>
        <v>Error?</v>
      </c>
    </row>
    <row r="783" spans="1:4" x14ac:dyDescent="0.2">
      <c r="A783" s="5">
        <v>722</v>
      </c>
      <c r="B783" s="138">
        <f>'Expenditures 15-22'!D40</f>
        <v>28853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87480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52233</v>
      </c>
      <c r="D791" s="2" t="str">
        <f t="shared" si="11"/>
        <v>Error?</v>
      </c>
    </row>
    <row r="792" spans="1:4" x14ac:dyDescent="0.2">
      <c r="A792" s="5">
        <v>731</v>
      </c>
      <c r="B792" s="138">
        <f>'Expenditures 15-22'!D53</f>
        <v>66603</v>
      </c>
      <c r="C792" s="2" t="s">
        <v>573</v>
      </c>
      <c r="D792" s="2" t="str">
        <f t="shared" si="11"/>
        <v>Error?</v>
      </c>
    </row>
    <row r="793" spans="1:4" x14ac:dyDescent="0.2">
      <c r="A793" s="5">
        <v>732</v>
      </c>
      <c r="B793" s="138">
        <f>'Expenditures 15-22'!D55</f>
        <v>102105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102105</v>
      </c>
      <c r="C795" s="2" t="s">
        <v>573</v>
      </c>
      <c r="D795" s="2" t="str">
        <f t="shared" si="11"/>
        <v>Error?</v>
      </c>
    </row>
    <row r="796" spans="1:4" x14ac:dyDescent="0.2">
      <c r="A796" s="5">
        <v>735</v>
      </c>
      <c r="B796" s="138">
        <f>'Expenditures 15-22'!D59</f>
        <v>36648</v>
      </c>
      <c r="D796" s="2" t="str">
        <f t="shared" si="11"/>
        <v>Error?</v>
      </c>
    </row>
    <row r="797" spans="1:4" x14ac:dyDescent="0.2">
      <c r="A797" s="5">
        <v>736</v>
      </c>
      <c r="B797" s="138">
        <f>'Expenditures 15-22'!D60</f>
        <v>13548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50196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306384</v>
      </c>
      <c r="C813" s="2" t="s">
        <v>573</v>
      </c>
      <c r="D813" s="2" t="str">
        <f t="shared" si="11"/>
        <v>Error?</v>
      </c>
    </row>
    <row r="814" spans="1:4" x14ac:dyDescent="0.2">
      <c r="A814" s="5">
        <v>753</v>
      </c>
      <c r="B814" s="138">
        <f>'Expenditures 15-22'!D75</f>
        <v>714</v>
      </c>
      <c r="D814" s="2" t="str">
        <f t="shared" si="11"/>
        <v>Error?</v>
      </c>
    </row>
    <row r="815" spans="1:4" x14ac:dyDescent="0.2">
      <c r="A815" s="5">
        <v>754</v>
      </c>
      <c r="B815" s="138">
        <f>'Expenditures 15-22'!D114</f>
        <v>1342789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109805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116031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1442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11600</v>
      </c>
      <c r="D842" s="2" t="str">
        <f t="shared" si="12"/>
        <v>Error?</v>
      </c>
    </row>
    <row r="843" spans="1:4" x14ac:dyDescent="0.2">
      <c r="A843" s="5">
        <v>782</v>
      </c>
      <c r="B843" s="138">
        <f>'Expenditures 15-22'!E42</f>
        <v>13042</v>
      </c>
      <c r="C843" s="2" t="s">
        <v>573</v>
      </c>
      <c r="D843" s="2" t="str">
        <f t="shared" si="12"/>
        <v>Error?</v>
      </c>
    </row>
    <row r="844" spans="1:4" x14ac:dyDescent="0.2">
      <c r="A844" s="5">
        <v>783</v>
      </c>
      <c r="B844" s="138">
        <f>'Expenditures 15-22'!E44</f>
        <v>49595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49595</v>
      </c>
      <c r="C847" s="2" t="s">
        <v>573</v>
      </c>
      <c r="D847" s="2" t="str">
        <f t="shared" si="12"/>
        <v>Error?</v>
      </c>
    </row>
    <row r="848" spans="1:4" x14ac:dyDescent="0.2">
      <c r="A848" s="5">
        <v>787</v>
      </c>
      <c r="B848" s="138">
        <f>'Expenditures 15-22'!E49</f>
        <v>126525</v>
      </c>
      <c r="D848" s="2" t="str">
        <f t="shared" si="12"/>
        <v>Error?</v>
      </c>
    </row>
    <row r="849" spans="1:4" x14ac:dyDescent="0.2">
      <c r="A849" s="5">
        <v>788</v>
      </c>
      <c r="B849" s="138">
        <f>'Expenditures 15-22'!E50</f>
        <v>6462</v>
      </c>
      <c r="D849" s="2" t="str">
        <f t="shared" si="12"/>
        <v>Error?</v>
      </c>
    </row>
    <row r="850" spans="1:4" x14ac:dyDescent="0.2">
      <c r="A850" s="5">
        <v>789</v>
      </c>
      <c r="B850" s="138">
        <f>'Expenditures 15-22'!E53</f>
        <v>132987</v>
      </c>
      <c r="C850" s="2" t="s">
        <v>573</v>
      </c>
      <c r="D850" s="2" t="str">
        <f t="shared" si="12"/>
        <v>Error?</v>
      </c>
    </row>
    <row r="851" spans="1:4" x14ac:dyDescent="0.2">
      <c r="A851" s="5">
        <v>790</v>
      </c>
      <c r="B851" s="138">
        <f>'Expenditures 15-22'!E55</f>
        <v>200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200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36961</v>
      </c>
      <c r="D855" s="2" t="str">
        <f t="shared" si="12"/>
        <v>Error?</v>
      </c>
    </row>
    <row r="856" spans="1:4" x14ac:dyDescent="0.2">
      <c r="A856" s="5">
        <v>795</v>
      </c>
      <c r="B856" s="138">
        <f>'Expenditures 15-22'!E61</f>
        <v>3000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215799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255760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4676</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4676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456260</v>
      </c>
      <c r="C871" s="2" t="s">
        <v>573</v>
      </c>
      <c r="D871" s="2" t="str">
        <f t="shared" si="12"/>
        <v>Error?</v>
      </c>
    </row>
    <row r="872" spans="1:4" x14ac:dyDescent="0.2">
      <c r="A872" s="5">
        <v>811</v>
      </c>
      <c r="B872" s="138">
        <f>'Expenditures 15-22'!E75</f>
        <v>1805</v>
      </c>
      <c r="D872" s="2" t="str">
        <f t="shared" si="12"/>
        <v>Error?</v>
      </c>
    </row>
    <row r="873" spans="1:4" x14ac:dyDescent="0.2">
      <c r="A873" s="5">
        <v>812</v>
      </c>
      <c r="B873" s="138">
        <f>'Expenditures 15-22'!E114</f>
        <v>692294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230105</v>
      </c>
      <c r="D879" s="2" t="str">
        <f t="shared" si="12"/>
        <v>Error?</v>
      </c>
    </row>
    <row r="880" spans="1:4" x14ac:dyDescent="0.2">
      <c r="A880" s="5">
        <v>819</v>
      </c>
      <c r="B880" s="138">
        <f>'Expenditures 15-22'!F16</f>
        <v>1749</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353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245794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5271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497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5768</v>
      </c>
      <c r="C901" s="2" t="s">
        <v>573</v>
      </c>
      <c r="D901" s="2" t="str">
        <f t="shared" si="13"/>
        <v>Error?</v>
      </c>
    </row>
    <row r="902" spans="1:4" x14ac:dyDescent="0.2">
      <c r="A902" s="5">
        <v>841</v>
      </c>
      <c r="B902" s="138">
        <f>'Expenditures 15-22'!F44</f>
        <v>1206</v>
      </c>
      <c r="D902" s="2" t="str">
        <f t="shared" si="13"/>
        <v>Error?</v>
      </c>
    </row>
    <row r="903" spans="1:4" x14ac:dyDescent="0.2">
      <c r="A903" s="5">
        <v>842</v>
      </c>
      <c r="B903" s="138">
        <f>'Expenditures 15-22'!F45</f>
        <v>0</v>
      </c>
      <c r="D903" s="2" t="str">
        <f t="shared" si="13"/>
        <v>Error?</v>
      </c>
    </row>
    <row r="904" spans="1:4" x14ac:dyDescent="0.2">
      <c r="A904" s="5">
        <v>843</v>
      </c>
      <c r="B904" s="138">
        <f>'Expenditures 15-22'!F46</f>
        <v>11105</v>
      </c>
      <c r="D904" s="2" t="str">
        <f t="shared" si="13"/>
        <v>Error?</v>
      </c>
    </row>
    <row r="905" spans="1:4" x14ac:dyDescent="0.2">
      <c r="A905" s="5">
        <v>844</v>
      </c>
      <c r="B905" s="138">
        <f>'Expenditures 15-22'!F47</f>
        <v>12311</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1751</v>
      </c>
      <c r="D907" s="2" t="str">
        <f t="shared" si="13"/>
        <v>Error?</v>
      </c>
    </row>
    <row r="908" spans="1:4" x14ac:dyDescent="0.2">
      <c r="A908" s="5">
        <v>847</v>
      </c>
      <c r="B908" s="138">
        <f>'Expenditures 15-22'!F53</f>
        <v>1751</v>
      </c>
      <c r="C908" s="2" t="s">
        <v>573</v>
      </c>
      <c r="D908" s="2" t="str">
        <f t="shared" si="13"/>
        <v>Error?</v>
      </c>
    </row>
    <row r="909" spans="1:4" x14ac:dyDescent="0.2">
      <c r="A909" s="5">
        <v>848</v>
      </c>
      <c r="B909" s="138">
        <f>'Expenditures 15-22'!F55</f>
        <v>209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43665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43665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129472</v>
      </c>
      <c r="D925" s="2" t="str">
        <f t="shared" si="13"/>
        <v>Error?</v>
      </c>
    </row>
    <row r="926" spans="1:4" x14ac:dyDescent="0.2">
      <c r="A926" s="10">
        <v>865</v>
      </c>
      <c r="D926" s="2" t="str">
        <f t="shared" si="13"/>
        <v>OK</v>
      </c>
    </row>
    <row r="927" spans="1:4" x14ac:dyDescent="0.2">
      <c r="A927" s="5">
        <v>866</v>
      </c>
      <c r="B927" s="138">
        <f>'Expenditures 15-22'!F72</f>
        <v>129472</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193176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438970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4146</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4146</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28141</v>
      </c>
      <c r="D964" s="2" t="str">
        <f t="shared" si="14"/>
        <v>Error?</v>
      </c>
    </row>
    <row r="965" spans="1:4" x14ac:dyDescent="0.2">
      <c r="A965" s="5">
        <v>904</v>
      </c>
      <c r="B965" s="138">
        <f>'Expenditures 15-22'!G50</f>
        <v>0</v>
      </c>
      <c r="D965" s="2" t="str">
        <f t="shared" si="14"/>
        <v>Error?</v>
      </c>
    </row>
    <row r="966" spans="1:4" x14ac:dyDescent="0.2">
      <c r="A966" s="5">
        <v>905</v>
      </c>
      <c r="B966" s="138">
        <f>'Expenditures 15-22'!G53</f>
        <v>28141</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32287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32287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5905</v>
      </c>
      <c r="D1023" s="2" t="str">
        <f t="shared" ref="D1023:D1086" si="15">IF(ISBLANK(B1023),"OK",IF(A1023-B1023=0,"OK","Error?"))</f>
        <v>Error?</v>
      </c>
    </row>
    <row r="1024" spans="1:4" x14ac:dyDescent="0.2">
      <c r="A1024" s="5">
        <v>963</v>
      </c>
      <c r="B1024" s="138">
        <f>'Expenditures 15-22'!H53</f>
        <v>5905</v>
      </c>
      <c r="C1024" s="2" t="s">
        <v>573</v>
      </c>
      <c r="D1024" s="2" t="str">
        <f t="shared" si="15"/>
        <v>Error?</v>
      </c>
    </row>
    <row r="1025" spans="1:4" x14ac:dyDescent="0.2">
      <c r="A1025" s="5">
        <v>964</v>
      </c>
      <c r="B1025" s="138">
        <f>'Expenditures 15-22'!H55</f>
        <v>89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5994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636977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642971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5153643</v>
      </c>
      <c r="C1093" s="2" t="s">
        <v>573</v>
      </c>
      <c r="D1093" s="2" t="str">
        <f t="shared" si="16"/>
        <v>Error?</v>
      </c>
    </row>
    <row r="1094" spans="1:4" x14ac:dyDescent="0.2">
      <c r="A1094" s="5">
        <v>1033</v>
      </c>
      <c r="B1094" s="138">
        <f>'Expenditures 15-22'!K16</f>
        <v>211741</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118070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6936785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82306</v>
      </c>
      <c r="C1110" s="2" t="s">
        <v>573</v>
      </c>
      <c r="D1110" s="2" t="str">
        <f t="shared" si="16"/>
        <v>Error?</v>
      </c>
    </row>
    <row r="1111" spans="1:4" x14ac:dyDescent="0.2">
      <c r="A1111" s="5">
        <v>1050</v>
      </c>
      <c r="B1111" s="138">
        <f>'Expenditures 15-22'!K38</f>
        <v>156698</v>
      </c>
      <c r="C1111" s="2" t="s">
        <v>573</v>
      </c>
      <c r="D1111" s="2" t="str">
        <f t="shared" si="16"/>
        <v>Error?</v>
      </c>
    </row>
    <row r="1112" spans="1:4" x14ac:dyDescent="0.2">
      <c r="A1112" s="5">
        <v>1051</v>
      </c>
      <c r="B1112" s="138">
        <f>'Expenditures 15-22'!K39</f>
        <v>120713</v>
      </c>
      <c r="C1112" s="2" t="s">
        <v>573</v>
      </c>
      <c r="D1112" s="2" t="str">
        <f t="shared" si="16"/>
        <v>Error?</v>
      </c>
    </row>
    <row r="1113" spans="1:4" x14ac:dyDescent="0.2">
      <c r="A1113" s="5">
        <v>1052</v>
      </c>
      <c r="B1113" s="138">
        <f>'Expenditures 15-22'!K40</f>
        <v>179298</v>
      </c>
      <c r="C1113" s="2" t="s">
        <v>573</v>
      </c>
      <c r="D1113" s="2" t="str">
        <f t="shared" si="16"/>
        <v>Error?</v>
      </c>
    </row>
    <row r="1114" spans="1:4" x14ac:dyDescent="0.2">
      <c r="A1114" s="5">
        <v>1053</v>
      </c>
      <c r="B1114" s="138">
        <f>'Expenditures 15-22'!K41</f>
        <v>11600</v>
      </c>
      <c r="C1114" s="2" t="s">
        <v>573</v>
      </c>
      <c r="D1114" s="2" t="str">
        <f t="shared" si="16"/>
        <v>Error?</v>
      </c>
    </row>
    <row r="1115" spans="1:4" x14ac:dyDescent="0.2">
      <c r="A1115" s="5">
        <v>1054</v>
      </c>
      <c r="B1115" s="138">
        <f>'Expenditures 15-22'!K42</f>
        <v>550615</v>
      </c>
      <c r="C1115" s="2" t="s">
        <v>573</v>
      </c>
      <c r="D1115" s="2" t="str">
        <f t="shared" si="16"/>
        <v>Error?</v>
      </c>
    </row>
    <row r="1116" spans="1:4" x14ac:dyDescent="0.2">
      <c r="A1116" s="5">
        <v>1055</v>
      </c>
      <c r="B1116" s="138">
        <f>'Expenditures 15-22'!K44</f>
        <v>50801</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11105</v>
      </c>
      <c r="C1118" s="2" t="s">
        <v>573</v>
      </c>
      <c r="D1118" s="2" t="str">
        <f t="shared" si="16"/>
        <v>Error?</v>
      </c>
    </row>
    <row r="1119" spans="1:4" x14ac:dyDescent="0.2">
      <c r="A1119" s="5">
        <v>1058</v>
      </c>
      <c r="B1119" s="138">
        <f>'Expenditures 15-22'!K47</f>
        <v>61906</v>
      </c>
      <c r="C1119" s="2" t="s">
        <v>573</v>
      </c>
      <c r="D1119" s="2" t="str">
        <f t="shared" si="16"/>
        <v>Error?</v>
      </c>
    </row>
    <row r="1120" spans="1:4" x14ac:dyDescent="0.2">
      <c r="A1120" s="5">
        <v>1059</v>
      </c>
      <c r="B1120" s="138">
        <f>'Expenditures 15-22'!K49</f>
        <v>154666</v>
      </c>
      <c r="C1120" s="2" t="s">
        <v>573</v>
      </c>
      <c r="D1120" s="2" t="str">
        <f t="shared" si="16"/>
        <v>Error?</v>
      </c>
    </row>
    <row r="1121" spans="1:4" x14ac:dyDescent="0.2">
      <c r="A1121" s="5">
        <v>1060</v>
      </c>
      <c r="B1121" s="138">
        <f>'Expenditures 15-22'!K50</f>
        <v>342335</v>
      </c>
      <c r="C1121" s="2" t="s">
        <v>573</v>
      </c>
      <c r="D1121" s="2" t="str">
        <f t="shared" si="16"/>
        <v>Error?</v>
      </c>
    </row>
    <row r="1122" spans="1:4" x14ac:dyDescent="0.2">
      <c r="A1122" s="5">
        <v>1061</v>
      </c>
      <c r="B1122" s="138">
        <f>'Expenditures 15-22'!K53</f>
        <v>637878</v>
      </c>
      <c r="C1122" s="2" t="s">
        <v>573</v>
      </c>
      <c r="D1122" s="2" t="str">
        <f t="shared" si="16"/>
        <v>Error?</v>
      </c>
    </row>
    <row r="1123" spans="1:4" x14ac:dyDescent="0.2">
      <c r="A1123" s="5">
        <v>1062</v>
      </c>
      <c r="B1123" s="138">
        <f>'Expenditures 15-22'!K55</f>
        <v>527104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527104</v>
      </c>
      <c r="C1125" s="2" t="s">
        <v>573</v>
      </c>
      <c r="D1125" s="2" t="str">
        <f t="shared" si="16"/>
        <v>Error?</v>
      </c>
    </row>
    <row r="1126" spans="1:4" x14ac:dyDescent="0.2">
      <c r="A1126" s="5">
        <v>1065</v>
      </c>
      <c r="B1126" s="138">
        <f>'Expenditures 15-22'!K59</f>
        <v>211349</v>
      </c>
      <c r="C1126" s="2" t="s">
        <v>573</v>
      </c>
      <c r="D1126" s="2" t="str">
        <f t="shared" si="16"/>
        <v>Error?</v>
      </c>
    </row>
    <row r="1127" spans="1:4" x14ac:dyDescent="0.2">
      <c r="A1127" s="5">
        <v>1066</v>
      </c>
      <c r="B1127" s="138">
        <f>'Expenditures 15-22'!K60</f>
        <v>252199</v>
      </c>
      <c r="C1127" s="2" t="s">
        <v>573</v>
      </c>
      <c r="D1127" s="2" t="str">
        <f t="shared" si="16"/>
        <v>Error?</v>
      </c>
    </row>
    <row r="1128" spans="1:4" x14ac:dyDescent="0.2">
      <c r="A1128" s="5">
        <v>1067</v>
      </c>
      <c r="B1128" s="138">
        <f>'Expenditures 15-22'!K61</f>
        <v>3000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217733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684281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4676</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387625</v>
      </c>
      <c r="C1139" s="2" t="s">
        <v>573</v>
      </c>
      <c r="D1139" s="2" t="str">
        <f t="shared" si="16"/>
        <v>Error?</v>
      </c>
    </row>
    <row r="1140" spans="1:4" x14ac:dyDescent="0.2">
      <c r="A1140" s="10">
        <v>1079</v>
      </c>
      <c r="D1140" s="2" t="str">
        <f t="shared" si="16"/>
        <v>OK</v>
      </c>
    </row>
    <row r="1141" spans="1:4" x14ac:dyDescent="0.2">
      <c r="A1141" s="5">
        <v>1080</v>
      </c>
      <c r="B1141" s="138">
        <f>'Expenditures 15-22'!K72</f>
        <v>392301</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2854085</v>
      </c>
      <c r="C1143" s="2" t="s">
        <v>573</v>
      </c>
      <c r="D1143" s="2" t="str">
        <f t="shared" si="16"/>
        <v>Error?</v>
      </c>
    </row>
    <row r="1144" spans="1:4" x14ac:dyDescent="0.2">
      <c r="A1144" s="5">
        <v>1083</v>
      </c>
      <c r="B1144" s="138">
        <f>'Expenditures 15-22'!K75</f>
        <v>9170</v>
      </c>
      <c r="C1144" s="2" t="s">
        <v>573</v>
      </c>
      <c r="D1144" s="2" t="str">
        <f t="shared" si="16"/>
        <v>Error?</v>
      </c>
    </row>
    <row r="1145" spans="1:4" x14ac:dyDescent="0.2">
      <c r="A1145" s="5">
        <v>1084</v>
      </c>
      <c r="B1145" s="138">
        <f>'Expenditures 15-22'!K102</f>
        <v>755175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10555215</v>
      </c>
      <c r="C1152" s="2" t="s">
        <v>573</v>
      </c>
      <c r="D1152" s="2" t="str">
        <f t="shared" si="17"/>
        <v>Error?</v>
      </c>
    </row>
    <row r="1153" spans="1:4" x14ac:dyDescent="0.2">
      <c r="A1153" s="5">
        <v>1092</v>
      </c>
      <c r="B1153" s="138">
        <f>'Expenditures 15-22'!K115</f>
        <v>1545859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221970</v>
      </c>
      <c r="D1221" s="2" t="str">
        <f t="shared" si="18"/>
        <v>Error?</v>
      </c>
    </row>
    <row r="1222" spans="1:4" x14ac:dyDescent="0.2">
      <c r="A1222" s="10">
        <v>1161</v>
      </c>
      <c r="D1222" s="2" t="str">
        <f t="shared" si="18"/>
        <v>OK</v>
      </c>
    </row>
    <row r="1223" spans="1:4" x14ac:dyDescent="0.2">
      <c r="A1223" s="5">
        <v>1162</v>
      </c>
      <c r="B1223" s="138">
        <f>'Expenditures 15-22'!C127</f>
        <v>221970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221970</v>
      </c>
      <c r="C1225" s="2" t="s">
        <v>573</v>
      </c>
      <c r="D1225" s="2" t="str">
        <f t="shared" si="18"/>
        <v>Error?</v>
      </c>
    </row>
    <row r="1226" spans="1:4" x14ac:dyDescent="0.2">
      <c r="A1226" s="5">
        <v>1165</v>
      </c>
      <c r="B1226" s="138">
        <f>'Expenditures 15-22'!C151</f>
        <v>221970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48975</v>
      </c>
      <c r="D1229" s="2" t="str">
        <f t="shared" si="18"/>
        <v>Error?</v>
      </c>
    </row>
    <row r="1230" spans="1:4" x14ac:dyDescent="0.2">
      <c r="A1230" s="10">
        <v>1169</v>
      </c>
      <c r="D1230" s="2" t="str">
        <f t="shared" si="18"/>
        <v>OK</v>
      </c>
    </row>
    <row r="1231" spans="1:4" x14ac:dyDescent="0.2">
      <c r="A1231" s="5">
        <v>1170</v>
      </c>
      <c r="B1231" s="138">
        <f>'Expenditures 15-22'!D127</f>
        <v>48975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48975</v>
      </c>
      <c r="C1233" s="2" t="s">
        <v>573</v>
      </c>
      <c r="D1233" s="2" t="str">
        <f t="shared" si="18"/>
        <v>Error?</v>
      </c>
    </row>
    <row r="1234" spans="1:4" x14ac:dyDescent="0.2">
      <c r="A1234" s="5">
        <v>1173</v>
      </c>
      <c r="B1234" s="138">
        <f>'Expenditures 15-22'!D151</f>
        <v>48975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622364</v>
      </c>
      <c r="D1237" s="2" t="str">
        <f t="shared" si="18"/>
        <v>Error?</v>
      </c>
    </row>
    <row r="1238" spans="1:4" x14ac:dyDescent="0.2">
      <c r="A1238" s="10">
        <v>1177</v>
      </c>
      <c r="D1238" s="2" t="str">
        <f t="shared" si="18"/>
        <v>OK</v>
      </c>
    </row>
    <row r="1239" spans="1:4" x14ac:dyDescent="0.2">
      <c r="A1239" s="5">
        <v>1178</v>
      </c>
      <c r="B1239" s="138">
        <f>'Expenditures 15-22'!E127</f>
        <v>622364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622364</v>
      </c>
      <c r="C1241" s="2" t="s">
        <v>573</v>
      </c>
      <c r="D1241" s="2" t="str">
        <f t="shared" si="18"/>
        <v>Error?</v>
      </c>
    </row>
    <row r="1242" spans="1:4" x14ac:dyDescent="0.2">
      <c r="A1242" s="5">
        <v>1181</v>
      </c>
      <c r="B1242" s="138">
        <f>'Expenditures 15-22'!E151</f>
        <v>622364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20987</v>
      </c>
      <c r="D1245" s="2" t="str">
        <f t="shared" si="18"/>
        <v>Error?</v>
      </c>
    </row>
    <row r="1246" spans="1:4" x14ac:dyDescent="0.2">
      <c r="A1246" s="10">
        <v>1185</v>
      </c>
      <c r="D1246" s="2" t="str">
        <f t="shared" si="18"/>
        <v>OK</v>
      </c>
    </row>
    <row r="1247" spans="1:4" x14ac:dyDescent="0.2">
      <c r="A1247" s="5">
        <v>1186</v>
      </c>
      <c r="B1247" s="138">
        <f>'Expenditures 15-22'!F127</f>
        <v>20987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20987</v>
      </c>
      <c r="C1249" s="2" t="s">
        <v>573</v>
      </c>
      <c r="D1249" s="2" t="str">
        <f t="shared" si="18"/>
        <v>Error?</v>
      </c>
    </row>
    <row r="1250" spans="1:4" x14ac:dyDescent="0.2">
      <c r="A1250" s="5">
        <v>1189</v>
      </c>
      <c r="B1250" s="138">
        <f>'Expenditures 15-22'!F151</f>
        <v>20987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548000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548000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548000</v>
      </c>
      <c r="C1258" s="2" t="s">
        <v>573</v>
      </c>
      <c r="D1258" s="2" t="str">
        <f t="shared" si="18"/>
        <v>Error?</v>
      </c>
    </row>
    <row r="1259" spans="1:4" x14ac:dyDescent="0.2">
      <c r="A1259" s="5">
        <v>1198</v>
      </c>
      <c r="B1259" s="138">
        <f>'Expenditures 15-22'!G151</f>
        <v>548000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1475622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1475622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1475622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1475622</v>
      </c>
      <c r="C1288" s="2" t="s">
        <v>573</v>
      </c>
      <c r="D1288" s="2" t="str">
        <f t="shared" si="19"/>
        <v>Error?</v>
      </c>
    </row>
    <row r="1289" spans="1:4" x14ac:dyDescent="0.2">
      <c r="A1289" s="5">
        <v>1228</v>
      </c>
      <c r="B1289" s="138">
        <f>'Expenditures 15-22'!K152</f>
        <v>-273209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821260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1017458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1838718</v>
      </c>
      <c r="C1317" s="2" t="s">
        <v>573</v>
      </c>
      <c r="D1317" s="2" t="str">
        <f t="shared" si="19"/>
        <v>Error?</v>
      </c>
    </row>
    <row r="1318" spans="1:4" x14ac:dyDescent="0.2">
      <c r="A1318" s="5">
        <v>1257</v>
      </c>
      <c r="B1318" s="138">
        <f>'Expenditures 15-22'!H174</f>
        <v>1838718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821260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1017458</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1838718</v>
      </c>
      <c r="C1331" s="2" t="s">
        <v>573</v>
      </c>
      <c r="D1331" s="2" t="str">
        <f t="shared" si="19"/>
        <v>Error?</v>
      </c>
    </row>
    <row r="1332" spans="1:4" x14ac:dyDescent="0.2">
      <c r="A1332" s="5">
        <v>1271</v>
      </c>
      <c r="B1332" s="138">
        <f>'Expenditures 15-22'!K174</f>
        <v>1838718</v>
      </c>
      <c r="C1332" s="2" t="s">
        <v>573</v>
      </c>
      <c r="D1332" s="2" t="str">
        <f t="shared" si="19"/>
        <v>Error?</v>
      </c>
    </row>
    <row r="1333" spans="1:4" x14ac:dyDescent="0.2">
      <c r="A1333" s="5">
        <v>1272</v>
      </c>
      <c r="B1333" s="138">
        <f>'Expenditures 15-22'!K175</f>
        <v>-1475556</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204027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204027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204027</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204027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204027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204027</v>
      </c>
      <c r="C1388" s="2" t="s">
        <v>573</v>
      </c>
      <c r="D1388" s="2" t="str">
        <f t="shared" si="20"/>
        <v>Error?</v>
      </c>
    </row>
    <row r="1389" spans="1:4" x14ac:dyDescent="0.2">
      <c r="A1389" s="5">
        <v>1328</v>
      </c>
      <c r="B1389" s="138">
        <f>'Expenditures 15-22'!K211</f>
        <v>-41571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5930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5702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172466</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1016</v>
      </c>
      <c r="D1412" s="2" t="str">
        <f t="shared" si="21"/>
        <v>Error?</v>
      </c>
    </row>
    <row r="1413" spans="1:4" x14ac:dyDescent="0.2">
      <c r="A1413" s="5">
        <v>1352</v>
      </c>
      <c r="B1413" s="138">
        <f>'Expenditures 15-22'!D234</f>
        <v>10252</v>
      </c>
      <c r="D1413" s="2" t="str">
        <f t="shared" si="21"/>
        <v>Error?</v>
      </c>
    </row>
    <row r="1414" spans="1:4" x14ac:dyDescent="0.2">
      <c r="A1414" s="5">
        <v>1353</v>
      </c>
      <c r="B1414" s="138">
        <f>'Expenditures 15-22'!D235</f>
        <v>2032</v>
      </c>
      <c r="D1414" s="2" t="str">
        <f t="shared" si="21"/>
        <v>Error?</v>
      </c>
    </row>
    <row r="1415" spans="1:4" x14ac:dyDescent="0.2">
      <c r="A1415" s="5">
        <v>1354</v>
      </c>
      <c r="B1415" s="138">
        <f>'Expenditures 15-22'!D236</f>
        <v>2021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15321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10939</v>
      </c>
      <c r="D1423" s="2" t="str">
        <f t="shared" si="21"/>
        <v>Error?</v>
      </c>
    </row>
    <row r="1424" spans="1:4" x14ac:dyDescent="0.2">
      <c r="A1424" s="5">
        <v>1363</v>
      </c>
      <c r="B1424" s="138">
        <f>'Expenditures 15-22'!D257</f>
        <v>12754</v>
      </c>
      <c r="C1424" s="2" t="s">
        <v>573</v>
      </c>
      <c r="D1424" s="2" t="str">
        <f t="shared" si="21"/>
        <v>Error?</v>
      </c>
    </row>
    <row r="1425" spans="1:4" x14ac:dyDescent="0.2">
      <c r="A1425" s="5">
        <v>1364</v>
      </c>
      <c r="B1425" s="138">
        <f>'Expenditures 15-22'!D259</f>
        <v>20768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20768</v>
      </c>
      <c r="C1427" s="2" t="s">
        <v>573</v>
      </c>
      <c r="D1427" s="2" t="str">
        <f t="shared" si="21"/>
        <v>Error?</v>
      </c>
    </row>
    <row r="1428" spans="1:4" x14ac:dyDescent="0.2">
      <c r="A1428" s="5">
        <v>1367</v>
      </c>
      <c r="B1428" s="138">
        <f>'Expenditures 15-22'!D263</f>
        <v>2705</v>
      </c>
      <c r="D1428" s="2" t="str">
        <f t="shared" si="21"/>
        <v>Error?</v>
      </c>
    </row>
    <row r="1429" spans="1:4" x14ac:dyDescent="0.2">
      <c r="A1429" s="5">
        <v>1368</v>
      </c>
      <c r="B1429" s="138">
        <f>'Expenditures 15-22'!D264</f>
        <v>26984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36979</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66668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115511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287977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5930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5702</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172466</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1016</v>
      </c>
      <c r="C1476" s="2" t="s">
        <v>573</v>
      </c>
      <c r="D1476" s="2" t="str">
        <f t="shared" si="22"/>
        <v>Error?</v>
      </c>
    </row>
    <row r="1477" spans="1:4" x14ac:dyDescent="0.2">
      <c r="A1477" s="5">
        <v>1416</v>
      </c>
      <c r="B1477" s="138">
        <f>'Expenditures 15-22'!K234</f>
        <v>10252</v>
      </c>
      <c r="C1477" s="2" t="s">
        <v>573</v>
      </c>
      <c r="D1477" s="2" t="str">
        <f t="shared" si="22"/>
        <v>Error?</v>
      </c>
    </row>
    <row r="1478" spans="1:4" x14ac:dyDescent="0.2">
      <c r="A1478" s="5">
        <v>1417</v>
      </c>
      <c r="B1478" s="138">
        <f>'Expenditures 15-22'!K235</f>
        <v>2032</v>
      </c>
      <c r="C1478" s="2" t="s">
        <v>573</v>
      </c>
      <c r="D1478" s="2" t="str">
        <f t="shared" si="22"/>
        <v>Error?</v>
      </c>
    </row>
    <row r="1479" spans="1:4" x14ac:dyDescent="0.2">
      <c r="A1479" s="5">
        <v>1418</v>
      </c>
      <c r="B1479" s="138">
        <f>'Expenditures 15-22'!K236</f>
        <v>2021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15321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10939</v>
      </c>
      <c r="C1487" s="2" t="s">
        <v>573</v>
      </c>
      <c r="D1487" s="2" t="str">
        <f t="shared" si="22"/>
        <v>Error?</v>
      </c>
    </row>
    <row r="1488" spans="1:4" x14ac:dyDescent="0.2">
      <c r="A1488" s="5">
        <v>1427</v>
      </c>
      <c r="B1488" s="138">
        <f>'Expenditures 15-22'!K257</f>
        <v>12754</v>
      </c>
      <c r="C1488" s="2" t="s">
        <v>573</v>
      </c>
      <c r="D1488" s="2" t="str">
        <f t="shared" si="22"/>
        <v>Error?</v>
      </c>
    </row>
    <row r="1489" spans="1:4" x14ac:dyDescent="0.2">
      <c r="A1489" s="5">
        <v>1428</v>
      </c>
      <c r="B1489" s="138">
        <f>'Expenditures 15-22'!K259</f>
        <v>20768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20768</v>
      </c>
      <c r="C1491" s="2" t="s">
        <v>573</v>
      </c>
      <c r="D1491" s="2" t="str">
        <f t="shared" si="22"/>
        <v>Error?</v>
      </c>
    </row>
    <row r="1492" spans="1:4" x14ac:dyDescent="0.2">
      <c r="A1492" s="5">
        <v>1431</v>
      </c>
      <c r="B1492" s="138">
        <f>'Expenditures 15-22'!K263</f>
        <v>2705</v>
      </c>
      <c r="C1492" s="2" t="s">
        <v>573</v>
      </c>
      <c r="D1492" s="2" t="str">
        <f t="shared" si="22"/>
        <v>Error?</v>
      </c>
    </row>
    <row r="1493" spans="1:4" x14ac:dyDescent="0.2">
      <c r="A1493" s="5">
        <v>1432</v>
      </c>
      <c r="B1493" s="138">
        <f>'Expenditures 15-22'!K264</f>
        <v>26984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36979</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66668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115511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287977</v>
      </c>
      <c r="C1517" s="2" t="s">
        <v>573</v>
      </c>
      <c r="D1517" s="2" t="str">
        <f t="shared" si="22"/>
        <v>Error?</v>
      </c>
    </row>
    <row r="1518" spans="1:4" x14ac:dyDescent="0.2">
      <c r="A1518" s="5">
        <v>1457</v>
      </c>
      <c r="B1518" s="138">
        <f>'Expenditures 15-22'!K296</f>
        <v>-2923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7927325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8204283</v>
      </c>
      <c r="C1630" s="2" t="s">
        <v>573</v>
      </c>
      <c r="D1630" s="2" t="str">
        <f t="shared" si="24"/>
        <v>Error?</v>
      </c>
    </row>
    <row r="1631" spans="1:4" x14ac:dyDescent="0.2">
      <c r="A1631" s="5">
        <v>1570</v>
      </c>
      <c r="B1631" s="138">
        <f>'Acct Summary 7-8'!D79</f>
        <v>2712256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2439047</v>
      </c>
      <c r="C1644" s="2" t="s">
        <v>573</v>
      </c>
      <c r="D1644" s="2" t="str">
        <f t="shared" si="24"/>
        <v>Error?</v>
      </c>
    </row>
    <row r="1645" spans="1:4" x14ac:dyDescent="0.2">
      <c r="A1645" s="5">
        <v>1584</v>
      </c>
      <c r="B1645" s="138">
        <f>'Acct Summary 7-8'!E79</f>
        <v>404519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267798</v>
      </c>
      <c r="C1658" s="2" t="s">
        <v>573</v>
      </c>
      <c r="D1658" s="2" t="str">
        <f t="shared" si="24"/>
        <v>Error?</v>
      </c>
    </row>
    <row r="1659" spans="1:4" x14ac:dyDescent="0.2">
      <c r="A1659" s="5">
        <v>1598</v>
      </c>
      <c r="B1659" s="138">
        <f>'Acct Summary 7-8'!F79</f>
        <v>307970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266399</v>
      </c>
      <c r="C1672" s="2" t="s">
        <v>573</v>
      </c>
      <c r="D1672" s="2" t="str">
        <f t="shared" si="25"/>
        <v>Error?</v>
      </c>
    </row>
    <row r="1673" spans="1:4" x14ac:dyDescent="0.2">
      <c r="A1673" s="5">
        <v>1612</v>
      </c>
      <c r="B1673" s="138">
        <f>'Acct Summary 7-8'!G79</f>
        <v>260265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257342</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10398751</v>
      </c>
      <c r="C1744" s="2" t="s">
        <v>573</v>
      </c>
      <c r="D1744" s="2" t="str">
        <f t="shared" si="26"/>
        <v>Error?</v>
      </c>
    </row>
    <row r="1745" spans="1:5" x14ac:dyDescent="0.2">
      <c r="A1745" s="5">
        <v>1684</v>
      </c>
      <c r="B1745" s="138">
        <f>'Tax Sched 23'!B5</f>
        <v>1079002</v>
      </c>
      <c r="C1745" s="2" t="s">
        <v>573</v>
      </c>
      <c r="D1745" s="2" t="str">
        <f t="shared" si="26"/>
        <v>Error?</v>
      </c>
    </row>
    <row r="1746" spans="1:5" x14ac:dyDescent="0.2">
      <c r="A1746" s="5">
        <v>1685</v>
      </c>
      <c r="B1746" s="138">
        <f>'Tax Sched 23'!B6</f>
        <v>362881</v>
      </c>
      <c r="C1746" s="2" t="s">
        <v>573</v>
      </c>
      <c r="D1746" s="2" t="str">
        <f t="shared" si="26"/>
        <v>Error?</v>
      </c>
    </row>
    <row r="1747" spans="1:5" x14ac:dyDescent="0.2">
      <c r="A1747" s="5">
        <v>1686</v>
      </c>
      <c r="B1747" s="138">
        <f>'Tax Sched 23'!B7</f>
        <v>123083</v>
      </c>
      <c r="C1747" s="2" t="s">
        <v>573</v>
      </c>
      <c r="D1747" s="2" t="str">
        <f t="shared" si="26"/>
        <v>Error?</v>
      </c>
    </row>
    <row r="1748" spans="1:5" x14ac:dyDescent="0.2">
      <c r="A1748" s="5">
        <v>1687</v>
      </c>
      <c r="B1748" s="138">
        <f>'Tax Sched 23'!B8</f>
        <v>142492</v>
      </c>
      <c r="C1748" s="2" t="s">
        <v>573</v>
      </c>
      <c r="D1748" s="2" t="str">
        <f t="shared" si="26"/>
        <v>Error?</v>
      </c>
    </row>
    <row r="1749" spans="1:5" x14ac:dyDescent="0.2">
      <c r="A1749" s="5">
        <v>1688</v>
      </c>
      <c r="B1749" s="138">
        <f>'Tax Sched 23'!B10</f>
        <v>5859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72956</v>
      </c>
      <c r="C1752" s="2" t="s">
        <v>573</v>
      </c>
      <c r="D1752" s="2" t="str">
        <f t="shared" si="26"/>
        <v>Error?</v>
      </c>
    </row>
    <row r="1753" spans="1:5" x14ac:dyDescent="0.2">
      <c r="A1753" s="5">
        <v>1692</v>
      </c>
      <c r="B1753" s="138">
        <f>'Tax Sched 23'!B12</f>
        <v>66</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12327573</v>
      </c>
      <c r="C1759" s="2" t="s">
        <v>573</v>
      </c>
      <c r="D1759" s="2" t="str">
        <f t="shared" si="26"/>
        <v>Error?</v>
      </c>
    </row>
    <row r="1760" spans="1:5" x14ac:dyDescent="0.2">
      <c r="A1760" s="5">
        <v>1699</v>
      </c>
      <c r="B1760" s="138">
        <f>'Tax Sched 23'!D4</f>
        <v>5112234</v>
      </c>
      <c r="C1760" s="2" t="s">
        <v>573</v>
      </c>
      <c r="D1760" s="2" t="str">
        <f t="shared" si="26"/>
        <v>Error?</v>
      </c>
    </row>
    <row r="1761" spans="1:5" x14ac:dyDescent="0.2">
      <c r="A1761" s="5">
        <v>1700</v>
      </c>
      <c r="B1761" s="138">
        <f>'Tax Sched 23'!D5</f>
        <v>543273</v>
      </c>
      <c r="C1761" s="2" t="s">
        <v>573</v>
      </c>
      <c r="D1761" s="2" t="str">
        <f t="shared" si="26"/>
        <v>Error?</v>
      </c>
    </row>
    <row r="1762" spans="1:5" s="8" customFormat="1" x14ac:dyDescent="0.2">
      <c r="A1762" s="5">
        <v>1701</v>
      </c>
      <c r="B1762" s="138">
        <f>'Tax Sched 23'!D6</f>
        <v>158250</v>
      </c>
      <c r="C1762" s="2" t="s">
        <v>573</v>
      </c>
      <c r="D1762" s="2" t="str">
        <f t="shared" si="26"/>
        <v>Error?</v>
      </c>
      <c r="E1762" s="9"/>
    </row>
    <row r="1763" spans="1:5" x14ac:dyDescent="0.2">
      <c r="A1763" s="5">
        <v>1702</v>
      </c>
      <c r="B1763" s="138">
        <f>'Tax Sched 23'!D7</f>
        <v>71732</v>
      </c>
      <c r="C1763" s="2" t="s">
        <v>573</v>
      </c>
      <c r="D1763" s="2" t="str">
        <f t="shared" si="26"/>
        <v>Error?</v>
      </c>
    </row>
    <row r="1764" spans="1:5" x14ac:dyDescent="0.2">
      <c r="A1764" s="5">
        <v>1703</v>
      </c>
      <c r="B1764" s="138">
        <f>'Tax Sched 23'!D8</f>
        <v>66761</v>
      </c>
      <c r="C1764" s="2" t="s">
        <v>573</v>
      </c>
      <c r="D1764" s="2" t="str">
        <f t="shared" si="26"/>
        <v>Error?</v>
      </c>
    </row>
    <row r="1765" spans="1:5" x14ac:dyDescent="0.2">
      <c r="A1765" s="5">
        <v>1704</v>
      </c>
      <c r="B1765" s="138">
        <f>'Tax Sched 23'!D10</f>
        <v>3702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37140</v>
      </c>
      <c r="C1768" s="2" t="s">
        <v>573</v>
      </c>
      <c r="D1768" s="2" t="str">
        <f t="shared" si="26"/>
        <v>Error?</v>
      </c>
    </row>
    <row r="1769" spans="1:5" x14ac:dyDescent="0.2">
      <c r="A1769" s="5">
        <v>1708</v>
      </c>
      <c r="B1769" s="138">
        <f>'Tax Sched 23'!D12</f>
        <v>-365</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6059479</v>
      </c>
      <c r="C1775" s="2" t="s">
        <v>573</v>
      </c>
      <c r="D1775" s="2" t="str">
        <f t="shared" si="26"/>
        <v>Error?</v>
      </c>
    </row>
    <row r="1776" spans="1:5" x14ac:dyDescent="0.2">
      <c r="A1776" s="5">
        <v>1715</v>
      </c>
      <c r="B1776" s="138">
        <f>'Tax Sched 23'!C4</f>
        <v>5286517</v>
      </c>
      <c r="D1776" s="2" t="str">
        <f t="shared" si="26"/>
        <v>Error?</v>
      </c>
    </row>
    <row r="1777" spans="1:4" x14ac:dyDescent="0.2">
      <c r="A1777" s="5">
        <v>1716</v>
      </c>
      <c r="B1777" s="138">
        <f>'Tax Sched 23'!C5</f>
        <v>535729</v>
      </c>
      <c r="D1777" s="2" t="str">
        <f t="shared" si="26"/>
        <v>Error?</v>
      </c>
    </row>
    <row r="1778" spans="1:4" x14ac:dyDescent="0.2">
      <c r="A1778" s="5">
        <v>1717</v>
      </c>
      <c r="B1778" s="138">
        <f>'Tax Sched 23'!C6</f>
        <v>204631</v>
      </c>
      <c r="D1778" s="2" t="str">
        <f t="shared" si="26"/>
        <v>Error?</v>
      </c>
    </row>
    <row r="1779" spans="1:4" x14ac:dyDescent="0.2">
      <c r="A1779" s="5">
        <v>1718</v>
      </c>
      <c r="B1779" s="138">
        <f>'Tax Sched 23'!C7</f>
        <v>51351</v>
      </c>
      <c r="D1779" s="2" t="str">
        <f t="shared" si="26"/>
        <v>Error?</v>
      </c>
    </row>
    <row r="1780" spans="1:4" x14ac:dyDescent="0.2">
      <c r="A1780" s="5">
        <v>1719</v>
      </c>
      <c r="B1780" s="138">
        <f>'Tax Sched 23'!C8</f>
        <v>75731</v>
      </c>
      <c r="D1780" s="2" t="str">
        <f t="shared" si="26"/>
        <v>Error?</v>
      </c>
    </row>
    <row r="1781" spans="1:4" x14ac:dyDescent="0.2">
      <c r="A1781" s="5">
        <v>1720</v>
      </c>
      <c r="B1781" s="138">
        <f>'Tax Sched 23'!C10</f>
        <v>2157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35816</v>
      </c>
      <c r="D1784" s="2" t="str">
        <f t="shared" si="26"/>
        <v>Error?</v>
      </c>
    </row>
    <row r="1785" spans="1:4" x14ac:dyDescent="0.2">
      <c r="A1785" s="5">
        <v>1724</v>
      </c>
      <c r="B1785" s="138">
        <f>'Tax Sched 23'!C12</f>
        <v>431</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6268094</v>
      </c>
      <c r="C1791" s="2" t="s">
        <v>573</v>
      </c>
      <c r="D1791" s="2" t="str">
        <f t="shared" ref="D1791:D1854" si="27">IF(ISBLANK(B1791),"OK",IF(A1791-B1791=0,"OK","Error?"))</f>
        <v>Error?</v>
      </c>
    </row>
    <row r="1792" spans="1:4" x14ac:dyDescent="0.2">
      <c r="A1792" s="5">
        <v>1731</v>
      </c>
      <c r="B1792" s="138">
        <f>'Tax Sched 23'!F4</f>
        <v>6265255</v>
      </c>
      <c r="C1792" s="2" t="s">
        <v>573</v>
      </c>
      <c r="D1792" s="2" t="str">
        <f t="shared" si="27"/>
        <v>Error?</v>
      </c>
    </row>
    <row r="1793" spans="1:4" x14ac:dyDescent="0.2">
      <c r="A1793" s="5">
        <v>1732</v>
      </c>
      <c r="B1793" s="138">
        <f>'Tax Sched 23'!F5</f>
        <v>634912</v>
      </c>
      <c r="C1793" s="2" t="s">
        <v>573</v>
      </c>
      <c r="D1793" s="2" t="str">
        <f t="shared" si="27"/>
        <v>Error?</v>
      </c>
    </row>
    <row r="1794" spans="1:4" x14ac:dyDescent="0.2">
      <c r="A1794" s="5">
        <v>1733</v>
      </c>
      <c r="B1794" s="138">
        <f>'Tax Sched 23'!F6</f>
        <v>242517</v>
      </c>
      <c r="C1794" s="2" t="s">
        <v>573</v>
      </c>
      <c r="D1794" s="2" t="str">
        <f t="shared" si="27"/>
        <v>Error?</v>
      </c>
    </row>
    <row r="1795" spans="1:4" x14ac:dyDescent="0.2">
      <c r="A1795" s="5">
        <v>1734</v>
      </c>
      <c r="B1795" s="138">
        <f>'Tax Sched 23'!F7</f>
        <v>60857</v>
      </c>
      <c r="C1795" s="2" t="s">
        <v>573</v>
      </c>
      <c r="D1795" s="2" t="str">
        <f t="shared" si="27"/>
        <v>Error?</v>
      </c>
    </row>
    <row r="1796" spans="1:4" x14ac:dyDescent="0.2">
      <c r="A1796" s="5">
        <v>1735</v>
      </c>
      <c r="B1796" s="138">
        <f>'Tax Sched 23'!F8</f>
        <v>89752</v>
      </c>
      <c r="C1796" s="2" t="s">
        <v>573</v>
      </c>
      <c r="D1796" s="2" t="str">
        <f t="shared" si="27"/>
        <v>Error?</v>
      </c>
    </row>
    <row r="1797" spans="1:4" x14ac:dyDescent="0.2">
      <c r="A1797" s="5">
        <v>1736</v>
      </c>
      <c r="B1797" s="138">
        <f>'Tax Sched 23'!F10</f>
        <v>2557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42446</v>
      </c>
      <c r="C1800" s="2" t="s">
        <v>573</v>
      </c>
      <c r="D1800" s="2" t="str">
        <f t="shared" si="27"/>
        <v>Error?</v>
      </c>
    </row>
    <row r="1801" spans="1:4" x14ac:dyDescent="0.2">
      <c r="A1801" s="5">
        <v>1740</v>
      </c>
      <c r="B1801" s="138">
        <f>'Tax Sched 23'!F12</f>
        <v>511</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7428559</v>
      </c>
      <c r="C1807" s="2" t="s">
        <v>573</v>
      </c>
      <c r="D1807" s="2" t="str">
        <f t="shared" si="27"/>
        <v>Error?</v>
      </c>
    </row>
    <row r="1808" spans="1:4" x14ac:dyDescent="0.2">
      <c r="A1808" s="5">
        <v>1747</v>
      </c>
      <c r="B1808" s="138">
        <f>'Tax Sched 23'!E4</f>
        <v>11551772</v>
      </c>
      <c r="D1808" s="2" t="str">
        <f t="shared" si="27"/>
        <v>Error?</v>
      </c>
    </row>
    <row r="1809" spans="1:4" x14ac:dyDescent="0.2">
      <c r="A1809" s="5">
        <v>1748</v>
      </c>
      <c r="B1809" s="138">
        <f>'Tax Sched 23'!E5</f>
        <v>1170641</v>
      </c>
      <c r="D1809" s="2" t="str">
        <f t="shared" si="27"/>
        <v>Error?</v>
      </c>
    </row>
    <row r="1810" spans="1:4" x14ac:dyDescent="0.2">
      <c r="A1810" s="5">
        <v>1749</v>
      </c>
      <c r="B1810" s="138">
        <f>'Tax Sched 23'!E6</f>
        <v>447148</v>
      </c>
      <c r="D1810" s="2" t="str">
        <f t="shared" si="27"/>
        <v>Error?</v>
      </c>
    </row>
    <row r="1811" spans="1:4" x14ac:dyDescent="0.2">
      <c r="A1811" s="5">
        <v>1750</v>
      </c>
      <c r="B1811" s="138">
        <f>'Tax Sched 23'!E7</f>
        <v>112208</v>
      </c>
      <c r="D1811" s="2" t="str">
        <f t="shared" si="27"/>
        <v>Error?</v>
      </c>
    </row>
    <row r="1812" spans="1:4" x14ac:dyDescent="0.2">
      <c r="A1812" s="5">
        <v>1751</v>
      </c>
      <c r="B1812" s="138">
        <f>'Tax Sched 23'!E8</f>
        <v>165483</v>
      </c>
      <c r="D1812" s="2" t="str">
        <f t="shared" si="27"/>
        <v>Error?</v>
      </c>
    </row>
    <row r="1813" spans="1:4" x14ac:dyDescent="0.2">
      <c r="A1813" s="5">
        <v>1752</v>
      </c>
      <c r="B1813" s="138">
        <f>'Tax Sched 23'!E10</f>
        <v>4714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78262</v>
      </c>
      <c r="D1816" s="2" t="str">
        <f t="shared" si="27"/>
        <v>Error?</v>
      </c>
    </row>
    <row r="1817" spans="1:4" x14ac:dyDescent="0.2">
      <c r="A1817" s="5">
        <v>1756</v>
      </c>
      <c r="B1817" s="138">
        <f>'Tax Sched 23'!E12</f>
        <v>942</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13696653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24577173</v>
      </c>
      <c r="C1939" s="2" t="s">
        <v>573</v>
      </c>
      <c r="D1939" s="2" t="str">
        <f t="shared" si="29"/>
        <v>Error?</v>
      </c>
    </row>
    <row r="1940" spans="1:5" x14ac:dyDescent="0.2">
      <c r="A1940" s="5">
        <v>1879</v>
      </c>
      <c r="B1940" s="138">
        <f>'Short-Term Long-Term Debt 24'!F49</f>
        <v>5100000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76885</v>
      </c>
      <c r="D2008" s="2" t="str">
        <f t="shared" si="30"/>
        <v>Error?</v>
      </c>
    </row>
    <row r="2009" spans="1:4" x14ac:dyDescent="0.2">
      <c r="A2009" s="5">
        <v>1948</v>
      </c>
      <c r="B2009" s="138">
        <f>'Cap Outlay Deprec 26'!C8</f>
        <v>33933914</v>
      </c>
      <c r="D2009" s="2" t="str">
        <f t="shared" si="30"/>
        <v>Error?</v>
      </c>
    </row>
    <row r="2010" spans="1:4" x14ac:dyDescent="0.2">
      <c r="A2010" s="5">
        <v>1949</v>
      </c>
      <c r="B2010" s="138">
        <f>'Cap Outlay Deprec 26'!C10</f>
        <v>264760</v>
      </c>
      <c r="D2010" s="2" t="str">
        <f t="shared" si="30"/>
        <v>Error?</v>
      </c>
    </row>
    <row r="2011" spans="1:4" x14ac:dyDescent="0.2">
      <c r="A2011" s="5">
        <v>1950</v>
      </c>
      <c r="B2011" s="138">
        <f>'Cap Outlay Deprec 26'!C12</f>
        <v>1156451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35432010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7890</v>
      </c>
      <c r="D2016" s="2" t="str">
        <f t="shared" si="30"/>
        <v>Error?</v>
      </c>
    </row>
    <row r="2017" spans="1:4" x14ac:dyDescent="0.2">
      <c r="A2017" s="5">
        <v>1956</v>
      </c>
      <c r="B2017" s="138">
        <f>'Cap Outlay Deprec 26'!D12</f>
        <v>24139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545550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6046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6046</v>
      </c>
      <c r="C2025" s="2" t="s">
        <v>573</v>
      </c>
      <c r="D2025" s="2" t="str">
        <f t="shared" si="30"/>
        <v>Error?</v>
      </c>
    </row>
    <row r="2026" spans="1:4" x14ac:dyDescent="0.2">
      <c r="A2026" s="5">
        <v>1965</v>
      </c>
      <c r="B2026" s="138">
        <f>'Cap Outlay Deprec 26'!F5</f>
        <v>76885</v>
      </c>
      <c r="C2026" s="2" t="s">
        <v>573</v>
      </c>
      <c r="D2026" s="2" t="str">
        <f t="shared" si="30"/>
        <v>Error?</v>
      </c>
    </row>
    <row r="2027" spans="1:4" x14ac:dyDescent="0.2">
      <c r="A2027" s="5">
        <v>1966</v>
      </c>
      <c r="B2027" s="138">
        <f>'Cap Outlay Deprec 26'!F8</f>
        <v>33933914</v>
      </c>
      <c r="C2027" s="2" t="s">
        <v>573</v>
      </c>
      <c r="D2027" s="2" t="str">
        <f t="shared" si="30"/>
        <v>Error?</v>
      </c>
    </row>
    <row r="2028" spans="1:4" x14ac:dyDescent="0.2">
      <c r="A2028" s="5">
        <v>1967</v>
      </c>
      <c r="B2028" s="138">
        <f>'Cap Outlay Deprec 26'!F10</f>
        <v>272650</v>
      </c>
      <c r="C2028" s="2" t="s">
        <v>573</v>
      </c>
      <c r="D2028" s="2" t="str">
        <f t="shared" si="30"/>
        <v>Error?</v>
      </c>
    </row>
    <row r="2029" spans="1:4" x14ac:dyDescent="0.2">
      <c r="A2029" s="5">
        <v>1968</v>
      </c>
      <c r="B2029" s="138">
        <f>'Cap Outlay Deprec 26'!F12</f>
        <v>1174544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35971514</v>
      </c>
      <c r="C2031" s="2" t="s">
        <v>573</v>
      </c>
      <c r="D2031" s="2" t="str">
        <f t="shared" si="30"/>
        <v>Error?</v>
      </c>
    </row>
    <row r="2032" spans="1:4" x14ac:dyDescent="0.2">
      <c r="A2032" s="10">
        <v>1971</v>
      </c>
      <c r="D2032" s="2" t="str">
        <f t="shared" si="30"/>
        <v>OK</v>
      </c>
    </row>
    <row r="2033" spans="1:4" x14ac:dyDescent="0.2">
      <c r="A2033" s="5">
        <v>1972</v>
      </c>
      <c r="B2033" s="138">
        <f>'Cap Outlay Deprec 26'!H8</f>
        <v>4020501</v>
      </c>
      <c r="D2033" s="2" t="str">
        <f t="shared" si="30"/>
        <v>Error?</v>
      </c>
    </row>
    <row r="2034" spans="1:4" x14ac:dyDescent="0.2">
      <c r="A2034" s="5">
        <v>1973</v>
      </c>
      <c r="B2034" s="138">
        <f>'Cap Outlay Deprec 26'!H10</f>
        <v>231267</v>
      </c>
      <c r="D2034" s="2" t="str">
        <f t="shared" si="30"/>
        <v>Error?</v>
      </c>
    </row>
    <row r="2035" spans="1:4" x14ac:dyDescent="0.2">
      <c r="A2035" s="5">
        <v>1974</v>
      </c>
      <c r="B2035" s="138">
        <f>'Cap Outlay Deprec 26'!H12</f>
        <v>320777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4572545</v>
      </c>
      <c r="C2037" s="2" t="s">
        <v>573</v>
      </c>
      <c r="D2037" s="2" t="str">
        <f t="shared" si="30"/>
        <v>Error?</v>
      </c>
    </row>
    <row r="2038" spans="1:4" x14ac:dyDescent="0.2">
      <c r="A2038" s="10">
        <v>1977</v>
      </c>
      <c r="D2038" s="2" t="str">
        <f t="shared" si="30"/>
        <v>OK</v>
      </c>
    </row>
    <row r="2039" spans="1:4" x14ac:dyDescent="0.2">
      <c r="A2039" s="5">
        <v>1978</v>
      </c>
      <c r="B2039" s="138">
        <f>'Cap Outlay Deprec 26'!I8</f>
        <v>869873</v>
      </c>
      <c r="D2039" s="2" t="str">
        <f t="shared" si="30"/>
        <v>Error?</v>
      </c>
    </row>
    <row r="2040" spans="1:4" x14ac:dyDescent="0.2">
      <c r="A2040" s="5">
        <v>1979</v>
      </c>
      <c r="B2040" s="138">
        <f>'Cap Outlay Deprec 26'!I10</f>
        <v>3179</v>
      </c>
      <c r="D2040" s="2" t="str">
        <f t="shared" si="30"/>
        <v>Error?</v>
      </c>
    </row>
    <row r="2041" spans="1:4" x14ac:dyDescent="0.2">
      <c r="A2041" s="5">
        <v>1980</v>
      </c>
      <c r="B2041" s="138">
        <f>'Cap Outlay Deprec 26'!I12</f>
        <v>137997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1011049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5744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5744</v>
      </c>
      <c r="C2049" s="2" t="s">
        <v>573</v>
      </c>
      <c r="D2049" s="2" t="str">
        <f t="shared" si="31"/>
        <v>Error?</v>
      </c>
    </row>
    <row r="2050" spans="1:4" x14ac:dyDescent="0.2">
      <c r="A2050" s="10">
        <v>1989</v>
      </c>
      <c r="D2050" s="2" t="str">
        <f t="shared" si="31"/>
        <v>OK</v>
      </c>
    </row>
    <row r="2051" spans="1:4" x14ac:dyDescent="0.2">
      <c r="A2051" s="5">
        <v>1990</v>
      </c>
      <c r="B2051" s="138">
        <f>'Cap Outlay Deprec 26'!K8</f>
        <v>4890374</v>
      </c>
      <c r="C2051" s="2" t="s">
        <v>573</v>
      </c>
      <c r="D2051" s="2" t="str">
        <f t="shared" si="31"/>
        <v>Error?</v>
      </c>
    </row>
    <row r="2052" spans="1:4" x14ac:dyDescent="0.2">
      <c r="A2052" s="5">
        <v>1991</v>
      </c>
      <c r="B2052" s="138">
        <f>'Cap Outlay Deprec 26'!K10</f>
        <v>234446</v>
      </c>
      <c r="C2052" s="2" t="s">
        <v>573</v>
      </c>
      <c r="D2052" s="2" t="str">
        <f t="shared" si="31"/>
        <v>Error?</v>
      </c>
    </row>
    <row r="2053" spans="1:4" x14ac:dyDescent="0.2">
      <c r="A2053" s="5">
        <v>1992</v>
      </c>
      <c r="B2053" s="138">
        <f>'Cap Outlay Deprec 26'!K12</f>
        <v>453030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5577850</v>
      </c>
      <c r="C2055" s="2" t="s">
        <v>573</v>
      </c>
      <c r="D2055" s="2" t="str">
        <f t="shared" si="31"/>
        <v>Error?</v>
      </c>
    </row>
    <row r="2056" spans="1:4" x14ac:dyDescent="0.2">
      <c r="A2056" s="5">
        <v>1995</v>
      </c>
      <c r="B2056" s="138">
        <f>'Cap Outlay Deprec 26'!L5</f>
        <v>76885</v>
      </c>
      <c r="C2056" s="2" t="s">
        <v>573</v>
      </c>
      <c r="D2056" s="2" t="str">
        <f t="shared" si="31"/>
        <v>Error?</v>
      </c>
    </row>
    <row r="2057" spans="1:4" x14ac:dyDescent="0.2">
      <c r="A2057" s="5">
        <v>1996</v>
      </c>
      <c r="B2057" s="138">
        <f>'Cap Outlay Deprec 26'!L8</f>
        <v>29043540</v>
      </c>
      <c r="C2057" s="2" t="s">
        <v>573</v>
      </c>
      <c r="D2057" s="2" t="str">
        <f t="shared" si="31"/>
        <v>Error?</v>
      </c>
    </row>
    <row r="2058" spans="1:4" x14ac:dyDescent="0.2">
      <c r="A2058" s="5">
        <v>1997</v>
      </c>
      <c r="B2058" s="138">
        <f>'Cap Outlay Deprec 26'!L10</f>
        <v>38204</v>
      </c>
      <c r="C2058" s="2" t="s">
        <v>573</v>
      </c>
      <c r="D2058" s="2" t="str">
        <f t="shared" si="31"/>
        <v>Error?</v>
      </c>
    </row>
    <row r="2059" spans="1:4" x14ac:dyDescent="0.2">
      <c r="A2059" s="5">
        <v>1998</v>
      </c>
      <c r="B2059" s="138">
        <f>'Cap Outlay Deprec 26'!L12</f>
        <v>721514</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30393664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636977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755175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2439047</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266399</v>
      </c>
      <c r="D2475" s="2" t="str">
        <f t="shared" si="37"/>
        <v>Error?</v>
      </c>
    </row>
    <row r="2476" spans="1:4" x14ac:dyDescent="0.2">
      <c r="A2476" s="10">
        <v>2415</v>
      </c>
      <c r="D2476" s="2" t="str">
        <f t="shared" si="37"/>
        <v>OK</v>
      </c>
    </row>
    <row r="2477" spans="1:4" x14ac:dyDescent="0.2">
      <c r="A2477" s="5">
        <v>2416</v>
      </c>
      <c r="B2477" s="138">
        <f>'Assets-Liab 5-6'!G38</f>
        <v>257342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267798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11524974</v>
      </c>
      <c r="C2551" s="2" t="s">
        <v>573</v>
      </c>
      <c r="D2551" s="2" t="str">
        <f t="shared" si="38"/>
        <v>Error?</v>
      </c>
    </row>
    <row r="2552" spans="1:4" x14ac:dyDescent="0.2">
      <c r="A2552" s="10">
        <v>2491</v>
      </c>
      <c r="D2552" s="2" t="str">
        <f t="shared" si="38"/>
        <v>OK</v>
      </c>
    </row>
    <row r="2553" spans="1:4" x14ac:dyDescent="0.2">
      <c r="A2553" s="5">
        <v>2492</v>
      </c>
      <c r="B2553" s="138">
        <f>'Acct Summary 7-8'!C6</f>
        <v>369624</v>
      </c>
      <c r="C2553" s="2" t="s">
        <v>573</v>
      </c>
      <c r="D2553" s="2" t="str">
        <f t="shared" si="38"/>
        <v>Error?</v>
      </c>
    </row>
    <row r="2554" spans="1:4" x14ac:dyDescent="0.2">
      <c r="A2554" s="5">
        <v>2493</v>
      </c>
      <c r="B2554" s="138">
        <f>'Acct Summary 7-8'!C7</f>
        <v>206476</v>
      </c>
      <c r="C2554" s="2" t="s">
        <v>573</v>
      </c>
      <c r="D2554" s="2" t="str">
        <f t="shared" si="38"/>
        <v>Error?</v>
      </c>
    </row>
    <row r="2555" spans="1:4" x14ac:dyDescent="0.2">
      <c r="A2555" s="5">
        <v>2494</v>
      </c>
      <c r="B2555" s="138">
        <f>'Acct Summary 7-8'!C8</f>
        <v>12101074</v>
      </c>
      <c r="C2555" s="2" t="s">
        <v>573</v>
      </c>
      <c r="D2555" s="2" t="str">
        <f t="shared" si="38"/>
        <v>Error?</v>
      </c>
    </row>
    <row r="2556" spans="1:4" x14ac:dyDescent="0.2">
      <c r="A2556" s="5">
        <v>2495</v>
      </c>
      <c r="B2556" s="138">
        <f>'Acct Summary 7-8'!C12</f>
        <v>6936785</v>
      </c>
      <c r="C2556" s="2" t="s">
        <v>573</v>
      </c>
      <c r="D2556" s="2" t="str">
        <f t="shared" si="38"/>
        <v>Error?</v>
      </c>
    </row>
    <row r="2557" spans="1:4" x14ac:dyDescent="0.2">
      <c r="A2557" s="5">
        <v>2496</v>
      </c>
      <c r="B2557" s="138">
        <f>'Acct Summary 7-8'!C13</f>
        <v>2854085</v>
      </c>
      <c r="C2557" s="2" t="s">
        <v>573</v>
      </c>
      <c r="D2557" s="2" t="str">
        <f t="shared" si="38"/>
        <v>Error?</v>
      </c>
    </row>
    <row r="2558" spans="1:4" x14ac:dyDescent="0.2">
      <c r="A2558" s="5">
        <v>2497</v>
      </c>
      <c r="B2558" s="138">
        <f>'Acct Summary 7-8'!C14</f>
        <v>9170</v>
      </c>
      <c r="C2558" s="2" t="s">
        <v>573</v>
      </c>
      <c r="D2558" s="2" t="str">
        <f t="shared" si="38"/>
        <v>Error?</v>
      </c>
    </row>
    <row r="2559" spans="1:4" x14ac:dyDescent="0.2">
      <c r="A2559" s="5">
        <v>2498</v>
      </c>
      <c r="B2559" s="138">
        <f>'Acct Summary 7-8'!C15</f>
        <v>755175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10555215</v>
      </c>
      <c r="C2561" s="2" t="s">
        <v>573</v>
      </c>
      <c r="D2561" s="2" t="str">
        <f t="shared" si="39"/>
        <v>Error?</v>
      </c>
    </row>
    <row r="2562" spans="1:4" x14ac:dyDescent="0.2">
      <c r="A2562" s="5">
        <v>2501</v>
      </c>
      <c r="B2562" s="138">
        <f>'Acct Summary 7-8'!C20</f>
        <v>1545859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1202413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1202413</v>
      </c>
      <c r="C2568" s="2" t="s">
        <v>573</v>
      </c>
      <c r="D2568" s="2" t="str">
        <f t="shared" si="39"/>
        <v>Error?</v>
      </c>
    </row>
    <row r="2569" spans="1:4" x14ac:dyDescent="0.2">
      <c r="A2569" s="5">
        <v>2508</v>
      </c>
      <c r="B2569" s="138">
        <f>'Acct Summary 7-8'!D13</f>
        <v>1475622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1475622</v>
      </c>
      <c r="C2573" s="2" t="s">
        <v>573</v>
      </c>
      <c r="D2573" s="2" t="str">
        <f t="shared" si="39"/>
        <v>Error?</v>
      </c>
    </row>
    <row r="2574" spans="1:4" x14ac:dyDescent="0.2">
      <c r="A2574" s="5">
        <v>2513</v>
      </c>
      <c r="B2574" s="138">
        <f>'Acct Summary 7-8'!D20</f>
        <v>-273209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123113</v>
      </c>
      <c r="C2591" s="2" t="s">
        <v>573</v>
      </c>
      <c r="D2591" s="2" t="str">
        <f t="shared" si="39"/>
        <v>Error?</v>
      </c>
    </row>
    <row r="2592" spans="1:4" x14ac:dyDescent="0.2">
      <c r="A2592" s="10">
        <v>2531</v>
      </c>
      <c r="D2592" s="2" t="str">
        <f t="shared" si="39"/>
        <v>OK</v>
      </c>
    </row>
    <row r="2593" spans="1:4" x14ac:dyDescent="0.2">
      <c r="A2593" s="5">
        <v>2532</v>
      </c>
      <c r="B2593" s="138">
        <f>'Acct Summary 7-8'!F6</f>
        <v>39343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162456</v>
      </c>
      <c r="C2595" s="2" t="s">
        <v>573</v>
      </c>
      <c r="D2595" s="2" t="str">
        <f t="shared" si="39"/>
        <v>Error?</v>
      </c>
    </row>
    <row r="2596" spans="1:4" x14ac:dyDescent="0.2">
      <c r="A2596" s="5">
        <v>2535</v>
      </c>
      <c r="B2596" s="138">
        <f>'Acct Summary 7-8'!F13</f>
        <v>204027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204027</v>
      </c>
      <c r="C2600" s="2" t="s">
        <v>573</v>
      </c>
      <c r="D2600" s="2" t="str">
        <f t="shared" si="39"/>
        <v>Error?</v>
      </c>
    </row>
    <row r="2601" spans="1:4" x14ac:dyDescent="0.2">
      <c r="A2601" s="5">
        <v>2540</v>
      </c>
      <c r="B2601" s="138">
        <f>'Acct Summary 7-8'!F20</f>
        <v>-41571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285054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285054</v>
      </c>
      <c r="C2606" s="2" t="s">
        <v>573</v>
      </c>
      <c r="D2606" s="2" t="str">
        <f t="shared" si="39"/>
        <v>Error?</v>
      </c>
    </row>
    <row r="2607" spans="1:4" x14ac:dyDescent="0.2">
      <c r="A2607" s="5">
        <v>2546</v>
      </c>
      <c r="B2607" s="138">
        <f>'Acct Summary 7-8'!G12</f>
        <v>172466</v>
      </c>
      <c r="C2607" s="2" t="s">
        <v>573</v>
      </c>
      <c r="D2607" s="2" t="str">
        <f t="shared" si="39"/>
        <v>Error?</v>
      </c>
    </row>
    <row r="2608" spans="1:4" x14ac:dyDescent="0.2">
      <c r="A2608" s="5">
        <v>2547</v>
      </c>
      <c r="B2608" s="138">
        <f>'Acct Summary 7-8'!G13</f>
        <v>115511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287977</v>
      </c>
      <c r="C2612" s="2" t="s">
        <v>573</v>
      </c>
      <c r="D2612" s="2" t="str">
        <f t="shared" si="39"/>
        <v>Error?</v>
      </c>
    </row>
    <row r="2613" spans="1:4" x14ac:dyDescent="0.2">
      <c r="A2613" s="5">
        <v>2552</v>
      </c>
      <c r="B2613" s="138">
        <f>'Acct Summary 7-8'!G20</f>
        <v>-2923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363162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363162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1838718</v>
      </c>
      <c r="C2634" s="2" t="s">
        <v>573</v>
      </c>
      <c r="D2634" s="2" t="str">
        <f t="shared" si="40"/>
        <v>Error?</v>
      </c>
    </row>
    <row r="2635" spans="1:4" x14ac:dyDescent="0.2">
      <c r="A2635" s="5">
        <v>2574</v>
      </c>
      <c r="B2635" s="138">
        <f>'Acct Summary 7-8'!E17</f>
        <v>1838718</v>
      </c>
      <c r="C2635" s="2" t="s">
        <v>573</v>
      </c>
      <c r="D2635" s="2" t="str">
        <f t="shared" si="40"/>
        <v>Error?</v>
      </c>
    </row>
    <row r="2636" spans="1:4" x14ac:dyDescent="0.2">
      <c r="A2636" s="5">
        <v>2575</v>
      </c>
      <c r="B2636" s="138">
        <f>'Acct Summary 7-8'!E20</f>
        <v>-1475556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126507</v>
      </c>
      <c r="D2718" s="2" t="str">
        <f t="shared" si="41"/>
        <v>Error?</v>
      </c>
    </row>
    <row r="2719" spans="1:4" x14ac:dyDescent="0.2">
      <c r="A2719" s="5">
        <v>2658</v>
      </c>
      <c r="B2719" s="138">
        <f>'Expenditures 15-22'!D51</f>
        <v>14370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140877</v>
      </c>
      <c r="C2724" s="2" t="s">
        <v>573</v>
      </c>
      <c r="D2724" s="2" t="str">
        <f t="shared" si="41"/>
        <v>Error?</v>
      </c>
    </row>
    <row r="2725" spans="1:4" x14ac:dyDescent="0.2">
      <c r="A2725" s="5">
        <v>2664</v>
      </c>
      <c r="B2725" s="138">
        <f>'Expenditures 15-22'!D247</f>
        <v>1815</v>
      </c>
      <c r="D2725" s="2" t="str">
        <f t="shared" si="41"/>
        <v>Error?</v>
      </c>
    </row>
    <row r="2726" spans="1:4" x14ac:dyDescent="0.2">
      <c r="A2726" s="5">
        <v>2665</v>
      </c>
      <c r="B2726" s="138">
        <f>'Expenditures 15-22'!K247</f>
        <v>1815</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118198</v>
      </c>
      <c r="C2789" s="2" t="s">
        <v>573</v>
      </c>
      <c r="D2789" s="2" t="str">
        <f t="shared" si="42"/>
        <v>Error?</v>
      </c>
    </row>
    <row r="2790" spans="1:4" x14ac:dyDescent="0.2">
      <c r="A2790" s="5">
        <v>2729</v>
      </c>
      <c r="B2790" s="138">
        <f>'Expenditures 15-22'!E102</f>
        <v>118198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513521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2557</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58836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32854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2557</v>
      </c>
      <c r="D2908" s="2" t="str">
        <f t="shared" si="44"/>
        <v>Error?</v>
      </c>
    </row>
    <row r="2909" spans="1:4" x14ac:dyDescent="0.2">
      <c r="A2909" s="10">
        <v>2848</v>
      </c>
      <c r="D2909" s="2" t="str">
        <f t="shared" si="44"/>
        <v>OK</v>
      </c>
    </row>
    <row r="2910" spans="1:4" x14ac:dyDescent="0.2">
      <c r="A2910" s="5">
        <v>2849</v>
      </c>
      <c r="B2910" s="138">
        <f>'Assets-Liab 5-6'!I34</f>
        <v>2557</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56279</v>
      </c>
      <c r="D2912" s="2" t="str">
        <f t="shared" si="44"/>
        <v>Error?</v>
      </c>
    </row>
    <row r="2913" spans="1:4" x14ac:dyDescent="0.2">
      <c r="A2913" s="5">
        <v>2852</v>
      </c>
      <c r="B2913" s="138">
        <f>'Assets-Liab 5-6'!I41</f>
        <v>58836</v>
      </c>
      <c r="C2913" s="2" t="s">
        <v>573</v>
      </c>
      <c r="D2913" s="2" t="str">
        <f t="shared" si="44"/>
        <v>Error?</v>
      </c>
    </row>
    <row r="2914" spans="1:4" x14ac:dyDescent="0.2">
      <c r="A2914" s="5">
        <v>2853</v>
      </c>
      <c r="B2914" s="138">
        <f>'Assets-Liab 5-6'!L33</f>
        <v>32854</v>
      </c>
      <c r="D2914" s="2" t="str">
        <f t="shared" si="44"/>
        <v>Error?</v>
      </c>
    </row>
    <row r="2915" spans="1:4" x14ac:dyDescent="0.2">
      <c r="A2915" s="10">
        <v>2854</v>
      </c>
      <c r="D2915" s="2" t="str">
        <f t="shared" si="44"/>
        <v>OK</v>
      </c>
    </row>
    <row r="2916" spans="1:4" x14ac:dyDescent="0.2">
      <c r="A2916" s="5">
        <v>2855</v>
      </c>
      <c r="B2916" s="138">
        <f>'Assets-Liab 5-6'!L34</f>
        <v>32854</v>
      </c>
      <c r="C2916" s="2" t="s">
        <v>573</v>
      </c>
      <c r="D2916" s="2" t="str">
        <f t="shared" si="44"/>
        <v>Error?</v>
      </c>
    </row>
    <row r="2917" spans="1:4" x14ac:dyDescent="0.2">
      <c r="A2917" s="5">
        <v>2856</v>
      </c>
      <c r="B2917" s="138">
        <f>'Assets-Liab 5-6'!L41</f>
        <v>32854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118198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6289</v>
      </c>
      <c r="D2955" s="2" t="str">
        <f t="shared" si="45"/>
        <v>Error?</v>
      </c>
    </row>
    <row r="2956" spans="1:4" x14ac:dyDescent="0.2">
      <c r="A2956" s="5">
        <v>2895</v>
      </c>
      <c r="B2956" s="138">
        <f>'Expenditures 15-22'!H79</f>
        <v>630688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6289</v>
      </c>
      <c r="C2973" s="2" t="s">
        <v>573</v>
      </c>
      <c r="D2973" s="2" t="str">
        <f t="shared" si="45"/>
        <v>Error?</v>
      </c>
    </row>
    <row r="2974" spans="1:4" x14ac:dyDescent="0.2">
      <c r="A2974" s="5">
        <v>2913</v>
      </c>
      <c r="B2974" s="138">
        <f>'Expenditures 15-22'!K79</f>
        <v>748886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5100000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5860</v>
      </c>
      <c r="C3225" s="2" t="s">
        <v>573</v>
      </c>
      <c r="D3225" s="2" t="str">
        <f t="shared" si="49"/>
        <v>Error?</v>
      </c>
    </row>
    <row r="3226" spans="1:4" x14ac:dyDescent="0.2">
      <c r="A3226" s="5">
        <v>3165</v>
      </c>
      <c r="B3226" s="138">
        <f>'Acct Summary 7-8'!I8</f>
        <v>5860</v>
      </c>
      <c r="C3226" s="2" t="s">
        <v>573</v>
      </c>
      <c r="D3226" s="2" t="str">
        <f t="shared" si="49"/>
        <v>Error?</v>
      </c>
    </row>
    <row r="3227" spans="1:4" x14ac:dyDescent="0.2">
      <c r="A3227" s="5">
        <v>3166</v>
      </c>
      <c r="B3227" s="138">
        <f>'Acct Summary 7-8'!I20</f>
        <v>5860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1268901</v>
      </c>
      <c r="C3231" s="2" t="s">
        <v>573</v>
      </c>
      <c r="D3231" s="2" t="str">
        <f t="shared" si="49"/>
        <v>Error?</v>
      </c>
    </row>
    <row r="3232" spans="1:4" x14ac:dyDescent="0.2">
      <c r="A3232" s="5">
        <v>3171</v>
      </c>
      <c r="B3232" s="138">
        <f>'Acct Summary 7-8'!C77</f>
        <v>-1268901</v>
      </c>
      <c r="C3232" s="2" t="s">
        <v>573</v>
      </c>
      <c r="D3232" s="2" t="str">
        <f t="shared" si="49"/>
        <v>Error?</v>
      </c>
    </row>
    <row r="3233" spans="1:4" x14ac:dyDescent="0.2">
      <c r="A3233" s="5">
        <v>3172</v>
      </c>
      <c r="B3233" s="138">
        <f>'Acct Summary 7-8'!C78</f>
        <v>276958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-273209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-41571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-2923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6541706</v>
      </c>
      <c r="C3274" s="2" t="s">
        <v>573</v>
      </c>
      <c r="D3274" s="2" t="str">
        <f t="shared" si="50"/>
        <v>Error?</v>
      </c>
    </row>
    <row r="3275" spans="1:4" x14ac:dyDescent="0.2">
      <c r="A3275" s="5">
        <v>3214</v>
      </c>
      <c r="B3275" s="138">
        <f>'Acct Summary 7-8'!E75</f>
        <v>5202871</v>
      </c>
      <c r="D3275" s="2" t="str">
        <f t="shared" si="50"/>
        <v>Error?</v>
      </c>
    </row>
    <row r="3276" spans="1:4" x14ac:dyDescent="0.2">
      <c r="A3276" s="5">
        <v>3215</v>
      </c>
      <c r="B3276" s="138">
        <f>'Acct Summary 7-8'!E76</f>
        <v>5202871</v>
      </c>
      <c r="C3276" s="2" t="s">
        <v>573</v>
      </c>
      <c r="D3276" s="2" t="str">
        <f t="shared" si="50"/>
        <v>Error?</v>
      </c>
    </row>
    <row r="3277" spans="1:4" x14ac:dyDescent="0.2">
      <c r="A3277" s="5">
        <v>3216</v>
      </c>
      <c r="B3277" s="138">
        <f>'Acct Summary 7-8'!E77</f>
        <v>1338835</v>
      </c>
      <c r="C3277" s="2" t="s">
        <v>573</v>
      </c>
      <c r="D3277" s="2" t="str">
        <f t="shared" si="50"/>
        <v>Error?</v>
      </c>
    </row>
    <row r="3278" spans="1:4" x14ac:dyDescent="0.2">
      <c r="A3278" s="5">
        <v>3217</v>
      </c>
      <c r="B3278" s="138">
        <f>'Acct Summary 7-8'!E78</f>
        <v>-136721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5860</v>
      </c>
      <c r="C3320" s="2" t="s">
        <v>573</v>
      </c>
      <c r="D3320" s="2" t="str">
        <f t="shared" si="50"/>
        <v>Error?</v>
      </c>
    </row>
    <row r="3321" spans="1:4" x14ac:dyDescent="0.2">
      <c r="A3321" s="5">
        <v>3260</v>
      </c>
      <c r="B3321" s="138">
        <f>'Acct Summary 7-8'!I79</f>
        <v>50419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56279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1140480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293038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6226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13587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1453331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91684</v>
      </c>
      <c r="D3387" s="2" t="str">
        <f t="shared" si="51"/>
        <v>Error?</v>
      </c>
    </row>
    <row r="3388" spans="1:4" x14ac:dyDescent="0.2">
      <c r="A3388" s="5">
        <v>3327</v>
      </c>
      <c r="B3388" s="138">
        <f>'Expenditures 15-22'!D217</f>
        <v>69150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91684</v>
      </c>
      <c r="C3390" s="2" t="s">
        <v>573</v>
      </c>
      <c r="D3390" s="2" t="str">
        <f t="shared" si="51"/>
        <v>Error?</v>
      </c>
    </row>
    <row r="3391" spans="1:4" x14ac:dyDescent="0.2">
      <c r="A3391" s="5">
        <v>3330</v>
      </c>
      <c r="B3391" s="138">
        <f>'Expenditures 15-22'!K217</f>
        <v>69150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8333878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2829487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267798</v>
      </c>
      <c r="D3417" s="2" t="str">
        <f t="shared" si="52"/>
        <v>Error?</v>
      </c>
    </row>
    <row r="3418" spans="1:4" x14ac:dyDescent="0.2">
      <c r="A3418" s="10">
        <v>3357</v>
      </c>
      <c r="D3418" s="2" t="str">
        <f t="shared" si="52"/>
        <v>OK</v>
      </c>
    </row>
    <row r="3419" spans="1:4" x14ac:dyDescent="0.2">
      <c r="A3419" s="5">
        <v>3358</v>
      </c>
      <c r="B3419" s="138">
        <f>'Assets-Liab 5-6'!F4</f>
        <v>265084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257342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104701</v>
      </c>
      <c r="D3425" s="2" t="str">
        <f t="shared" si="52"/>
        <v>Error?</v>
      </c>
    </row>
    <row r="3426" spans="1:4" x14ac:dyDescent="0.2">
      <c r="A3426" s="10">
        <v>3365</v>
      </c>
      <c r="D3426" s="2" t="str">
        <f t="shared" si="52"/>
        <v>OK</v>
      </c>
    </row>
    <row r="3427" spans="1:4" x14ac:dyDescent="0.2">
      <c r="A3427" s="5">
        <v>3366</v>
      </c>
      <c r="B3427" s="138">
        <f>'Assets-Liab 5-6'!I4</f>
        <v>56279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32854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142483</v>
      </c>
      <c r="C3446" s="2" t="s">
        <v>573</v>
      </c>
      <c r="D3446" s="2" t="str">
        <f t="shared" si="52"/>
        <v>Error?</v>
      </c>
    </row>
    <row r="3447" spans="1:4" x14ac:dyDescent="0.2">
      <c r="A3447" s="5">
        <v>3386</v>
      </c>
      <c r="B3447" s="138">
        <f>'Tax Sched 23'!D16</f>
        <v>66752</v>
      </c>
      <c r="C3447" s="2" t="s">
        <v>573</v>
      </c>
      <c r="D3447" s="2" t="str">
        <f t="shared" si="52"/>
        <v>Error?</v>
      </c>
    </row>
    <row r="3448" spans="1:4" x14ac:dyDescent="0.2">
      <c r="A3448" s="5">
        <v>3387</v>
      </c>
      <c r="B3448" s="138">
        <f>'Tax Sched 23'!C16</f>
        <v>75731</v>
      </c>
      <c r="D3448" s="2" t="str">
        <f t="shared" si="52"/>
        <v>Error?</v>
      </c>
    </row>
    <row r="3449" spans="1:4" x14ac:dyDescent="0.2">
      <c r="A3449" s="5">
        <v>3388</v>
      </c>
      <c r="B3449" s="138">
        <f>'Tax Sched 23'!F16</f>
        <v>89752</v>
      </c>
      <c r="C3449" s="2" t="s">
        <v>573</v>
      </c>
      <c r="D3449" s="2" t="str">
        <f t="shared" si="52"/>
        <v>Error?</v>
      </c>
    </row>
    <row r="3450" spans="1:4" x14ac:dyDescent="0.2">
      <c r="A3450" s="5">
        <v>3389</v>
      </c>
      <c r="B3450" s="138">
        <f>'Tax Sched 23'!E16</f>
        <v>165483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513521</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513521</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513521</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154064</v>
      </c>
      <c r="D3546" s="2" t="str">
        <f t="shared" si="54"/>
        <v>Error?</v>
      </c>
    </row>
    <row r="3547" spans="1:4" x14ac:dyDescent="0.2">
      <c r="A3547" s="10">
        <v>3486</v>
      </c>
      <c r="D3547" s="2" t="str">
        <f t="shared" si="54"/>
        <v>OK</v>
      </c>
    </row>
    <row r="3548" spans="1:4" x14ac:dyDescent="0.2">
      <c r="A3548" s="5">
        <v>3487</v>
      </c>
      <c r="B3548" s="138">
        <f>'Assets-Liab 5-6'!K6</f>
        <v>511</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154575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511</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4907</v>
      </c>
      <c r="C3565" s="2" t="s">
        <v>573</v>
      </c>
      <c r="D3565" s="2" t="str">
        <f t="shared" si="54"/>
        <v>Error?</v>
      </c>
    </row>
    <row r="3566" spans="1:4" x14ac:dyDescent="0.2">
      <c r="A3566" s="5">
        <v>3505</v>
      </c>
      <c r="B3566" s="138">
        <f>'Assets-Liab 5-6'!K38</f>
        <v>149668</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154575</v>
      </c>
      <c r="C3568" s="2" t="s">
        <v>573</v>
      </c>
      <c r="D3568" s="2" t="str">
        <f t="shared" si="54"/>
        <v>Error?</v>
      </c>
    </row>
    <row r="3569" spans="1:4" x14ac:dyDescent="0.2">
      <c r="A3569" s="5">
        <v>3508</v>
      </c>
      <c r="B3569" s="138">
        <f>'Acct Summary 7-8'!K4</f>
        <v>66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66</v>
      </c>
      <c r="C3571" s="2" t="s">
        <v>573</v>
      </c>
      <c r="D3571" s="2" t="str">
        <f t="shared" si="54"/>
        <v>Error?</v>
      </c>
    </row>
    <row r="3572" spans="1:4" x14ac:dyDescent="0.2">
      <c r="A3572" s="5">
        <v>3511</v>
      </c>
      <c r="B3572" s="138">
        <f>'Acct Summary 7-8'!K13</f>
        <v>4396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4396</v>
      </c>
      <c r="C3575" s="2" t="s">
        <v>573</v>
      </c>
      <c r="D3575" s="2" t="str">
        <f t="shared" si="54"/>
        <v>Error?</v>
      </c>
    </row>
    <row r="3576" spans="1:4" x14ac:dyDescent="0.2">
      <c r="A3576" s="5">
        <v>3515</v>
      </c>
      <c r="B3576" s="138">
        <f>'Acct Summary 7-8'!K20</f>
        <v>-4330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-4330</v>
      </c>
      <c r="C3588" s="2" t="s">
        <v>573</v>
      </c>
      <c r="D3588" s="2" t="str">
        <f t="shared" si="55"/>
        <v>Error?</v>
      </c>
    </row>
    <row r="3589" spans="1:4" x14ac:dyDescent="0.2">
      <c r="A3589" s="5">
        <v>3528</v>
      </c>
      <c r="B3589" s="138">
        <f>'Acct Summary 7-8'!K79</f>
        <v>153998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149668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4396</v>
      </c>
      <c r="D3646" s="2" t="str">
        <f t="shared" si="55"/>
        <v>Error?</v>
      </c>
    </row>
    <row r="3647" spans="1:4" x14ac:dyDescent="0.2">
      <c r="A3647" s="5">
        <v>3586</v>
      </c>
      <c r="B3647" s="138">
        <f>'Expenditures 15-22'!G350</f>
        <v>4396</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4396</v>
      </c>
      <c r="C3649" s="2" t="s">
        <v>573</v>
      </c>
      <c r="D3649" s="2" t="str">
        <f t="shared" si="56"/>
        <v>Error?</v>
      </c>
    </row>
    <row r="3650" spans="1:4" x14ac:dyDescent="0.2">
      <c r="A3650" s="5">
        <v>3589</v>
      </c>
      <c r="B3650" s="138">
        <f>'Expenditures 15-22'!G367</f>
        <v>4396</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4396</v>
      </c>
      <c r="C3669" s="2" t="s">
        <v>573</v>
      </c>
      <c r="D3669" s="2" t="str">
        <f t="shared" si="56"/>
        <v>Error?</v>
      </c>
    </row>
    <row r="3670" spans="1:4" x14ac:dyDescent="0.2">
      <c r="A3670" s="5">
        <v>3609</v>
      </c>
      <c r="B3670" s="138">
        <f>'Expenditures 15-22'!K350</f>
        <v>4396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4396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4396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-4330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4337249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16438323</v>
      </c>
      <c r="C4122" s="2" t="s">
        <v>573</v>
      </c>
      <c r="D4122" s="2" t="str">
        <f t="shared" si="63"/>
        <v>Error?</v>
      </c>
    </row>
    <row r="4123" spans="1:4" x14ac:dyDescent="0.2">
      <c r="A4123" s="5">
        <v>4062</v>
      </c>
      <c r="B4123" s="138">
        <f>'Acct Summary 7-8'!D10</f>
        <v>1202413</v>
      </c>
      <c r="C4123" s="2" t="s">
        <v>573</v>
      </c>
      <c r="D4123" s="2" t="str">
        <f t="shared" si="63"/>
        <v>Error?</v>
      </c>
    </row>
    <row r="4124" spans="1:4" x14ac:dyDescent="0.2">
      <c r="A4124" s="5">
        <v>4063</v>
      </c>
      <c r="B4124" s="138">
        <f>'Acct Summary 7-8'!E10</f>
        <v>363162</v>
      </c>
      <c r="C4124" s="2" t="s">
        <v>573</v>
      </c>
      <c r="D4124" s="2" t="str">
        <f t="shared" si="63"/>
        <v>Error?</v>
      </c>
    </row>
    <row r="4125" spans="1:4" x14ac:dyDescent="0.2">
      <c r="A4125" s="5">
        <v>4064</v>
      </c>
      <c r="B4125" s="138">
        <f>'Acct Summary 7-8'!F10</f>
        <v>162456</v>
      </c>
      <c r="C4125" s="2" t="s">
        <v>573</v>
      </c>
      <c r="D4125" s="2" t="str">
        <f t="shared" si="63"/>
        <v>Error?</v>
      </c>
    </row>
    <row r="4126" spans="1:4" x14ac:dyDescent="0.2">
      <c r="A4126" s="5">
        <v>4065</v>
      </c>
      <c r="B4126" s="138">
        <f>'Acct Summary 7-8'!G10</f>
        <v>285054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5860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66</v>
      </c>
      <c r="C4130" s="2" t="s">
        <v>573</v>
      </c>
      <c r="D4130" s="2" t="str">
        <f t="shared" si="63"/>
        <v>Error?</v>
      </c>
    </row>
    <row r="4131" spans="1:4" x14ac:dyDescent="0.2">
      <c r="A4131" s="5">
        <v>4070</v>
      </c>
      <c r="B4131" s="138">
        <f>'Acct Summary 7-8'!C18</f>
        <v>4337249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14892464</v>
      </c>
      <c r="C4136" s="2" t="s">
        <v>573</v>
      </c>
      <c r="D4136" s="2" t="str">
        <f t="shared" si="63"/>
        <v>Error?</v>
      </c>
    </row>
    <row r="4137" spans="1:4" x14ac:dyDescent="0.2">
      <c r="A4137" s="5">
        <v>4076</v>
      </c>
      <c r="B4137" s="138">
        <f>'Acct Summary 7-8'!D19</f>
        <v>1475622</v>
      </c>
      <c r="C4137" s="2" t="s">
        <v>573</v>
      </c>
      <c r="D4137" s="2" t="str">
        <f t="shared" si="63"/>
        <v>Error?</v>
      </c>
    </row>
    <row r="4138" spans="1:4" x14ac:dyDescent="0.2">
      <c r="A4138" s="5">
        <v>4077</v>
      </c>
      <c r="B4138" s="138">
        <f>'Acct Summary 7-8'!E19</f>
        <v>1838718</v>
      </c>
      <c r="C4138" s="2" t="s">
        <v>573</v>
      </c>
      <c r="D4138" s="2" t="str">
        <f t="shared" si="63"/>
        <v>Error?</v>
      </c>
    </row>
    <row r="4139" spans="1:4" x14ac:dyDescent="0.2">
      <c r="A4139" s="5">
        <v>4078</v>
      </c>
      <c r="B4139" s="138">
        <f>'Acct Summary 7-8'!F19</f>
        <v>204027</v>
      </c>
      <c r="C4139" s="2" t="s">
        <v>573</v>
      </c>
      <c r="D4139" s="2" t="str">
        <f t="shared" si="63"/>
        <v>Error?</v>
      </c>
    </row>
    <row r="4140" spans="1:4" x14ac:dyDescent="0.2">
      <c r="A4140" s="5">
        <v>4079</v>
      </c>
      <c r="B4140" s="138">
        <f>'Acct Summary 7-8'!G19</f>
        <v>287977</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4396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22696828</v>
      </c>
      <c r="C4171" s="2" t="s">
        <v>573</v>
      </c>
      <c r="D4171" s="2" t="str">
        <f t="shared" si="64"/>
        <v>Error?</v>
      </c>
    </row>
    <row r="4172" spans="1:4" x14ac:dyDescent="0.2">
      <c r="A4172" s="5">
        <v>4111</v>
      </c>
      <c r="B4172" s="138">
        <f>'Short-Term Long-Term Debt 24'!J49</f>
        <v>22186513</v>
      </c>
      <c r="C4172" s="2" t="s">
        <v>573</v>
      </c>
      <c r="D4172" s="2" t="str">
        <f t="shared" si="64"/>
        <v>Error?</v>
      </c>
    </row>
    <row r="4173" spans="1:4" x14ac:dyDescent="0.2">
      <c r="A4173" s="5">
        <v>4112</v>
      </c>
      <c r="B4173" s="138">
        <f>'Short-Term Long-Term Debt 24'!H49</f>
        <v>1017458</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-5962887</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2450.1999999999998</v>
      </c>
      <c r="C4265" s="2" t="s">
        <v>573</v>
      </c>
      <c r="D4265" s="2" t="str">
        <f t="shared" si="65"/>
        <v>Error?</v>
      </c>
      <c r="E4265" s="128"/>
    </row>
    <row r="4266" spans="1:5" x14ac:dyDescent="0.2">
      <c r="A4266" s="12">
        <v>4205</v>
      </c>
      <c r="B4266" s="138">
        <f>('FP Info 3'!F10)*100000</f>
        <v>248.29999999999998</v>
      </c>
      <c r="C4266" s="2" t="s">
        <v>573</v>
      </c>
      <c r="D4266" s="2" t="str">
        <f t="shared" si="65"/>
        <v>Error?</v>
      </c>
      <c r="E4266" s="128"/>
    </row>
    <row r="4267" spans="1:5" x14ac:dyDescent="0.2">
      <c r="A4267" s="12">
        <v>4206</v>
      </c>
      <c r="B4267" s="138">
        <f>('FP Info 3'!H10)*100000</f>
        <v>23.8</v>
      </c>
      <c r="C4267" s="2" t="s">
        <v>573</v>
      </c>
      <c r="D4267" s="2" t="str">
        <f t="shared" si="65"/>
        <v>Error?</v>
      </c>
      <c r="E4267" s="128"/>
    </row>
    <row r="4268" spans="1:5" x14ac:dyDescent="0.2">
      <c r="A4268" s="12">
        <v>4207</v>
      </c>
      <c r="B4268" s="138">
        <f>('FP Info 3'!J10)*100000</f>
        <v>2722</v>
      </c>
      <c r="C4268" s="2" t="s">
        <v>573</v>
      </c>
      <c r="D4268" s="2" t="str">
        <f t="shared" si="65"/>
        <v>Error?</v>
      </c>
    </row>
    <row r="4269" spans="1:5" x14ac:dyDescent="0.2">
      <c r="A4269" s="12">
        <v>4208</v>
      </c>
      <c r="B4269" s="138">
        <f>'FP Info 3'!J16</f>
        <v>10966008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771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5613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471462419</v>
      </c>
      <c r="D4995" s="2" t="str">
        <f t="shared" si="77"/>
        <v>Error?</v>
      </c>
    </row>
    <row r="4996" spans="1:4" x14ac:dyDescent="0.2">
      <c r="A4996" s="12">
        <v>4935</v>
      </c>
      <c r="B4996" s="138">
        <f>'FP Info 3'!H31</f>
        <v>32530906.911000002</v>
      </c>
      <c r="D4996" s="2" t="str">
        <f t="shared" si="77"/>
        <v>Error?</v>
      </c>
    </row>
    <row r="4997" spans="1:4" x14ac:dyDescent="0.2">
      <c r="A4997" s="12">
        <v>4936</v>
      </c>
      <c r="B4997" s="138">
        <f>'FP Info 3'!H37</f>
        <v>22696828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10398751</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10398751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301835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301835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232698</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8616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8616</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440454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33990</v>
      </c>
      <c r="D5118" s="2" t="str">
        <f t="shared" si="78"/>
        <v>Error?</v>
      </c>
    </row>
    <row r="5119" spans="1:4" x14ac:dyDescent="0.2">
      <c r="A5119" s="5">
        <v>5058</v>
      </c>
      <c r="B5119" s="138">
        <f>'Revenues 9-14'!C107</f>
        <v>108630</v>
      </c>
      <c r="D5119" s="2" t="str">
        <f t="shared" ref="D5119:D5182" si="79">IF(ISBLANK(B5119),"OK",IF(A5119-B5119=0,"OK","Error?"))</f>
        <v>Error?</v>
      </c>
    </row>
    <row r="5120" spans="1:4" x14ac:dyDescent="0.2">
      <c r="A5120" s="5">
        <v>5059</v>
      </c>
      <c r="B5120" s="138">
        <f>'Revenues 9-14'!C108</f>
        <v>583074</v>
      </c>
      <c r="C5120" s="2" t="s">
        <v>573</v>
      </c>
      <c r="D5120" s="2" t="str">
        <f t="shared" si="79"/>
        <v>Error?</v>
      </c>
    </row>
    <row r="5121" spans="1:4" x14ac:dyDescent="0.2">
      <c r="A5121" s="5">
        <v>5060</v>
      </c>
      <c r="B5121" s="138">
        <f>'Revenues 9-14'!C109</f>
        <v>11524974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368864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368864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760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369624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3895</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3895</v>
      </c>
      <c r="C5246" s="2" t="s">
        <v>573</v>
      </c>
      <c r="D5246" s="2" t="str">
        <f t="shared" si="80"/>
        <v>Error?</v>
      </c>
    </row>
    <row r="5247" spans="1:4" x14ac:dyDescent="0.2">
      <c r="A5247" s="5">
        <v>5186</v>
      </c>
      <c r="B5247" s="138">
        <f>'Revenues 9-14'!C200</f>
        <v>82119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771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82119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1053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113025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114078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206476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206476</v>
      </c>
      <c r="C5326" s="2" t="s">
        <v>573</v>
      </c>
      <c r="D5326" s="2" t="str">
        <f t="shared" si="82"/>
        <v>Error?</v>
      </c>
    </row>
    <row r="5327" spans="1:5" x14ac:dyDescent="0.2">
      <c r="A5327" s="5">
        <v>5266</v>
      </c>
      <c r="B5327" s="138">
        <f>'Revenues 9-14'!C268</f>
        <v>12101074</v>
      </c>
      <c r="C5327" s="2" t="s">
        <v>573</v>
      </c>
      <c r="D5327" s="2" t="str">
        <f t="shared" si="82"/>
        <v>Error?</v>
      </c>
    </row>
    <row r="5328" spans="1:5" x14ac:dyDescent="0.2">
      <c r="A5328" s="5">
        <v>5267</v>
      </c>
      <c r="B5328" s="138">
        <f>'Revenues 9-14'!D5</f>
        <v>1079002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1079002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97239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97239</v>
      </c>
      <c r="C5339" s="2" t="s">
        <v>573</v>
      </c>
      <c r="D5339" s="2" t="str">
        <f t="shared" si="82"/>
        <v>Error?</v>
      </c>
    </row>
    <row r="5340" spans="1:4" x14ac:dyDescent="0.2">
      <c r="A5340" s="5">
        <v>5279</v>
      </c>
      <c r="B5340" s="138">
        <f>'Revenues 9-14'!D65</f>
        <v>272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272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900</v>
      </c>
      <c r="D5349" s="2" t="str">
        <f t="shared" si="82"/>
        <v>Error?</v>
      </c>
    </row>
    <row r="5350" spans="1:4" x14ac:dyDescent="0.2">
      <c r="A5350" s="5">
        <v>5289</v>
      </c>
      <c r="B5350" s="138">
        <f>'Revenues 9-14'!D96</f>
        <v>25000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25900</v>
      </c>
      <c r="C5355" s="2" t="s">
        <v>573</v>
      </c>
      <c r="D5355" s="2" t="str">
        <f t="shared" si="82"/>
        <v>Error?</v>
      </c>
    </row>
    <row r="5356" spans="1:4" x14ac:dyDescent="0.2">
      <c r="A5356" s="5">
        <v>5295</v>
      </c>
      <c r="B5356" s="138">
        <f>'Revenues 9-14'!D109</f>
        <v>1202413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1202413</v>
      </c>
      <c r="C5508" s="2" t="s">
        <v>573</v>
      </c>
      <c r="D5508" s="2" t="str">
        <f t="shared" si="85"/>
        <v>Error?</v>
      </c>
    </row>
    <row r="5509" spans="1:4" x14ac:dyDescent="0.2">
      <c r="A5509" s="5">
        <v>5448</v>
      </c>
      <c r="B5509" s="138">
        <f>'Revenues 9-14'!E5</f>
        <v>362881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362881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281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281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363162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363162</v>
      </c>
      <c r="C5552" s="2" t="s">
        <v>573</v>
      </c>
      <c r="D5552" s="2" t="str">
        <f t="shared" si="85"/>
        <v>Error?</v>
      </c>
    </row>
    <row r="5553" spans="1:4" x14ac:dyDescent="0.2">
      <c r="A5553" s="5">
        <v>5492</v>
      </c>
      <c r="B5553" s="138">
        <f>'Revenues 9-14'!F5</f>
        <v>123083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123083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123113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39343</v>
      </c>
      <c r="D5617" s="2" t="str">
        <f t="shared" si="86"/>
        <v>Error?</v>
      </c>
    </row>
    <row r="5618" spans="1:5" x14ac:dyDescent="0.2">
      <c r="A5618" s="5">
        <v>5557</v>
      </c>
      <c r="B5618" s="138">
        <f>'Revenues 9-14'!F155</f>
        <v>39343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39343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39343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162456</v>
      </c>
      <c r="C5720" s="2" t="s">
        <v>573</v>
      </c>
      <c r="D5720" s="2" t="str">
        <f t="shared" si="88"/>
        <v>Error?</v>
      </c>
    </row>
    <row r="5721" spans="1:4" x14ac:dyDescent="0.2">
      <c r="A5721" s="5">
        <v>5660</v>
      </c>
      <c r="B5721" s="138">
        <f>'Revenues 9-14'!G5</f>
        <v>142492</v>
      </c>
      <c r="D5721" s="2" t="str">
        <f t="shared" si="88"/>
        <v>Error?</v>
      </c>
    </row>
    <row r="5722" spans="1:4" x14ac:dyDescent="0.2">
      <c r="A5722" s="5">
        <v>5661</v>
      </c>
      <c r="B5722" s="138">
        <f>'Revenues 9-14'!G7</f>
        <v>0</v>
      </c>
      <c r="D5722" s="2" t="str">
        <f t="shared" si="88"/>
        <v>Error?</v>
      </c>
    </row>
    <row r="5723" spans="1:4" x14ac:dyDescent="0.2">
      <c r="A5723" s="5">
        <v>5662</v>
      </c>
      <c r="B5723" s="138">
        <f>'Revenues 9-14'!G8</f>
        <v>142483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284975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79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285054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5859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5859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5860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66</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66</v>
      </c>
      <c r="C6023" s="2" t="s">
        <v>573</v>
      </c>
      <c r="D6023" s="2" t="str">
        <f t="shared" si="93"/>
        <v>Error?</v>
      </c>
    </row>
    <row r="6024" spans="1:5" x14ac:dyDescent="0.2">
      <c r="A6024" s="5">
        <v>5963</v>
      </c>
      <c r="B6024" s="138">
        <f>'Revenues 9-14'!G109</f>
        <v>285054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5860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232698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446.6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96391</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9735</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105470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145815</v>
      </c>
      <c r="D6142" s="2" t="str">
        <f t="shared" si="94"/>
        <v>Error?</v>
      </c>
      <c r="E6142" s="2" t="s">
        <v>190</v>
      </c>
    </row>
    <row r="6143" spans="1:5" x14ac:dyDescent="0.2">
      <c r="A6143">
        <v>6082</v>
      </c>
      <c r="B6143" s="138">
        <f>'Assets-Liab 5-6'!D27</f>
        <v>383195</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8420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104701</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4396</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42446</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42446</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63024</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105470</v>
      </c>
      <c r="D6216" s="2" t="str">
        <f t="shared" si="96"/>
        <v>Error?</v>
      </c>
      <c r="E6216" s="2" t="s">
        <v>190</v>
      </c>
    </row>
    <row r="6217" spans="1:5" x14ac:dyDescent="0.2">
      <c r="A6217">
        <v>6156</v>
      </c>
      <c r="B6217" s="138">
        <f>'Assets-Liab 5-6'!J4</f>
        <v>63024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42446</v>
      </c>
      <c r="D6219" s="2" t="str">
        <f t="shared" si="96"/>
        <v>Error?</v>
      </c>
      <c r="E6219" s="2" t="s">
        <v>190</v>
      </c>
    </row>
    <row r="6220" spans="1:5" x14ac:dyDescent="0.2">
      <c r="A6220">
        <v>6159</v>
      </c>
      <c r="B6220" s="138">
        <f>'Acct Summary 7-8'!J4</f>
        <v>72975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72975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72975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61145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61145</v>
      </c>
      <c r="D6229" s="2" t="str">
        <f t="shared" si="96"/>
        <v>Error?</v>
      </c>
      <c r="E6229" s="2" t="s">
        <v>190</v>
      </c>
    </row>
    <row r="6230" spans="1:5" x14ac:dyDescent="0.2">
      <c r="A6230">
        <v>6169</v>
      </c>
      <c r="B6230" s="138">
        <f>'Acct Summary 7-8'!J20</f>
        <v>11830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655000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613901</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11830</v>
      </c>
      <c r="D6263" s="2" t="str">
        <f t="shared" si="96"/>
        <v>Error?</v>
      </c>
      <c r="E6263" s="2" t="s">
        <v>190</v>
      </c>
    </row>
    <row r="6264" spans="1:5" x14ac:dyDescent="0.2">
      <c r="A6264">
        <v>6203</v>
      </c>
      <c r="B6264" s="138">
        <f>'Acct Summary 7-8'!J79</f>
        <v>51194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63024</v>
      </c>
      <c r="D6266" s="2" t="str">
        <f t="shared" si="96"/>
        <v>Error?</v>
      </c>
      <c r="E6266" s="2" t="s">
        <v>190</v>
      </c>
    </row>
    <row r="6267" spans="1:5" x14ac:dyDescent="0.2">
      <c r="A6267">
        <v>6206</v>
      </c>
      <c r="B6267" s="138">
        <f>'Acct Summary 7-8'!C82</f>
        <v>276958</v>
      </c>
      <c r="D6267" s="2" t="str">
        <f t="shared" si="96"/>
        <v>Error?</v>
      </c>
      <c r="E6267" s="2" t="s">
        <v>190</v>
      </c>
    </row>
    <row r="6268" spans="1:5" x14ac:dyDescent="0.2">
      <c r="A6268">
        <v>6207</v>
      </c>
      <c r="B6268" s="138">
        <f>'Acct Summary 7-8'!D82</f>
        <v>-273209</v>
      </c>
      <c r="D6268" s="2" t="str">
        <f t="shared" si="96"/>
        <v>Error?</v>
      </c>
      <c r="E6268" s="2" t="s">
        <v>190</v>
      </c>
    </row>
    <row r="6269" spans="1:5" x14ac:dyDescent="0.2">
      <c r="A6269">
        <v>6208</v>
      </c>
      <c r="B6269" s="138">
        <f>'Acct Summary 7-8'!E82</f>
        <v>-136721</v>
      </c>
      <c r="D6269" s="2" t="str">
        <f t="shared" si="96"/>
        <v>Error?</v>
      </c>
      <c r="E6269" s="2" t="s">
        <v>190</v>
      </c>
    </row>
    <row r="6270" spans="1:5" x14ac:dyDescent="0.2">
      <c r="A6270">
        <v>6209</v>
      </c>
      <c r="B6270" s="138">
        <f>'Acct Summary 7-8'!F82</f>
        <v>-41571</v>
      </c>
      <c r="D6270" s="2" t="str">
        <f t="shared" si="96"/>
        <v>Error?</v>
      </c>
      <c r="E6270" s="2" t="s">
        <v>190</v>
      </c>
    </row>
    <row r="6271" spans="1:5" x14ac:dyDescent="0.2">
      <c r="A6271">
        <v>6210</v>
      </c>
      <c r="B6271" s="138">
        <f>'Acct Summary 7-8'!G82</f>
        <v>-2923</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5860</v>
      </c>
      <c r="D6273" s="2" t="str">
        <f t="shared" si="97"/>
        <v>Error?</v>
      </c>
      <c r="E6273" s="2" t="s">
        <v>190</v>
      </c>
    </row>
    <row r="6274" spans="1:5" x14ac:dyDescent="0.2">
      <c r="A6274">
        <v>6213</v>
      </c>
      <c r="B6274" s="138">
        <f>'Acct Summary 7-8'!J82</f>
        <v>11830</v>
      </c>
      <c r="D6274" s="2" t="str">
        <f t="shared" si="97"/>
        <v>Error?</v>
      </c>
      <c r="E6274" s="2" t="s">
        <v>190</v>
      </c>
    </row>
    <row r="6275" spans="1:5" x14ac:dyDescent="0.2">
      <c r="A6275">
        <v>6214</v>
      </c>
      <c r="B6275" s="138">
        <f>'Acct Summary 7-8'!K82</f>
        <v>-4330</v>
      </c>
      <c r="D6275" s="2" t="str">
        <f t="shared" si="97"/>
        <v>Error?</v>
      </c>
      <c r="E6275" s="2" t="s">
        <v>190</v>
      </c>
    </row>
    <row r="6276" spans="1:5" x14ac:dyDescent="0.2">
      <c r="A6276">
        <v>6215</v>
      </c>
      <c r="B6276" s="138">
        <f>'Acct Summary 7-8'!C83</f>
        <v>3.3757733613040894E-2</v>
      </c>
      <c r="D6276" s="2" t="str">
        <f t="shared" si="97"/>
        <v>Error?</v>
      </c>
      <c r="E6276" s="2" t="s">
        <v>190</v>
      </c>
    </row>
    <row r="6277" spans="1:5" x14ac:dyDescent="0.2">
      <c r="A6277">
        <v>6216</v>
      </c>
      <c r="B6277" s="138">
        <f>'Acct Summary 7-8'!D83</f>
        <v>-0.11201465162417944</v>
      </c>
      <c r="D6277" s="2" t="str">
        <f t="shared" si="97"/>
        <v>Error?</v>
      </c>
      <c r="E6277" s="2" t="s">
        <v>190</v>
      </c>
    </row>
    <row r="6278" spans="1:5" x14ac:dyDescent="0.2">
      <c r="A6278">
        <v>6217</v>
      </c>
      <c r="B6278" s="138">
        <f>'Acct Summary 7-8'!E83</f>
        <v>-0.51053779341145189</v>
      </c>
      <c r="D6278" s="2" t="str">
        <f t="shared" si="97"/>
        <v>Error?</v>
      </c>
      <c r="E6278" s="2" t="s">
        <v>190</v>
      </c>
    </row>
    <row r="6279" spans="1:5" x14ac:dyDescent="0.2">
      <c r="A6279">
        <v>6218</v>
      </c>
      <c r="B6279" s="138">
        <f>'Acct Summary 7-8'!F83</f>
        <v>-0.1560478830626241</v>
      </c>
      <c r="D6279" s="2" t="str">
        <f t="shared" si="97"/>
        <v>Error?</v>
      </c>
      <c r="E6279" s="2" t="s">
        <v>190</v>
      </c>
    </row>
    <row r="6280" spans="1:5" x14ac:dyDescent="0.2">
      <c r="A6280">
        <v>6219</v>
      </c>
      <c r="B6280" s="138">
        <f>'Acct Summary 7-8'!G83</f>
        <v>-1.1358425752500564E-2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0.10412409602160663</v>
      </c>
      <c r="D6282" s="2" t="str">
        <f t="shared" si="97"/>
        <v>Error?</v>
      </c>
      <c r="E6282" s="2" t="s">
        <v>190</v>
      </c>
    </row>
    <row r="6283" spans="1:5" x14ac:dyDescent="0.2">
      <c r="A6283">
        <v>6222</v>
      </c>
      <c r="B6283" s="138">
        <f>'Acct Summary 7-8'!J83</f>
        <v>0.18770627062706272</v>
      </c>
      <c r="D6283" s="2" t="str">
        <f t="shared" si="97"/>
        <v>Error?</v>
      </c>
      <c r="E6283" s="2" t="s">
        <v>190</v>
      </c>
    </row>
    <row r="6284" spans="1:5" x14ac:dyDescent="0.2">
      <c r="A6284">
        <v>6223</v>
      </c>
      <c r="B6284" s="138">
        <f>'Acct Summary 7-8'!K83</f>
        <v>-2.8930699949220942E-2</v>
      </c>
      <c r="D6284" s="2" t="str">
        <f t="shared" si="97"/>
        <v>Error?</v>
      </c>
      <c r="E6284" s="2" t="s">
        <v>190</v>
      </c>
    </row>
    <row r="6285" spans="1:5" x14ac:dyDescent="0.2">
      <c r="A6285">
        <v>6224</v>
      </c>
      <c r="B6285" s="138">
        <f>'Acct Summary 7-8'!E37</f>
        <v>655000</v>
      </c>
      <c r="D6285" s="2" t="str">
        <f t="shared" si="97"/>
        <v>Error?</v>
      </c>
      <c r="E6285" s="2" t="s">
        <v>190</v>
      </c>
    </row>
    <row r="6286" spans="1:5" x14ac:dyDescent="0.2">
      <c r="A6286">
        <v>6225</v>
      </c>
      <c r="B6286" s="138">
        <f>'Acct Summary 7-8'!E38</f>
        <v>613901</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72956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72956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72975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1074</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1074</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1934</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1934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258153</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258153</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261161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261161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13326</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13326</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13326</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61145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13326</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72975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27196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27196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1779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1779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32170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32170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61145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61145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61145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61145</v>
      </c>
      <c r="D7224" s="2" t="str">
        <f t="shared" si="111"/>
        <v>Error?</v>
      </c>
    </row>
    <row r="7225" spans="1:4" x14ac:dyDescent="0.2">
      <c r="A7225">
        <v>7164</v>
      </c>
      <c r="B7225" s="138">
        <f>'Expenditures 15-22'!K343</f>
        <v>11830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274487</v>
      </c>
      <c r="D7624" s="2" t="str">
        <f t="shared" si="124"/>
        <v>Error?</v>
      </c>
      <c r="E7624" s="2" t="s">
        <v>19</v>
      </c>
    </row>
    <row r="7625" spans="1:5" x14ac:dyDescent="0.2">
      <c r="A7625">
        <f t="shared" si="123"/>
        <v>7564</v>
      </c>
      <c r="B7625" s="138">
        <f>'Cap Outlay Deprec 26'!I17</f>
        <v>27448.7</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1038497.7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39343</v>
      </c>
      <c r="D7759" s="2" t="str">
        <f t="shared" si="127"/>
        <v>Error?</v>
      </c>
      <c r="E7759" s="4" t="s">
        <v>1333</v>
      </c>
    </row>
    <row r="7760" spans="1:6" x14ac:dyDescent="0.2">
      <c r="A7760">
        <v>7699</v>
      </c>
      <c r="B7760" s="138">
        <f>'Aud Quest 2'!J90</f>
        <v>39343</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1576399</v>
      </c>
      <c r="D7797" s="2" t="str">
        <f t="shared" si="127"/>
        <v>Error?</v>
      </c>
      <c r="E7797" s="4" t="s">
        <v>1904</v>
      </c>
    </row>
    <row r="7798" spans="1:5" x14ac:dyDescent="0.2">
      <c r="A7798">
        <v>7737</v>
      </c>
      <c r="B7798" s="138">
        <f>'Contracts Paid in CY 29'!F141</f>
        <v>200000</v>
      </c>
      <c r="D7798" s="2" t="str">
        <f t="shared" si="127"/>
        <v>Error?</v>
      </c>
      <c r="E7798" s="4" t="s">
        <v>1904</v>
      </c>
    </row>
    <row r="7799" spans="1:5" x14ac:dyDescent="0.2">
      <c r="A7799">
        <v>7738</v>
      </c>
      <c r="B7799" s="138">
        <f>'Contracts Paid in CY 29'!G141</f>
        <v>666995</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1" t="s">
        <v>1191</v>
      </c>
      <c r="B2" s="2381"/>
      <c r="C2" s="2381"/>
      <c r="D2" s="2381"/>
      <c r="E2" s="2381"/>
      <c r="F2" s="2381"/>
      <c r="G2" s="2381"/>
      <c r="H2" s="2381"/>
      <c r="I2" s="2381"/>
      <c r="J2" s="2381"/>
      <c r="K2" s="2381"/>
      <c r="L2" s="2381"/>
    </row>
    <row r="3" spans="1:29" ht="13.5" customHeight="1" x14ac:dyDescent="0.2">
      <c r="A3" s="2412" t="s">
        <v>1190</v>
      </c>
      <c r="B3" s="2412"/>
      <c r="C3" s="2412"/>
      <c r="D3" s="2412"/>
      <c r="E3" s="2412"/>
      <c r="F3" s="2412"/>
      <c r="G3" s="2412"/>
      <c r="H3" s="2412"/>
      <c r="I3" s="2412"/>
      <c r="J3" s="2412"/>
      <c r="K3" s="2412"/>
      <c r="L3" s="2412"/>
    </row>
    <row r="4" spans="1:29" ht="13.5" customHeight="1" x14ac:dyDescent="0.2">
      <c r="A4" s="2381" t="s">
        <v>1989</v>
      </c>
      <c r="B4" s="2402"/>
      <c r="C4" s="2402"/>
      <c r="D4" s="2402"/>
      <c r="E4" s="2402"/>
      <c r="F4" s="2402"/>
      <c r="G4" s="2402"/>
      <c r="H4" s="2402"/>
      <c r="I4" s="2402"/>
      <c r="J4" s="2402"/>
      <c r="K4" s="2402"/>
      <c r="L4" s="240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3" t="str">
        <f>COVER!A17</f>
        <v>Sunset Ridge SD 29</v>
      </c>
      <c r="B7" s="2404"/>
      <c r="C7" s="2404"/>
      <c r="D7" s="2405"/>
      <c r="E7" s="2406">
        <f>COVER!A13</f>
        <v>5016029002</v>
      </c>
      <c r="F7" s="2407"/>
      <c r="G7" s="2413" t="str">
        <f>COVER!T23</f>
        <v>065-037815</v>
      </c>
      <c r="H7" s="2414"/>
      <c r="I7" s="2414"/>
      <c r="J7" s="2414"/>
      <c r="K7" s="2414"/>
      <c r="L7" s="241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6"/>
      <c r="B9" s="2417"/>
      <c r="C9" s="2417"/>
      <c r="D9" s="2417"/>
      <c r="E9" s="2417"/>
      <c r="F9" s="2418"/>
      <c r="G9" s="2387" t="str">
        <f>COVER!T13</f>
        <v>Lauterbach &amp; Amen, LLP</v>
      </c>
      <c r="H9" s="2419"/>
      <c r="I9" s="2419"/>
      <c r="J9" s="2419"/>
      <c r="K9" s="2419"/>
      <c r="L9" s="2420"/>
    </row>
    <row r="10" spans="1:29" ht="13.5" customHeight="1" x14ac:dyDescent="0.2">
      <c r="A10" s="2393" t="str">
        <f>COVER!A38</f>
        <v>Dr. Edward Stange</v>
      </c>
      <c r="B10" s="2394"/>
      <c r="C10" s="2394"/>
      <c r="D10" s="2394"/>
      <c r="E10" s="2394"/>
      <c r="F10" s="2395"/>
      <c r="G10" s="2387" t="str">
        <f>COVER!T17</f>
        <v>668 N. River Rd</v>
      </c>
      <c r="H10" s="2388"/>
      <c r="I10" s="2388"/>
      <c r="J10" s="2388"/>
      <c r="K10" s="2388"/>
      <c r="L10" s="2389"/>
    </row>
    <row r="11" spans="1:29" ht="13.5" customHeight="1" x14ac:dyDescent="0.2">
      <c r="A11" s="1184" t="s">
        <v>1519</v>
      </c>
      <c r="B11" s="1185"/>
      <c r="C11" s="1186"/>
      <c r="D11" s="1191"/>
      <c r="E11" s="1186"/>
      <c r="F11" s="1190"/>
      <c r="G11" s="2387" t="str">
        <f>COVER!T19</f>
        <v>Naperville</v>
      </c>
      <c r="H11" s="2388"/>
      <c r="I11" s="2388"/>
      <c r="J11" s="2388"/>
      <c r="K11" s="2388"/>
      <c r="L11" s="2389"/>
    </row>
    <row r="12" spans="1:29" ht="13.5" customHeight="1" x14ac:dyDescent="0.2">
      <c r="A12" s="2396" t="s">
        <v>1518</v>
      </c>
      <c r="B12" s="2397"/>
      <c r="C12" s="2397"/>
      <c r="D12" s="2397"/>
      <c r="E12" s="2397"/>
      <c r="F12" s="2398"/>
      <c r="G12" s="2390"/>
      <c r="H12" s="2391"/>
      <c r="I12" s="2391"/>
      <c r="J12" s="2391"/>
      <c r="K12" s="2391"/>
      <c r="L12" s="2392"/>
    </row>
    <row r="13" spans="1:29" ht="13.5" customHeight="1" x14ac:dyDescent="0.2">
      <c r="A13" s="2387"/>
      <c r="B13" s="2388"/>
      <c r="C13" s="2388"/>
      <c r="D13" s="2388"/>
      <c r="E13" s="2388"/>
      <c r="F13" s="2389"/>
      <c r="G13" s="2382" t="s">
        <v>1520</v>
      </c>
      <c r="H13" s="2383"/>
      <c r="I13" s="2399" t="str">
        <f>COVER!T25</f>
        <v>dshaw@lauterbachamen.com</v>
      </c>
      <c r="J13" s="2400"/>
      <c r="K13" s="2400"/>
      <c r="L13" s="2401"/>
    </row>
    <row r="14" spans="1:29" ht="13.5" customHeight="1" x14ac:dyDescent="0.2">
      <c r="A14" s="2387" t="str">
        <f>COVER!A19</f>
        <v>525 Sunset Ridge Rd</v>
      </c>
      <c r="B14" s="2388"/>
      <c r="C14" s="2388"/>
      <c r="D14" s="2388"/>
      <c r="E14" s="2388"/>
      <c r="F14" s="2389"/>
      <c r="G14" s="1195" t="s">
        <v>1185</v>
      </c>
      <c r="H14" s="1193"/>
      <c r="I14" s="1193"/>
      <c r="J14" s="1193"/>
      <c r="K14" s="1193"/>
      <c r="L14" s="1194"/>
    </row>
    <row r="15" spans="1:29" ht="13.5" customHeight="1" x14ac:dyDescent="0.2">
      <c r="A15" s="2387" t="str">
        <f>COVER!A21</f>
        <v>Northfield</v>
      </c>
      <c r="B15" s="2388"/>
      <c r="C15" s="2388"/>
      <c r="D15" s="2388"/>
      <c r="E15" s="2388"/>
      <c r="F15" s="2389"/>
      <c r="G15" s="2384" t="str">
        <f>COVER!T15</f>
        <v>Don Shaw</v>
      </c>
      <c r="H15" s="2385"/>
      <c r="I15" s="2385"/>
      <c r="J15" s="2385"/>
      <c r="K15" s="2385"/>
      <c r="L15" s="2386"/>
    </row>
    <row r="16" spans="1:29" ht="12.2" customHeight="1" x14ac:dyDescent="0.2">
      <c r="A16" s="2409">
        <f>COVER!A25</f>
        <v>60093</v>
      </c>
      <c r="B16" s="2410"/>
      <c r="C16" s="2410"/>
      <c r="D16" s="2410"/>
      <c r="E16" s="2410"/>
      <c r="F16" s="2411"/>
      <c r="G16" s="2421"/>
      <c r="H16" s="2422"/>
      <c r="I16" s="2422"/>
      <c r="J16" s="2422"/>
      <c r="K16" s="2422"/>
      <c r="L16" s="2423"/>
    </row>
    <row r="17" spans="1:13" ht="12.2" customHeight="1" x14ac:dyDescent="0.2">
      <c r="A17" s="2424"/>
      <c r="B17" s="2410"/>
      <c r="C17" s="2410"/>
      <c r="D17" s="2410"/>
      <c r="E17" s="2410"/>
      <c r="F17" s="2411"/>
      <c r="G17" s="1195" t="s">
        <v>1184</v>
      </c>
      <c r="H17" s="1193"/>
      <c r="I17" s="1193"/>
      <c r="J17" s="1193"/>
      <c r="K17" s="1197" t="s">
        <v>1183</v>
      </c>
      <c r="L17" s="1190"/>
      <c r="M17" s="1183"/>
    </row>
    <row r="18" spans="1:13" ht="12.2" customHeight="1" x14ac:dyDescent="0.2">
      <c r="A18" s="2393"/>
      <c r="B18" s="2394"/>
      <c r="C18" s="2394"/>
      <c r="D18" s="2394"/>
      <c r="E18" s="2394"/>
      <c r="F18" s="2395"/>
      <c r="G18" s="2403" t="str">
        <f>COVER!T21</f>
        <v>630-393-1483</v>
      </c>
      <c r="H18" s="2404"/>
      <c r="I18" s="2404"/>
      <c r="J18" s="2404"/>
      <c r="K18" s="2403" t="str">
        <f>COVER!X21</f>
        <v>630-393-2516</v>
      </c>
      <c r="L18" s="240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Sunset Ridge SD 29</v>
      </c>
      <c r="B1" s="2402"/>
      <c r="C1" s="2402"/>
      <c r="D1" s="2402"/>
    </row>
    <row r="2" spans="1:11" s="1212" customFormat="1" ht="12.75" x14ac:dyDescent="0.2">
      <c r="A2" s="2426">
        <f>'Single Audit Cover'!E7</f>
        <v>5016029002</v>
      </c>
      <c r="B2" s="2427"/>
      <c r="C2" s="2427"/>
      <c r="D2" s="2427"/>
    </row>
    <row r="3" spans="1:11" s="1212" customFormat="1" ht="12.75" x14ac:dyDescent="0.2">
      <c r="A3" s="2425" t="s">
        <v>1513</v>
      </c>
      <c r="B3" s="2402"/>
      <c r="C3" s="2402"/>
      <c r="D3" s="240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Sunset Ridge SD 29</v>
      </c>
      <c r="B1" s="2429"/>
      <c r="C1" s="2429"/>
      <c r="D1" s="2429"/>
      <c r="E1" s="2429"/>
    </row>
    <row r="2" spans="1:5" x14ac:dyDescent="0.2">
      <c r="A2" s="2430">
        <f>'Single Audit Cover'!E7</f>
        <v>5016029002</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206476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206476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206476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206476</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2" t="str">
        <f>'Single Audit Cover'!A7</f>
        <v>Sunset Ridge SD 29</v>
      </c>
      <c r="C1" s="2433"/>
      <c r="D1" s="2433"/>
      <c r="E1" s="2433"/>
      <c r="F1" s="2433"/>
      <c r="G1" s="2433"/>
      <c r="H1" s="2433"/>
      <c r="I1" s="2433"/>
      <c r="J1" s="2433"/>
      <c r="K1" s="2433"/>
      <c r="L1" s="2433"/>
      <c r="M1" s="2433"/>
    </row>
    <row r="2" spans="2:14" ht="15" x14ac:dyDescent="0.2">
      <c r="B2" s="2434">
        <f>'Single Audit Cover'!E7</f>
        <v>5016029002</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Sunset Ridge SD 29</v>
      </c>
      <c r="B1" s="2446"/>
      <c r="C1" s="2446"/>
      <c r="D1" s="2446"/>
      <c r="E1" s="2446"/>
      <c r="F1" s="2446"/>
    </row>
    <row r="2" spans="1:7" ht="13.5" customHeight="1" x14ac:dyDescent="0.2">
      <c r="A2" s="2434">
        <f>'Single Audit Cover'!E7</f>
        <v>5016029002</v>
      </c>
      <c r="B2" s="2434"/>
      <c r="C2" s="2434"/>
      <c r="D2" s="2434"/>
      <c r="E2" s="2434"/>
      <c r="F2" s="2434"/>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1729</v>
      </c>
      <c r="B7" s="2445"/>
      <c r="C7" s="2445"/>
      <c r="D7" s="2445"/>
      <c r="E7" s="2445"/>
      <c r="F7" s="244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5" t="s">
        <v>1731</v>
      </c>
      <c r="B13" s="2445"/>
      <c r="C13" s="2445"/>
      <c r="D13" s="2445"/>
      <c r="E13" s="2445"/>
      <c r="F13" s="2445"/>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9" t="s">
        <v>1732</v>
      </c>
      <c r="B32" s="2439"/>
      <c r="C32" s="2439"/>
      <c r="D32" s="2439"/>
      <c r="E32" s="2439"/>
      <c r="F32" s="2439"/>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0">
        <f>+C33+C34</f>
        <v>0</v>
      </c>
      <c r="F34" s="244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2" t="s">
        <v>1590</v>
      </c>
      <c r="C49" s="2442"/>
      <c r="D49" s="2442"/>
      <c r="E49" s="1396"/>
    </row>
    <row r="50" spans="1:5" s="1297" customFormat="1" ht="3.75" customHeight="1" x14ac:dyDescent="0.2">
      <c r="A50" s="1296"/>
      <c r="B50" s="1845"/>
      <c r="C50" s="1845"/>
      <c r="D50" s="1845"/>
      <c r="E50" s="1396"/>
    </row>
    <row r="51" spans="1:5" s="1297" customFormat="1" ht="20.25" customHeight="1" x14ac:dyDescent="0.2">
      <c r="A51" s="1298">
        <v>6</v>
      </c>
      <c r="B51" s="2437" t="s">
        <v>1551</v>
      </c>
      <c r="C51" s="2437"/>
      <c r="D51" s="2437"/>
    </row>
    <row r="52" spans="1:5" ht="14.25" customHeight="1" x14ac:dyDescent="0.2">
      <c r="A52" s="1298"/>
      <c r="B52" s="2437"/>
      <c r="C52" s="2437"/>
      <c r="D52" s="2437"/>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80" colorId="8" zoomScale="110" zoomScaleNormal="110" workbookViewId="0">
      <selection activeCell="G90" sqref="G9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34742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v>39343</v>
      </c>
      <c r="H88" s="276"/>
      <c r="I88" s="276"/>
      <c r="J88" s="277">
        <f>SUM(E88:I88)</f>
        <v>39343</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39343</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Sunset Ridge SD 29</v>
      </c>
      <c r="C1" s="2461"/>
      <c r="D1" s="2461"/>
      <c r="E1" s="2461"/>
      <c r="F1" s="2461"/>
      <c r="G1" s="2461"/>
      <c r="H1" s="2461"/>
      <c r="I1" s="2461"/>
      <c r="J1" s="1406"/>
    </row>
    <row r="2" spans="2:10" s="317" customFormat="1" ht="12.75" customHeight="1" x14ac:dyDescent="0.2">
      <c r="B2" s="2462">
        <f>'Single Audit Cover'!E7</f>
        <v>5016029002</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c r="E29" s="2467"/>
      <c r="F29" s="2467"/>
      <c r="G29" s="2467"/>
      <c r="H29" s="2467"/>
      <c r="I29" s="246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8" t="s">
        <v>1751</v>
      </c>
      <c r="D37" s="2469"/>
      <c r="E37" s="2469"/>
      <c r="F37" s="2470"/>
      <c r="G37" s="2468" t="s">
        <v>1592</v>
      </c>
      <c r="H37" s="2469"/>
      <c r="I37" s="2470"/>
    </row>
    <row r="38" spans="2:9" ht="16.5" customHeight="1" x14ac:dyDescent="0.2">
      <c r="B38" s="1428"/>
      <c r="C38" s="2456"/>
      <c r="D38" s="2457"/>
      <c r="E38" s="2457"/>
      <c r="F38" s="2458"/>
      <c r="G38" s="2471"/>
      <c r="H38" s="2472"/>
      <c r="I38" s="2473"/>
    </row>
    <row r="39" spans="2:9" ht="16.5" customHeight="1" x14ac:dyDescent="0.2">
      <c r="B39" s="1428"/>
      <c r="C39" s="2456"/>
      <c r="D39" s="2457"/>
      <c r="E39" s="2457"/>
      <c r="F39" s="2458"/>
      <c r="G39" s="2459"/>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49" t="s">
        <v>1593</v>
      </c>
      <c r="D43" s="2450"/>
      <c r="E43" s="2450"/>
      <c r="F43" s="2451"/>
      <c r="G43" s="2452">
        <f>SUM(G38:I42)</f>
        <v>0</v>
      </c>
      <c r="H43" s="2452"/>
      <c r="I43" s="2452"/>
    </row>
    <row r="44" spans="2:9" ht="12.75" customHeight="1" x14ac:dyDescent="0.2"/>
    <row r="45" spans="2:9" ht="12.75" customHeight="1" x14ac:dyDescent="0.2">
      <c r="B45" s="1419" t="s">
        <v>1841</v>
      </c>
      <c r="D45" s="2453">
        <v>0</v>
      </c>
      <c r="E45" s="245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5"/>
      <c r="F49" s="2455"/>
      <c r="G49" s="2455"/>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Sunset Ridge SD 29</v>
      </c>
      <c r="C1" s="2460"/>
      <c r="D1" s="2460"/>
      <c r="E1" s="2460"/>
      <c r="F1" s="2460"/>
      <c r="G1" s="2460"/>
      <c r="H1" s="2460"/>
      <c r="I1" s="2460"/>
      <c r="J1" s="2460"/>
      <c r="K1" s="2460"/>
      <c r="L1" s="1371"/>
      <c r="M1" s="1371"/>
    </row>
    <row r="2" spans="1:13" ht="12" customHeight="1" x14ac:dyDescent="0.2">
      <c r="B2" s="2462">
        <f>'Single Audit Cover'!E7</f>
        <v>5016029002</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Sunset Ridge SD 29</v>
      </c>
      <c r="C1" s="2483"/>
      <c r="D1" s="2483"/>
      <c r="E1" s="2483"/>
      <c r="F1" s="2483"/>
      <c r="G1" s="2483"/>
      <c r="H1" s="2483"/>
      <c r="I1" s="2483"/>
      <c r="J1" s="2483"/>
      <c r="K1" s="2483"/>
      <c r="L1" s="1449"/>
    </row>
    <row r="2" spans="1:12" ht="12.75" customHeight="1" x14ac:dyDescent="0.2">
      <c r="B2" s="2484">
        <f>'Single Audit Cover'!E7</f>
        <v>5016029002</v>
      </c>
      <c r="C2" s="2484"/>
      <c r="D2" s="2484"/>
      <c r="E2" s="2484"/>
      <c r="F2" s="2484"/>
      <c r="G2" s="2484"/>
      <c r="H2" s="2484"/>
      <c r="I2" s="2484"/>
      <c r="J2" s="2484"/>
      <c r="K2" s="2484"/>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Sunset Ridge SD 29</v>
      </c>
      <c r="C1" s="2460"/>
      <c r="D1" s="2460"/>
      <c r="E1" s="1469"/>
    </row>
    <row r="2" spans="2:5" s="1279" customFormat="1" ht="12.75" customHeight="1" x14ac:dyDescent="0.2">
      <c r="B2" s="2462">
        <f>'Single Audit Cover'!E7</f>
        <v>5016029002</v>
      </c>
      <c r="C2" s="2462"/>
      <c r="D2" s="2462"/>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19" colorId="8" zoomScale="110" zoomScaleNormal="110" workbookViewId="0">
      <selection activeCell="J7" sqref="J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471462419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2.4501999999999999E-2</v>
      </c>
      <c r="E10" s="356" t="s">
        <v>1005</v>
      </c>
      <c r="F10" s="355">
        <v>2.483E-3</v>
      </c>
      <c r="G10" s="356" t="s">
        <v>1005</v>
      </c>
      <c r="H10" s="355">
        <v>2.3800000000000001E-4</v>
      </c>
      <c r="I10" s="356" t="s">
        <v>1006</v>
      </c>
      <c r="J10" s="1732">
        <f>ROUND(D10+F10+H10,5)</f>
        <v>2.7220000000000001E-2</v>
      </c>
      <c r="K10" s="222"/>
      <c r="L10" s="355">
        <v>1.0000000000000001E-5</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13471803</v>
      </c>
      <c r="E16" s="356"/>
      <c r="F16" s="1733">
        <f>SUM('Acct Summary 7-8'!C17,'Acct Summary 7-8'!D17,'Acct Summary 7-8'!F17)</f>
        <v>12234864</v>
      </c>
      <c r="G16" s="356"/>
      <c r="H16" s="1733">
        <f>SUM(D16-F16)</f>
        <v>1236939</v>
      </c>
      <c r="I16" s="222"/>
      <c r="J16" s="1733">
        <f>SUM('Acct Summary 7-8'!C81,'Acct Summary 7-8'!D81,'Acct Summary 7-8'!F81,'Acct Summary 7-8'!I81)</f>
        <v>10966008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32530906.911000002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22696828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Sunset Ridge SD 29</v>
      </c>
      <c r="E7" s="391"/>
      <c r="G7" s="252"/>
      <c r="H7" s="387"/>
      <c r="I7" s="387"/>
      <c r="J7" s="387"/>
      <c r="K7" s="387"/>
      <c r="L7" s="329"/>
      <c r="M7" s="329"/>
      <c r="N7" s="329"/>
      <c r="O7" s="329"/>
      <c r="P7" s="329"/>
    </row>
    <row r="8" spans="1:18" ht="12.75" x14ac:dyDescent="0.2">
      <c r="A8" s="329"/>
      <c r="B8" s="329"/>
      <c r="C8" s="389" t="s">
        <v>1125</v>
      </c>
      <c r="D8" s="392">
        <f>COVER!A13</f>
        <v>5016029002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10966008</v>
      </c>
      <c r="I12" s="404"/>
      <c r="J12" s="404"/>
      <c r="K12" s="405">
        <f>TRUNC((H12/H13*100000),5)/100000</f>
        <v>0.89863935639999992</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12202902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-1268901</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12234864</v>
      </c>
      <c r="I17" s="404"/>
      <c r="J17" s="416"/>
      <c r="K17" s="405">
        <f>TRUNC((H17/H18*100000),5)/100000</f>
        <v>1.002619213</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12202902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-1268901</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304.91577290000004</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11484728</v>
      </c>
      <c r="I24" s="422"/>
      <c r="J24" s="422"/>
      <c r="K24" s="423">
        <f>TRUNC(((H24/H25*100000)/100000),2)</f>
        <v>337.92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33985.733330000003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10908225.988399999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22696828</v>
      </c>
      <c r="I32" s="420"/>
      <c r="J32" s="420"/>
      <c r="K32" s="423">
        <f>TRUNC(100-((((H32/H33*100))*100)/100),2)</f>
        <v>30.22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32530906.911000002</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3.4499999999999997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topLeftCell="D1" colorId="8" zoomScale="110" zoomScaleNormal="110" workbookViewId="0">
      <pane ySplit="2" topLeftCell="A12" activePane="bottomLeft" state="frozen"/>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8333878</v>
      </c>
      <c r="D4" s="466">
        <v>2829487</v>
      </c>
      <c r="E4" s="466">
        <v>267798</v>
      </c>
      <c r="F4" s="466">
        <v>265084</v>
      </c>
      <c r="G4" s="466">
        <v>257342</v>
      </c>
      <c r="H4" s="466">
        <v>104701</v>
      </c>
      <c r="I4" s="466">
        <v>56279</v>
      </c>
      <c r="J4" s="467">
        <v>63024</v>
      </c>
      <c r="K4" s="466">
        <v>154064</v>
      </c>
      <c r="L4" s="466">
        <v>32854</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v>6265255</v>
      </c>
      <c r="D6" s="466">
        <v>634912</v>
      </c>
      <c r="E6" s="466">
        <v>242517</v>
      </c>
      <c r="F6" s="466">
        <v>60857</v>
      </c>
      <c r="G6" s="471">
        <v>179504</v>
      </c>
      <c r="H6" s="471"/>
      <c r="I6" s="466">
        <v>2557</v>
      </c>
      <c r="J6" s="474">
        <v>42446</v>
      </c>
      <c r="K6" s="471">
        <v>511</v>
      </c>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96391</v>
      </c>
      <c r="D8" s="467"/>
      <c r="E8" s="467"/>
      <c r="F8" s="467">
        <v>9735</v>
      </c>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14695524</v>
      </c>
      <c r="D13" s="1737">
        <f t="shared" ref="D13:L13" si="0">SUM(D4:D12)</f>
        <v>3464399</v>
      </c>
      <c r="E13" s="1737">
        <f t="shared" si="0"/>
        <v>510315</v>
      </c>
      <c r="F13" s="1737">
        <f t="shared" si="0"/>
        <v>335676</v>
      </c>
      <c r="G13" s="1737">
        <f t="shared" si="0"/>
        <v>436846</v>
      </c>
      <c r="H13" s="1737">
        <f t="shared" si="0"/>
        <v>104701</v>
      </c>
      <c r="I13" s="1737">
        <f t="shared" si="0"/>
        <v>58836</v>
      </c>
      <c r="J13" s="1737">
        <f t="shared" si="0"/>
        <v>105470</v>
      </c>
      <c r="K13" s="1737">
        <f t="shared" si="0"/>
        <v>154575</v>
      </c>
      <c r="L13" s="1737">
        <f t="shared" si="0"/>
        <v>32854</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76885</v>
      </c>
      <c r="N16" s="484"/>
    </row>
    <row r="17" spans="1:14" s="485" customFormat="1" ht="12.75" customHeight="1" x14ac:dyDescent="0.2">
      <c r="A17" s="482" t="s">
        <v>1403</v>
      </c>
      <c r="B17" s="483">
        <v>230</v>
      </c>
      <c r="C17" s="477"/>
      <c r="D17" s="477"/>
      <c r="E17" s="477"/>
      <c r="F17" s="477"/>
      <c r="G17" s="477"/>
      <c r="H17" s="477"/>
      <c r="I17" s="477"/>
      <c r="J17" s="477"/>
      <c r="K17" s="477"/>
      <c r="L17" s="477"/>
      <c r="M17" s="467">
        <v>33941804</v>
      </c>
      <c r="N17" s="484"/>
    </row>
    <row r="18" spans="1:14" s="485" customFormat="1" ht="12.75" customHeight="1" x14ac:dyDescent="0.2">
      <c r="A18" s="482" t="s">
        <v>1404</v>
      </c>
      <c r="B18" s="483">
        <v>240</v>
      </c>
      <c r="C18" s="477"/>
      <c r="D18" s="477"/>
      <c r="E18" s="477"/>
      <c r="F18" s="477"/>
      <c r="G18" s="477"/>
      <c r="H18" s="477"/>
      <c r="I18" s="477"/>
      <c r="J18" s="477"/>
      <c r="K18" s="477"/>
      <c r="L18" s="477"/>
      <c r="M18" s="467">
        <v>264760</v>
      </c>
      <c r="N18" s="484"/>
    </row>
    <row r="19" spans="1:14" s="485" customFormat="1" ht="12.75" customHeight="1" x14ac:dyDescent="0.2">
      <c r="A19" s="482" t="s">
        <v>1405</v>
      </c>
      <c r="B19" s="483">
        <v>250</v>
      </c>
      <c r="C19" s="477"/>
      <c r="D19" s="477"/>
      <c r="E19" s="477"/>
      <c r="F19" s="477"/>
      <c r="G19" s="477"/>
      <c r="H19" s="477"/>
      <c r="I19" s="477"/>
      <c r="J19" s="477"/>
      <c r="K19" s="477"/>
      <c r="L19" s="477"/>
      <c r="M19" s="467">
        <v>1174544</v>
      </c>
      <c r="N19" s="484"/>
    </row>
    <row r="20" spans="1:14" s="485" customFormat="1" ht="12.75" customHeight="1" x14ac:dyDescent="0.2">
      <c r="A20" s="482" t="s">
        <v>1406</v>
      </c>
      <c r="B20" s="483">
        <v>260</v>
      </c>
      <c r="C20" s="477"/>
      <c r="D20" s="477"/>
      <c r="E20" s="477"/>
      <c r="F20" s="477"/>
      <c r="G20" s="477"/>
      <c r="H20" s="477"/>
      <c r="I20" s="477"/>
      <c r="J20" s="477"/>
      <c r="K20" s="477"/>
      <c r="L20" s="477"/>
      <c r="M20" s="467">
        <v>513521</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+E41</f>
        <v>510315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22186513</v>
      </c>
    </row>
    <row r="23" spans="1:14" ht="13.5" customHeight="1" thickBot="1" x14ac:dyDescent="0.25">
      <c r="A23" s="1736" t="s">
        <v>643</v>
      </c>
      <c r="B23" s="1741"/>
      <c r="C23" s="468"/>
      <c r="D23" s="468"/>
      <c r="E23" s="468"/>
      <c r="F23" s="468"/>
      <c r="G23" s="468"/>
      <c r="H23" s="468"/>
      <c r="I23" s="468"/>
      <c r="J23" s="468"/>
      <c r="K23" s="468"/>
      <c r="L23" s="468"/>
      <c r="M23" s="1688">
        <f>SUM(M15:M22)</f>
        <v>35971514</v>
      </c>
      <c r="N23" s="1688">
        <f>SUM(N21:N22)</f>
        <v>22696828</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f>52208+93607</f>
        <v>145815</v>
      </c>
      <c r="D27" s="467">
        <v>383195</v>
      </c>
      <c r="E27" s="467"/>
      <c r="F27" s="467">
        <v>8420</v>
      </c>
      <c r="G27" s="467"/>
      <c r="H27" s="467">
        <v>104701</v>
      </c>
      <c r="I27" s="467"/>
      <c r="J27" s="467"/>
      <c r="K27" s="467">
        <v>4396</v>
      </c>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80171</v>
      </c>
      <c r="D31" s="467">
        <v>7245</v>
      </c>
      <c r="E31" s="467"/>
      <c r="F31" s="466"/>
      <c r="G31" s="467"/>
      <c r="H31" s="467"/>
      <c r="I31" s="467"/>
      <c r="J31" s="467"/>
      <c r="K31" s="467"/>
      <c r="L31" s="468"/>
      <c r="M31" s="468"/>
      <c r="N31" s="468"/>
    </row>
    <row r="32" spans="1:14" ht="13.5" customHeight="1" x14ac:dyDescent="0.2">
      <c r="A32" s="490" t="s">
        <v>652</v>
      </c>
      <c r="B32" s="491">
        <v>490</v>
      </c>
      <c r="C32" s="492">
        <v>6265255</v>
      </c>
      <c r="D32" s="492">
        <v>634912</v>
      </c>
      <c r="E32" s="474">
        <v>242517</v>
      </c>
      <c r="F32" s="474">
        <v>60857</v>
      </c>
      <c r="G32" s="474">
        <v>179504</v>
      </c>
      <c r="H32" s="474"/>
      <c r="I32" s="474">
        <v>2557</v>
      </c>
      <c r="J32" s="474">
        <v>42446</v>
      </c>
      <c r="K32" s="479">
        <v>511</v>
      </c>
      <c r="L32" s="468"/>
      <c r="M32" s="468"/>
      <c r="N32" s="468"/>
    </row>
    <row r="33" spans="1:14" ht="13.5" customHeight="1" x14ac:dyDescent="0.2">
      <c r="A33" s="493" t="s">
        <v>303</v>
      </c>
      <c r="B33" s="491">
        <v>493</v>
      </c>
      <c r="C33" s="467"/>
      <c r="D33" s="467"/>
      <c r="E33" s="467"/>
      <c r="F33" s="467"/>
      <c r="G33" s="467"/>
      <c r="H33" s="467"/>
      <c r="I33" s="467"/>
      <c r="J33" s="467"/>
      <c r="K33" s="467"/>
      <c r="L33" s="467">
        <v>32854</v>
      </c>
      <c r="M33" s="468"/>
      <c r="N33" s="469"/>
    </row>
    <row r="34" spans="1:14" ht="13.5" customHeight="1" thickBot="1" x14ac:dyDescent="0.25">
      <c r="A34" s="1738" t="s">
        <v>654</v>
      </c>
      <c r="B34" s="1739"/>
      <c r="C34" s="1740">
        <f>SUM(C25:C33)</f>
        <v>6491241</v>
      </c>
      <c r="D34" s="1740">
        <f t="shared" ref="D34:K34" si="1">SUM(D25:D33)</f>
        <v>1025352</v>
      </c>
      <c r="E34" s="1740">
        <f t="shared" si="1"/>
        <v>242517</v>
      </c>
      <c r="F34" s="1740">
        <f t="shared" si="1"/>
        <v>69277</v>
      </c>
      <c r="G34" s="1740">
        <f t="shared" si="1"/>
        <v>179504</v>
      </c>
      <c r="H34" s="1740">
        <f t="shared" si="1"/>
        <v>104701</v>
      </c>
      <c r="I34" s="1740">
        <f t="shared" si="1"/>
        <v>2557</v>
      </c>
      <c r="J34" s="1740">
        <f t="shared" si="1"/>
        <v>42446</v>
      </c>
      <c r="K34" s="1740">
        <f t="shared" si="1"/>
        <v>4907</v>
      </c>
      <c r="L34" s="1721">
        <f>SUM(L33)</f>
        <v>32854</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22696828</v>
      </c>
    </row>
    <row r="37" spans="1:14" ht="13.5" thickBot="1" x14ac:dyDescent="0.25">
      <c r="A37" s="1736" t="s">
        <v>653</v>
      </c>
      <c r="B37" s="1741"/>
      <c r="C37" s="477"/>
      <c r="D37" s="477"/>
      <c r="E37" s="477"/>
      <c r="F37" s="477"/>
      <c r="G37" s="477"/>
      <c r="H37" s="477"/>
      <c r="I37" s="477"/>
      <c r="J37" s="477"/>
      <c r="K37" s="477"/>
      <c r="L37" s="480"/>
      <c r="M37" s="468"/>
      <c r="N37" s="1688">
        <f>SUM(N36:N36)</f>
        <v>22696828</v>
      </c>
    </row>
    <row r="38" spans="1:14" s="329" customFormat="1" ht="13.5" customHeight="1" thickTop="1" x14ac:dyDescent="0.2">
      <c r="A38" s="496" t="s">
        <v>420</v>
      </c>
      <c r="B38" s="483">
        <v>714</v>
      </c>
      <c r="C38" s="466"/>
      <c r="D38" s="466">
        <v>2439047</v>
      </c>
      <c r="E38" s="466">
        <v>267798</v>
      </c>
      <c r="F38" s="466">
        <v>266399</v>
      </c>
      <c r="G38" s="466">
        <v>257342</v>
      </c>
      <c r="H38" s="466">
        <v>0</v>
      </c>
      <c r="I38" s="466"/>
      <c r="J38" s="467">
        <v>63024</v>
      </c>
      <c r="K38" s="466">
        <v>149668</v>
      </c>
      <c r="L38" s="481"/>
      <c r="M38" s="497"/>
      <c r="N38" s="497"/>
    </row>
    <row r="39" spans="1:14" s="329" customFormat="1" ht="13.5" customHeight="1" x14ac:dyDescent="0.2">
      <c r="A39" s="496" t="s">
        <v>342</v>
      </c>
      <c r="B39" s="483">
        <v>730</v>
      </c>
      <c r="C39" s="466">
        <v>8204283</v>
      </c>
      <c r="D39" s="466"/>
      <c r="E39" s="466"/>
      <c r="F39" s="466"/>
      <c r="G39" s="466"/>
      <c r="H39" s="466"/>
      <c r="I39" s="466">
        <v>56279</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26'!F16</f>
        <v>35971514</v>
      </c>
      <c r="N40" s="497"/>
    </row>
    <row r="41" spans="1:14" ht="13.5" customHeight="1" thickBot="1" x14ac:dyDescent="0.25">
      <c r="A41" s="1736" t="s">
        <v>655</v>
      </c>
      <c r="B41" s="1706"/>
      <c r="C41" s="1688">
        <f>(SUM(C34,C37,C38,C39))</f>
        <v>14695524</v>
      </c>
      <c r="D41" s="1688">
        <f t="shared" ref="D41:L41" si="2">SUM(D34,D37,D38:D39)</f>
        <v>3464399</v>
      </c>
      <c r="E41" s="1688">
        <f t="shared" si="2"/>
        <v>510315</v>
      </c>
      <c r="F41" s="1688">
        <f t="shared" si="2"/>
        <v>335676</v>
      </c>
      <c r="G41" s="1688">
        <f t="shared" si="2"/>
        <v>436846</v>
      </c>
      <c r="H41" s="1688">
        <f t="shared" si="2"/>
        <v>104701</v>
      </c>
      <c r="I41" s="1688">
        <f t="shared" si="2"/>
        <v>58836</v>
      </c>
      <c r="J41" s="1688">
        <f t="shared" si="2"/>
        <v>105470</v>
      </c>
      <c r="K41" s="1688">
        <f t="shared" si="2"/>
        <v>154575</v>
      </c>
      <c r="L41" s="1688">
        <f t="shared" si="2"/>
        <v>32854</v>
      </c>
      <c r="M41" s="1688">
        <f>SUM(M40)</f>
        <v>35971514</v>
      </c>
      <c r="N41" s="1688">
        <f>SUM(N37)</f>
        <v>22696828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63" activePane="bottomLeft" state="frozen"/>
      <selection pane="bottomLeft" activeCell="H80" sqref="H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11524974</v>
      </c>
      <c r="D4" s="1742">
        <f>'Revenues 9-14'!D109</f>
        <v>1202413</v>
      </c>
      <c r="E4" s="1742">
        <f>'Revenues 9-14'!E109</f>
        <v>363162</v>
      </c>
      <c r="F4" s="1742">
        <f>'Revenues 9-14'!F109</f>
        <v>123113</v>
      </c>
      <c r="G4" s="1742">
        <f>'Revenues 9-14'!G109</f>
        <v>285054</v>
      </c>
      <c r="H4" s="1742">
        <f>'Revenues 9-14'!H109</f>
        <v>0</v>
      </c>
      <c r="I4" s="1742">
        <f>'Revenues 9-14'!I109</f>
        <v>5860</v>
      </c>
      <c r="J4" s="1742">
        <f>'Revenues 9-14'!J109</f>
        <v>72975</v>
      </c>
      <c r="K4" s="1742">
        <f>'Revenues 9-14'!K109</f>
        <v>66</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369624</v>
      </c>
      <c r="D6" s="1743">
        <f>'Revenues 9-14'!D170</f>
        <v>0</v>
      </c>
      <c r="E6" s="1743">
        <f>'Revenues 9-14'!E170</f>
        <v>0</v>
      </c>
      <c r="F6" s="1743">
        <f>'Revenues 9-14'!F170</f>
        <v>39343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206476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12101074</v>
      </c>
      <c r="D8" s="1688">
        <f t="shared" ref="D8:K8" si="0">SUM(D4:D7)</f>
        <v>1202413</v>
      </c>
      <c r="E8" s="1688">
        <f t="shared" si="0"/>
        <v>363162</v>
      </c>
      <c r="F8" s="1688">
        <f t="shared" si="0"/>
        <v>162456</v>
      </c>
      <c r="G8" s="1688">
        <f t="shared" si="0"/>
        <v>285054</v>
      </c>
      <c r="H8" s="1688">
        <f t="shared" si="0"/>
        <v>0</v>
      </c>
      <c r="I8" s="1688">
        <f t="shared" si="0"/>
        <v>5860</v>
      </c>
      <c r="J8" s="1688">
        <f t="shared" si="0"/>
        <v>72975</v>
      </c>
      <c r="K8" s="1688">
        <f t="shared" si="0"/>
        <v>66</v>
      </c>
      <c r="L8" s="347"/>
    </row>
    <row r="9" spans="1:13" ht="15.75" thickTop="1" x14ac:dyDescent="0.2">
      <c r="A9" s="514" t="s">
        <v>1653</v>
      </c>
      <c r="B9" s="515">
        <v>3998</v>
      </c>
      <c r="C9" s="481">
        <v>4337249</v>
      </c>
      <c r="D9" s="516"/>
      <c r="E9" s="481"/>
      <c r="F9" s="481"/>
      <c r="G9" s="517"/>
      <c r="H9" s="481"/>
      <c r="I9" s="509" t="s">
        <v>1169</v>
      </c>
      <c r="J9" s="478"/>
      <c r="K9" s="481"/>
      <c r="L9" s="347"/>
    </row>
    <row r="10" spans="1:13" s="519" customFormat="1" ht="13.5" thickBot="1" x14ac:dyDescent="0.25">
      <c r="A10" s="1736" t="s">
        <v>1173</v>
      </c>
      <c r="B10" s="1709"/>
      <c r="C10" s="1688">
        <f>SUM(C8:C9)</f>
        <v>16438323</v>
      </c>
      <c r="D10" s="1688">
        <f t="shared" ref="D10:K10" si="1">SUM(D8:D9)</f>
        <v>1202413</v>
      </c>
      <c r="E10" s="1688">
        <f t="shared" si="1"/>
        <v>363162</v>
      </c>
      <c r="F10" s="1688">
        <f t="shared" si="1"/>
        <v>162456</v>
      </c>
      <c r="G10" s="1688">
        <f t="shared" si="1"/>
        <v>285054</v>
      </c>
      <c r="H10" s="1688">
        <f t="shared" si="1"/>
        <v>0</v>
      </c>
      <c r="I10" s="1688">
        <f t="shared" si="1"/>
        <v>5860</v>
      </c>
      <c r="J10" s="1688">
        <f t="shared" si="1"/>
        <v>72975</v>
      </c>
      <c r="K10" s="1688">
        <f t="shared" si="1"/>
        <v>66</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6936785</v>
      </c>
      <c r="D12" s="520" t="s">
        <v>1169</v>
      </c>
      <c r="E12" s="468" t="s">
        <v>1169</v>
      </c>
      <c r="F12" s="468" t="s">
        <v>1169</v>
      </c>
      <c r="G12" s="1742">
        <f>'Expenditures 15-22'!K229</f>
        <v>172466</v>
      </c>
      <c r="H12" s="521"/>
      <c r="I12" s="468" t="s">
        <v>1169</v>
      </c>
      <c r="J12" s="468" t="s">
        <v>1169</v>
      </c>
      <c r="K12" s="521" t="s">
        <v>1169</v>
      </c>
      <c r="L12" s="347"/>
    </row>
    <row r="13" spans="1:13" ht="15.75" customHeight="1" x14ac:dyDescent="0.2">
      <c r="A13" s="1576" t="s">
        <v>457</v>
      </c>
      <c r="B13" s="1578">
        <v>2000</v>
      </c>
      <c r="C13" s="1743">
        <f>'Expenditures 15-22'!K74</f>
        <v>2854085</v>
      </c>
      <c r="D13" s="1743">
        <f>'Expenditures 15-22'!K129</f>
        <v>1475622</v>
      </c>
      <c r="E13" s="469" t="s">
        <v>1169</v>
      </c>
      <c r="F13" s="1743">
        <f>'Expenditures 15-22'!K184</f>
        <v>204027</v>
      </c>
      <c r="G13" s="1743">
        <f>'Expenditures 15-22'!K279</f>
        <v>115511</v>
      </c>
      <c r="H13" s="1743">
        <f>'Expenditures 15-22'!K303</f>
        <v>0</v>
      </c>
      <c r="I13" s="468" t="s">
        <v>1169</v>
      </c>
      <c r="J13" s="1743">
        <f>'Expenditures 15-22'!K330</f>
        <v>61145</v>
      </c>
      <c r="K13" s="1747">
        <f>'Expenditures 15-22'!K352</f>
        <v>4396</v>
      </c>
      <c r="L13" s="347"/>
    </row>
    <row r="14" spans="1:13" ht="15.75" customHeight="1" x14ac:dyDescent="0.2">
      <c r="A14" s="1576" t="s">
        <v>449</v>
      </c>
      <c r="B14" s="1578">
        <v>3000</v>
      </c>
      <c r="C14" s="1743">
        <f>'Expenditures 15-22'!K75</f>
        <v>9170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755175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1838718</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10555215</v>
      </c>
      <c r="D17" s="1688">
        <f t="shared" si="2"/>
        <v>1475622</v>
      </c>
      <c r="E17" s="1688">
        <f t="shared" si="2"/>
        <v>1838718</v>
      </c>
      <c r="F17" s="1688">
        <f t="shared" si="2"/>
        <v>204027</v>
      </c>
      <c r="G17" s="1688">
        <f t="shared" si="2"/>
        <v>287977</v>
      </c>
      <c r="H17" s="1688">
        <f t="shared" si="2"/>
        <v>0</v>
      </c>
      <c r="I17" s="468"/>
      <c r="J17" s="1688">
        <f>SUM(J12:J16)</f>
        <v>61145</v>
      </c>
      <c r="K17" s="1688">
        <f>SUM(K12:K16)</f>
        <v>4396</v>
      </c>
      <c r="L17" s="347"/>
    </row>
    <row r="18" spans="1:12" ht="15" customHeight="1" thickTop="1" x14ac:dyDescent="0.2">
      <c r="A18" s="1744" t="s">
        <v>1654</v>
      </c>
      <c r="B18" s="1745">
        <v>4180</v>
      </c>
      <c r="C18" s="1742">
        <f t="shared" ref="C18:H18" si="3">C9</f>
        <v>4337249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14892464</v>
      </c>
      <c r="D19" s="1688">
        <f t="shared" si="4"/>
        <v>1475622</v>
      </c>
      <c r="E19" s="1688">
        <f t="shared" si="4"/>
        <v>1838718</v>
      </c>
      <c r="F19" s="1688">
        <f t="shared" si="4"/>
        <v>204027</v>
      </c>
      <c r="G19" s="1688">
        <f t="shared" si="4"/>
        <v>287977</v>
      </c>
      <c r="H19" s="1688">
        <f t="shared" si="4"/>
        <v>0</v>
      </c>
      <c r="I19" s="468"/>
      <c r="J19" s="1688">
        <f>SUM(J17:J18)</f>
        <v>61145</v>
      </c>
      <c r="K19" s="1688">
        <f>SUM(K17:K18)</f>
        <v>4396</v>
      </c>
      <c r="L19" s="347"/>
    </row>
    <row r="20" spans="1:12" ht="16.5" thickTop="1" thickBot="1" x14ac:dyDescent="0.25">
      <c r="A20" s="2126" t="s">
        <v>1655</v>
      </c>
      <c r="B20" s="2127"/>
      <c r="C20" s="1746">
        <f>C8-C17</f>
        <v>1545859</v>
      </c>
      <c r="D20" s="1746">
        <f t="shared" ref="D20:K20" si="5">D8-D17</f>
        <v>-273209</v>
      </c>
      <c r="E20" s="1746">
        <f t="shared" si="5"/>
        <v>-1475556</v>
      </c>
      <c r="F20" s="1746">
        <f t="shared" si="5"/>
        <v>-41571</v>
      </c>
      <c r="G20" s="1746">
        <f t="shared" si="5"/>
        <v>-2923</v>
      </c>
      <c r="H20" s="1746">
        <f t="shared" si="5"/>
        <v>0</v>
      </c>
      <c r="I20" s="1746">
        <f t="shared" si="5"/>
        <v>5860</v>
      </c>
      <c r="J20" s="1746">
        <f t="shared" si="5"/>
        <v>11830</v>
      </c>
      <c r="K20" s="1746">
        <f t="shared" si="5"/>
        <v>-4330</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v>5100000</v>
      </c>
      <c r="F33" s="467"/>
      <c r="G33" s="477"/>
      <c r="H33" s="467"/>
      <c r="I33" s="467"/>
      <c r="J33" s="467"/>
      <c r="K33" s="467"/>
      <c r="L33" s="524"/>
    </row>
    <row r="34" spans="1:12" s="485" customFormat="1" x14ac:dyDescent="0.2">
      <c r="A34" s="1489" t="s">
        <v>1001</v>
      </c>
      <c r="B34" s="525">
        <v>7220</v>
      </c>
      <c r="C34" s="467"/>
      <c r="D34" s="467"/>
      <c r="E34" s="467">
        <v>172805</v>
      </c>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655000</v>
      </c>
      <c r="F37" s="475"/>
      <c r="G37" s="475"/>
      <c r="H37" s="475"/>
      <c r="I37" s="477"/>
      <c r="J37" s="475"/>
      <c r="K37" s="475"/>
      <c r="L37" s="524"/>
    </row>
    <row r="38" spans="1:12" s="485" customFormat="1" x14ac:dyDescent="0.2">
      <c r="A38" s="1489" t="s">
        <v>442</v>
      </c>
      <c r="B38" s="525">
        <v>7500</v>
      </c>
      <c r="C38" s="477"/>
      <c r="D38" s="477"/>
      <c r="E38" s="1743">
        <f>SUM(C58:D61,H58:H61)</f>
        <v>613901</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0</v>
      </c>
      <c r="E44" s="1703">
        <f t="shared" si="6"/>
        <v>6541706</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v>655000</v>
      </c>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v>613901</v>
      </c>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v>5202871</v>
      </c>
      <c r="F75" s="532"/>
      <c r="G75" s="532"/>
      <c r="H75" s="532"/>
      <c r="I75" s="530"/>
      <c r="J75" s="530"/>
      <c r="K75" s="532"/>
      <c r="L75" s="524"/>
    </row>
    <row r="76" spans="1:12" s="485" customFormat="1" ht="14.25" thickTop="1" thickBot="1" x14ac:dyDescent="0.25">
      <c r="A76" s="2116" t="s">
        <v>440</v>
      </c>
      <c r="B76" s="2117"/>
      <c r="C76" s="1703">
        <f t="shared" ref="C76:K76" si="7">SUM(C47:C75)</f>
        <v>1268901</v>
      </c>
      <c r="D76" s="1703">
        <f t="shared" si="7"/>
        <v>0</v>
      </c>
      <c r="E76" s="1703">
        <f t="shared" si="7"/>
        <v>5202871</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8" t="s">
        <v>1177</v>
      </c>
      <c r="B77" s="2119"/>
      <c r="C77" s="1703">
        <f t="shared" ref="C77:K77" si="8">C44-C76</f>
        <v>-1268901</v>
      </c>
      <c r="D77" s="1703">
        <f t="shared" si="8"/>
        <v>0</v>
      </c>
      <c r="E77" s="1703">
        <f t="shared" si="8"/>
        <v>1338835</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2" t="s">
        <v>597</v>
      </c>
      <c r="B78" s="2123"/>
      <c r="C78" s="1702">
        <f t="shared" ref="C78:K78" si="9">C20+C77</f>
        <v>276958</v>
      </c>
      <c r="D78" s="1702">
        <f t="shared" si="9"/>
        <v>-273209</v>
      </c>
      <c r="E78" s="1702">
        <f t="shared" si="9"/>
        <v>-136721</v>
      </c>
      <c r="F78" s="1702">
        <f t="shared" si="9"/>
        <v>-41571</v>
      </c>
      <c r="G78" s="1702">
        <f t="shared" si="9"/>
        <v>-2923</v>
      </c>
      <c r="H78" s="1702">
        <f t="shared" si="9"/>
        <v>0</v>
      </c>
      <c r="I78" s="1702">
        <f t="shared" si="9"/>
        <v>5860</v>
      </c>
      <c r="J78" s="1702">
        <f t="shared" si="9"/>
        <v>11830</v>
      </c>
      <c r="K78" s="1702">
        <f t="shared" si="9"/>
        <v>-4330</v>
      </c>
      <c r="L78" s="533"/>
    </row>
    <row r="79" spans="1:12" ht="13.5" thickTop="1" x14ac:dyDescent="0.2">
      <c r="A79" s="1494" t="s">
        <v>1949</v>
      </c>
      <c r="B79" s="534"/>
      <c r="C79" s="478">
        <v>7927325</v>
      </c>
      <c r="D79" s="535">
        <v>2712256</v>
      </c>
      <c r="E79" s="535">
        <v>404519</v>
      </c>
      <c r="F79" s="535">
        <v>307970</v>
      </c>
      <c r="G79" s="535">
        <v>260265</v>
      </c>
      <c r="H79" s="535">
        <v>0</v>
      </c>
      <c r="I79" s="535">
        <v>50419</v>
      </c>
      <c r="J79" s="535">
        <v>51194</v>
      </c>
      <c r="K79" s="535">
        <v>153998</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1950</v>
      </c>
      <c r="B81" s="2121"/>
      <c r="C81" s="1688">
        <f>(SUM(C78:C80))</f>
        <v>8204283</v>
      </c>
      <c r="D81" s="1688">
        <f>SUM(D78:D80)</f>
        <v>2439047</v>
      </c>
      <c r="E81" s="1688">
        <f t="shared" ref="E81:K81" si="10">SUM(E78:E80)</f>
        <v>267798</v>
      </c>
      <c r="F81" s="1688">
        <f t="shared" si="10"/>
        <v>266399</v>
      </c>
      <c r="G81" s="1688">
        <f t="shared" si="10"/>
        <v>257342</v>
      </c>
      <c r="H81" s="1688">
        <f t="shared" si="10"/>
        <v>0</v>
      </c>
      <c r="I81" s="1688">
        <f t="shared" si="10"/>
        <v>56279</v>
      </c>
      <c r="J81" s="1688">
        <f t="shared" si="10"/>
        <v>63024</v>
      </c>
      <c r="K81" s="1688">
        <f t="shared" si="10"/>
        <v>149668</v>
      </c>
      <c r="L81" s="347"/>
    </row>
    <row r="82" spans="1:12" ht="0.75" customHeight="1" thickTop="1" thickBot="1" x14ac:dyDescent="0.25">
      <c r="A82" s="536" t="s">
        <v>343</v>
      </c>
      <c r="B82" s="537"/>
      <c r="C82" s="538">
        <f>(C81-C79)</f>
        <v>276958</v>
      </c>
      <c r="D82" s="538">
        <f t="shared" ref="D82:K82" si="11">(D81-D79)</f>
        <v>-273209</v>
      </c>
      <c r="E82" s="538">
        <f t="shared" si="11"/>
        <v>-136721</v>
      </c>
      <c r="F82" s="538">
        <f t="shared" si="11"/>
        <v>-41571</v>
      </c>
      <c r="G82" s="538">
        <f t="shared" si="11"/>
        <v>-2923</v>
      </c>
      <c r="H82" s="538">
        <f t="shared" si="11"/>
        <v>0</v>
      </c>
      <c r="I82" s="538">
        <f t="shared" si="11"/>
        <v>5860</v>
      </c>
      <c r="J82" s="538">
        <f t="shared" si="11"/>
        <v>11830</v>
      </c>
      <c r="K82" s="538">
        <f t="shared" si="11"/>
        <v>-4330</v>
      </c>
    </row>
    <row r="83" spans="1:12" ht="14.25" hidden="1" thickTop="1" thickBot="1" x14ac:dyDescent="0.25">
      <c r="A83" s="539" t="s">
        <v>344</v>
      </c>
      <c r="B83" s="464"/>
      <c r="C83" s="540">
        <f>C82/C81</f>
        <v>3.3757733613040894E-2</v>
      </c>
      <c r="D83" s="540">
        <f t="shared" ref="D83:K83" si="12">D82/D81</f>
        <v>-0.11201465162417944</v>
      </c>
      <c r="E83" s="540">
        <f t="shared" si="12"/>
        <v>-0.51053779341145189</v>
      </c>
      <c r="F83" s="540">
        <f t="shared" si="12"/>
        <v>-0.1560478830626241</v>
      </c>
      <c r="G83" s="540">
        <f t="shared" si="12"/>
        <v>-1.1358425752500564E-2</v>
      </c>
      <c r="H83" s="540" t="e">
        <f t="shared" si="12"/>
        <v>#DIV/0!</v>
      </c>
      <c r="I83" s="540">
        <f t="shared" si="12"/>
        <v>0.10412409602160663</v>
      </c>
      <c r="J83" s="540">
        <f t="shared" si="12"/>
        <v>0.18770627062706272</v>
      </c>
      <c r="K83" s="540">
        <f t="shared" si="12"/>
        <v>-2.8930699949220942E-2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27" activePane="bottomLeft" state="frozen"/>
      <selection pane="bottomLeft" activeCell="D95" sqref="D9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10398751</v>
      </c>
      <c r="D5" s="481">
        <v>1079002</v>
      </c>
      <c r="E5" s="466">
        <v>362881</v>
      </c>
      <c r="F5" s="548">
        <v>123083</v>
      </c>
      <c r="G5" s="466">
        <v>142492</v>
      </c>
      <c r="H5" s="466"/>
      <c r="I5" s="466">
        <v>5859</v>
      </c>
      <c r="J5" s="467">
        <v>72956</v>
      </c>
      <c r="K5" s="466">
        <v>66</v>
      </c>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v>142483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10398751</v>
      </c>
      <c r="D12" s="1707">
        <f t="shared" si="0"/>
        <v>1079002</v>
      </c>
      <c r="E12" s="1707">
        <f t="shared" si="0"/>
        <v>362881</v>
      </c>
      <c r="F12" s="1707">
        <f t="shared" si="0"/>
        <v>123083</v>
      </c>
      <c r="G12" s="1707">
        <f t="shared" si="0"/>
        <v>284975</v>
      </c>
      <c r="H12" s="1707">
        <f t="shared" si="0"/>
        <v>0</v>
      </c>
      <c r="I12" s="1707">
        <f t="shared" si="0"/>
        <v>5859</v>
      </c>
      <c r="J12" s="1707">
        <f t="shared" si="0"/>
        <v>72956</v>
      </c>
      <c r="K12" s="1688">
        <f t="shared" si="0"/>
        <v>66</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97239</v>
      </c>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97239</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301835</v>
      </c>
      <c r="D65" s="466">
        <v>272</v>
      </c>
      <c r="E65" s="466">
        <v>281</v>
      </c>
      <c r="F65" s="467">
        <v>30</v>
      </c>
      <c r="G65" s="466">
        <v>79</v>
      </c>
      <c r="H65" s="466"/>
      <c r="I65" s="466">
        <v>1</v>
      </c>
      <c r="J65" s="467">
        <v>19</v>
      </c>
      <c r="K65" s="466">
        <v>0</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301835</v>
      </c>
      <c r="D67" s="1688">
        <f t="shared" ref="D67:K67" si="2">SUM(D65:D66)</f>
        <v>272</v>
      </c>
      <c r="E67" s="1688">
        <f t="shared" si="2"/>
        <v>281</v>
      </c>
      <c r="F67" s="1688">
        <f t="shared" si="2"/>
        <v>30</v>
      </c>
      <c r="G67" s="1688">
        <f t="shared" si="2"/>
        <v>79</v>
      </c>
      <c r="H67" s="1688">
        <f t="shared" si="2"/>
        <v>0</v>
      </c>
      <c r="I67" s="1688">
        <f t="shared" si="2"/>
        <v>1</v>
      </c>
      <c r="J67" s="1688">
        <f t="shared" si="2"/>
        <v>19</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232698</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232698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8616</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8616</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900</v>
      </c>
      <c r="E95" s="521"/>
      <c r="F95" s="521"/>
      <c r="G95" s="521"/>
      <c r="H95" s="521"/>
      <c r="I95" s="521"/>
      <c r="J95" s="521"/>
      <c r="K95" s="521"/>
    </row>
    <row r="96" spans="1:11" ht="12.75" customHeight="1" x14ac:dyDescent="0.2">
      <c r="A96" s="463" t="s">
        <v>391</v>
      </c>
      <c r="B96" s="470">
        <v>1920</v>
      </c>
      <c r="C96" s="551">
        <v>440454</v>
      </c>
      <c r="D96" s="551">
        <v>25000</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33990</v>
      </c>
      <c r="D106" s="489"/>
      <c r="E106" s="467"/>
      <c r="F106" s="467"/>
      <c r="G106" s="467"/>
      <c r="H106" s="467"/>
      <c r="I106" s="521"/>
      <c r="J106" s="467"/>
      <c r="K106" s="467"/>
    </row>
    <row r="107" spans="1:12" ht="12.75" customHeight="1" x14ac:dyDescent="0.2">
      <c r="A107" s="463" t="s">
        <v>78</v>
      </c>
      <c r="B107" s="470">
        <v>1999</v>
      </c>
      <c r="C107" s="551">
        <v>108630</v>
      </c>
      <c r="D107" s="466"/>
      <c r="E107" s="466"/>
      <c r="F107" s="466"/>
      <c r="G107" s="466"/>
      <c r="H107" s="466"/>
      <c r="I107" s="466"/>
      <c r="J107" s="467"/>
      <c r="K107" s="466"/>
    </row>
    <row r="108" spans="1:12" ht="12.75" customHeight="1" thickBot="1" x14ac:dyDescent="0.25">
      <c r="A108" s="1708" t="s">
        <v>487</v>
      </c>
      <c r="B108" s="1712"/>
      <c r="C108" s="1707">
        <f>SUM(C95:C107)</f>
        <v>583074</v>
      </c>
      <c r="D108" s="1707">
        <f t="shared" ref="D108:K108" si="3">SUM(D95:D107)</f>
        <v>25900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11524974</v>
      </c>
      <c r="D109" s="1715">
        <f t="shared" si="4"/>
        <v>1202413</v>
      </c>
      <c r="E109" s="1715">
        <f t="shared" si="4"/>
        <v>363162</v>
      </c>
      <c r="F109" s="1715">
        <f t="shared" si="4"/>
        <v>123113</v>
      </c>
      <c r="G109" s="1715">
        <f t="shared" si="4"/>
        <v>285054</v>
      </c>
      <c r="H109" s="1715">
        <f t="shared" si="4"/>
        <v>0</v>
      </c>
      <c r="I109" s="1715">
        <f t="shared" si="4"/>
        <v>5860</v>
      </c>
      <c r="J109" s="1715">
        <f t="shared" si="4"/>
        <v>72975</v>
      </c>
      <c r="K109" s="1702">
        <f t="shared" si="4"/>
        <v>66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368864</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368864</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v>39343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39343</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760</v>
      </c>
      <c r="D169" s="1722">
        <f t="shared" si="6"/>
        <v>0</v>
      </c>
      <c r="E169" s="1722">
        <f t="shared" si="6"/>
        <v>0</v>
      </c>
      <c r="F169" s="1722">
        <f t="shared" si="6"/>
        <v>39343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369624</v>
      </c>
      <c r="D170" s="1715">
        <f t="shared" si="7"/>
        <v>0</v>
      </c>
      <c r="E170" s="1715">
        <f t="shared" si="7"/>
        <v>0</v>
      </c>
      <c r="F170" s="1715">
        <f t="shared" si="7"/>
        <v>39343</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v>3895</v>
      </c>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3895</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82119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82119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771</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771</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1053</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113025</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114078</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5613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1937</v>
      </c>
      <c r="B261" s="470">
        <v>4981</v>
      </c>
      <c r="C261" s="575"/>
      <c r="D261" s="576"/>
      <c r="E261" s="468"/>
      <c r="F261" s="576"/>
      <c r="G261" s="576"/>
      <c r="H261" s="468"/>
      <c r="I261" s="468"/>
      <c r="J261" s="468"/>
      <c r="K261" s="468"/>
    </row>
    <row r="262" spans="1:11" ht="12.75" customHeight="1" thickTop="1" thickBot="1" x14ac:dyDescent="0.25">
      <c r="A262" s="1932"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206476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206476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12101074</v>
      </c>
      <c r="D268" s="1715">
        <f t="shared" si="12"/>
        <v>1202413</v>
      </c>
      <c r="E268" s="1715">
        <f t="shared" si="12"/>
        <v>363162</v>
      </c>
      <c r="F268" s="1715">
        <f t="shared" si="12"/>
        <v>162456</v>
      </c>
      <c r="G268" s="1715">
        <f t="shared" si="12"/>
        <v>285054</v>
      </c>
      <c r="H268" s="1715">
        <f t="shared" si="12"/>
        <v>0</v>
      </c>
      <c r="I268" s="1715">
        <f t="shared" si="12"/>
        <v>5860</v>
      </c>
      <c r="J268" s="1715">
        <f t="shared" si="12"/>
        <v>72975</v>
      </c>
      <c r="K268" s="1702">
        <f t="shared" si="12"/>
        <v>66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151" activePane="bottomLeft" state="frozen"/>
      <selection pane="bottomLeft" activeCell="H170" sqref="H17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4142678</v>
      </c>
      <c r="D5" s="466">
        <v>671055</v>
      </c>
      <c r="E5" s="466">
        <v>109805</v>
      </c>
      <c r="F5" s="466">
        <v>230105</v>
      </c>
      <c r="G5" s="466"/>
      <c r="H5" s="466"/>
      <c r="I5" s="467"/>
      <c r="J5" s="467"/>
      <c r="K5" s="1671">
        <f>SUM(C5:J5)</f>
        <v>5153643</v>
      </c>
      <c r="L5" s="466">
        <v>5458252</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1140480</v>
      </c>
      <c r="D8" s="466">
        <v>293038</v>
      </c>
      <c r="E8" s="466">
        <v>6226</v>
      </c>
      <c r="F8" s="466">
        <v>13587</v>
      </c>
      <c r="G8" s="466"/>
      <c r="H8" s="466"/>
      <c r="I8" s="467"/>
      <c r="J8" s="467"/>
      <c r="K8" s="1671">
        <f t="shared" si="0"/>
        <v>1453331</v>
      </c>
      <c r="L8" s="466">
        <v>1480233</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v>165603</v>
      </c>
      <c r="D16" s="466">
        <v>44389</v>
      </c>
      <c r="E16" s="466"/>
      <c r="F16" s="466">
        <v>1749</v>
      </c>
      <c r="G16" s="466"/>
      <c r="H16" s="466"/>
      <c r="I16" s="467"/>
      <c r="J16" s="467"/>
      <c r="K16" s="1671">
        <f t="shared" si="0"/>
        <v>211741</v>
      </c>
      <c r="L16" s="466">
        <v>212291</v>
      </c>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v>90508</v>
      </c>
      <c r="D18" s="466">
        <v>27209</v>
      </c>
      <c r="E18" s="466"/>
      <c r="F18" s="466">
        <v>353</v>
      </c>
      <c r="G18" s="466"/>
      <c r="H18" s="466"/>
      <c r="I18" s="467"/>
      <c r="J18" s="467"/>
      <c r="K18" s="1671">
        <f t="shared" si="0"/>
        <v>118070</v>
      </c>
      <c r="L18" s="466">
        <v>119039</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5539269</v>
      </c>
      <c r="D33" s="1670">
        <f t="shared" ref="D33:L33" si="1">SUM(D5:D32)</f>
        <v>1035691</v>
      </c>
      <c r="E33" s="1670">
        <f t="shared" si="1"/>
        <v>116031</v>
      </c>
      <c r="F33" s="1670">
        <f t="shared" si="1"/>
        <v>245794</v>
      </c>
      <c r="G33" s="1670">
        <f t="shared" si="1"/>
        <v>0</v>
      </c>
      <c r="H33" s="1670">
        <f t="shared" si="1"/>
        <v>0</v>
      </c>
      <c r="I33" s="1670">
        <f t="shared" si="1"/>
        <v>0</v>
      </c>
      <c r="J33" s="1670">
        <f t="shared" si="1"/>
        <v>0</v>
      </c>
      <c r="K33" s="1670">
        <f t="shared" si="1"/>
        <v>6936785</v>
      </c>
      <c r="L33" s="1670">
        <f t="shared" si="1"/>
        <v>7269815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70511</v>
      </c>
      <c r="D37" s="466">
        <v>11795</v>
      </c>
      <c r="E37" s="466"/>
      <c r="F37" s="466"/>
      <c r="G37" s="466"/>
      <c r="H37" s="466"/>
      <c r="I37" s="467"/>
      <c r="J37" s="467"/>
      <c r="K37" s="1671">
        <f t="shared" si="2"/>
        <v>82306</v>
      </c>
      <c r="L37" s="466">
        <v>87572</v>
      </c>
    </row>
    <row r="38" spans="1:14" x14ac:dyDescent="0.2">
      <c r="A38" s="1504" t="s">
        <v>198</v>
      </c>
      <c r="B38" s="614">
        <v>2130</v>
      </c>
      <c r="C38" s="466">
        <v>120680</v>
      </c>
      <c r="D38" s="466">
        <v>24085</v>
      </c>
      <c r="E38" s="466">
        <v>1442</v>
      </c>
      <c r="F38" s="466">
        <v>5271</v>
      </c>
      <c r="G38" s="466">
        <v>4146</v>
      </c>
      <c r="H38" s="466"/>
      <c r="I38" s="467">
        <v>1074</v>
      </c>
      <c r="J38" s="467"/>
      <c r="K38" s="1671">
        <f t="shared" si="2"/>
        <v>156698</v>
      </c>
      <c r="L38" s="466">
        <v>152173</v>
      </c>
    </row>
    <row r="39" spans="1:14" x14ac:dyDescent="0.2">
      <c r="A39" s="1504" t="s">
        <v>199</v>
      </c>
      <c r="B39" s="614">
        <v>2140</v>
      </c>
      <c r="C39" s="466">
        <v>97966</v>
      </c>
      <c r="D39" s="466">
        <v>22747</v>
      </c>
      <c r="E39" s="466"/>
      <c r="F39" s="466"/>
      <c r="G39" s="466"/>
      <c r="H39" s="466"/>
      <c r="I39" s="467"/>
      <c r="J39" s="467"/>
      <c r="K39" s="1671">
        <f t="shared" si="2"/>
        <v>120713</v>
      </c>
      <c r="L39" s="466">
        <v>123038</v>
      </c>
    </row>
    <row r="40" spans="1:14" x14ac:dyDescent="0.2">
      <c r="A40" s="1504" t="s">
        <v>200</v>
      </c>
      <c r="B40" s="614">
        <v>2150</v>
      </c>
      <c r="C40" s="466">
        <v>149948</v>
      </c>
      <c r="D40" s="466">
        <v>28853</v>
      </c>
      <c r="E40" s="466"/>
      <c r="F40" s="466">
        <v>497</v>
      </c>
      <c r="G40" s="466"/>
      <c r="H40" s="466"/>
      <c r="I40" s="467"/>
      <c r="J40" s="467"/>
      <c r="K40" s="1671">
        <f t="shared" si="2"/>
        <v>179298</v>
      </c>
      <c r="L40" s="466">
        <v>185648</v>
      </c>
    </row>
    <row r="41" spans="1:14" x14ac:dyDescent="0.2">
      <c r="A41" s="1504" t="s">
        <v>1669</v>
      </c>
      <c r="B41" s="614">
        <v>2190</v>
      </c>
      <c r="C41" s="466"/>
      <c r="D41" s="466"/>
      <c r="E41" s="466">
        <v>11600</v>
      </c>
      <c r="F41" s="466"/>
      <c r="G41" s="466"/>
      <c r="H41" s="466"/>
      <c r="I41" s="467"/>
      <c r="J41" s="467"/>
      <c r="K41" s="1671">
        <f t="shared" si="2"/>
        <v>11600</v>
      </c>
      <c r="L41" s="466">
        <v>12000</v>
      </c>
    </row>
    <row r="42" spans="1:14" ht="12.75" customHeight="1" thickBot="1" x14ac:dyDescent="0.25">
      <c r="A42" s="1668" t="s">
        <v>560</v>
      </c>
      <c r="B42" s="1669" t="s">
        <v>716</v>
      </c>
      <c r="C42" s="1670">
        <f>SUM(C36:C41)</f>
        <v>439105</v>
      </c>
      <c r="D42" s="1670">
        <f t="shared" ref="D42:L42" si="3">SUM(D36:D41)</f>
        <v>87480</v>
      </c>
      <c r="E42" s="1670">
        <f t="shared" si="3"/>
        <v>13042</v>
      </c>
      <c r="F42" s="1670">
        <f t="shared" si="3"/>
        <v>5768</v>
      </c>
      <c r="G42" s="1670">
        <f t="shared" si="3"/>
        <v>4146</v>
      </c>
      <c r="H42" s="1670">
        <f t="shared" si="3"/>
        <v>0</v>
      </c>
      <c r="I42" s="1670">
        <f t="shared" si="3"/>
        <v>1074</v>
      </c>
      <c r="J42" s="1670">
        <f t="shared" si="3"/>
        <v>0</v>
      </c>
      <c r="K42" s="1670">
        <f t="shared" si="3"/>
        <v>550615</v>
      </c>
      <c r="L42" s="1670">
        <f t="shared" si="3"/>
        <v>560431</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49595</v>
      </c>
      <c r="F44" s="481">
        <v>1206</v>
      </c>
      <c r="G44" s="481"/>
      <c r="H44" s="481"/>
      <c r="I44" s="467"/>
      <c r="J44" s="467"/>
      <c r="K44" s="1672">
        <f>SUM(C44:J44)</f>
        <v>50801</v>
      </c>
      <c r="L44" s="481">
        <v>83008</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v>11105</v>
      </c>
      <c r="G46" s="466"/>
      <c r="H46" s="466"/>
      <c r="I46" s="467"/>
      <c r="J46" s="467"/>
      <c r="K46" s="1672">
        <f>SUM(C46:J46)</f>
        <v>11105</v>
      </c>
      <c r="L46" s="466">
        <v>12000</v>
      </c>
    </row>
    <row r="47" spans="1:14" ht="12.75" customHeight="1" thickBot="1" x14ac:dyDescent="0.25">
      <c r="A47" s="1668" t="s">
        <v>561</v>
      </c>
      <c r="B47" s="1669" t="s">
        <v>32</v>
      </c>
      <c r="C47" s="1670">
        <f>SUM(C44:C46)</f>
        <v>0</v>
      </c>
      <c r="D47" s="1670">
        <f t="shared" ref="D47:K47" si="4">SUM(D44:D46)</f>
        <v>0</v>
      </c>
      <c r="E47" s="1670">
        <f t="shared" si="4"/>
        <v>49595</v>
      </c>
      <c r="F47" s="1670">
        <f t="shared" si="4"/>
        <v>12311</v>
      </c>
      <c r="G47" s="1670">
        <f t="shared" si="4"/>
        <v>0</v>
      </c>
      <c r="H47" s="1670">
        <f t="shared" si="4"/>
        <v>0</v>
      </c>
      <c r="I47" s="1670">
        <f t="shared" si="4"/>
        <v>0</v>
      </c>
      <c r="J47" s="1670">
        <f t="shared" si="4"/>
        <v>0</v>
      </c>
      <c r="K47" s="1670">
        <f t="shared" si="4"/>
        <v>61906</v>
      </c>
      <c r="L47" s="1670">
        <f>SUM(L44:L46)</f>
        <v>95008</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126525</v>
      </c>
      <c r="F49" s="481"/>
      <c r="G49" s="481">
        <v>28141</v>
      </c>
      <c r="H49" s="481"/>
      <c r="I49" s="467"/>
      <c r="J49" s="467"/>
      <c r="K49" s="1672">
        <f>SUM(C49:J49)</f>
        <v>154666</v>
      </c>
      <c r="L49" s="481">
        <v>226719</v>
      </c>
    </row>
    <row r="50" spans="1:14" x14ac:dyDescent="0.2">
      <c r="A50" s="1504" t="s">
        <v>818</v>
      </c>
      <c r="B50" s="614">
        <v>2320</v>
      </c>
      <c r="C50" s="466">
        <v>275984</v>
      </c>
      <c r="D50" s="466">
        <v>52233</v>
      </c>
      <c r="E50" s="466">
        <v>6462</v>
      </c>
      <c r="F50" s="466">
        <v>1751</v>
      </c>
      <c r="G50" s="466"/>
      <c r="H50" s="466">
        <v>5905</v>
      </c>
      <c r="I50" s="467"/>
      <c r="J50" s="467"/>
      <c r="K50" s="1672">
        <f>SUM(C50:J50)</f>
        <v>342335</v>
      </c>
      <c r="L50" s="466">
        <v>365032</v>
      </c>
    </row>
    <row r="51" spans="1:14" x14ac:dyDescent="0.2">
      <c r="A51" s="1504" t="s">
        <v>42</v>
      </c>
      <c r="B51" s="614">
        <v>2330</v>
      </c>
      <c r="C51" s="466">
        <v>126507</v>
      </c>
      <c r="D51" s="466">
        <v>14370</v>
      </c>
      <c r="E51" s="466"/>
      <c r="F51" s="466"/>
      <c r="G51" s="466"/>
      <c r="H51" s="466"/>
      <c r="I51" s="467"/>
      <c r="J51" s="467"/>
      <c r="K51" s="1672">
        <f>SUM(C51:J51)</f>
        <v>140877</v>
      </c>
      <c r="L51" s="466">
        <v>140879</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402491</v>
      </c>
      <c r="D53" s="1670">
        <f t="shared" ref="D53:L53" si="5">SUM(D49:D52)</f>
        <v>66603</v>
      </c>
      <c r="E53" s="1670">
        <f t="shared" si="5"/>
        <v>132987</v>
      </c>
      <c r="F53" s="1670">
        <f t="shared" si="5"/>
        <v>1751</v>
      </c>
      <c r="G53" s="1670">
        <f t="shared" si="5"/>
        <v>28141</v>
      </c>
      <c r="H53" s="1670">
        <f t="shared" si="5"/>
        <v>5905</v>
      </c>
      <c r="I53" s="1670">
        <f t="shared" si="5"/>
        <v>0</v>
      </c>
      <c r="J53" s="1670">
        <f t="shared" si="5"/>
        <v>0</v>
      </c>
      <c r="K53" s="1670">
        <f t="shared" si="5"/>
        <v>637878</v>
      </c>
      <c r="L53" s="1670">
        <f t="shared" si="5"/>
        <v>732630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424501</v>
      </c>
      <c r="D55" s="481">
        <v>102105</v>
      </c>
      <c r="E55" s="481">
        <v>200</v>
      </c>
      <c r="F55" s="481">
        <v>209</v>
      </c>
      <c r="G55" s="481"/>
      <c r="H55" s="481">
        <v>89</v>
      </c>
      <c r="I55" s="467"/>
      <c r="J55" s="467"/>
      <c r="K55" s="1672">
        <f>SUM(C55:J55)</f>
        <v>527104</v>
      </c>
      <c r="L55" s="481">
        <v>529813</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424501</v>
      </c>
      <c r="D57" s="1674">
        <f t="shared" ref="D57:K57" si="6">SUM(D55:D56)</f>
        <v>102105</v>
      </c>
      <c r="E57" s="1674">
        <f t="shared" si="6"/>
        <v>200</v>
      </c>
      <c r="F57" s="1674">
        <f t="shared" si="6"/>
        <v>209</v>
      </c>
      <c r="G57" s="1674">
        <f t="shared" si="6"/>
        <v>0</v>
      </c>
      <c r="H57" s="1674">
        <f t="shared" si="6"/>
        <v>89</v>
      </c>
      <c r="I57" s="1674">
        <f t="shared" si="6"/>
        <v>0</v>
      </c>
      <c r="J57" s="1674">
        <f t="shared" si="6"/>
        <v>0</v>
      </c>
      <c r="K57" s="1674">
        <f t="shared" si="6"/>
        <v>527104</v>
      </c>
      <c r="L57" s="1670">
        <f>SUM(L55:L56)</f>
        <v>529813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174701</v>
      </c>
      <c r="D59" s="481">
        <v>36648</v>
      </c>
      <c r="E59" s="481"/>
      <c r="F59" s="481"/>
      <c r="G59" s="481"/>
      <c r="H59" s="481"/>
      <c r="I59" s="467"/>
      <c r="J59" s="467"/>
      <c r="K59" s="1672">
        <f t="shared" ref="K59:K64" si="7">SUM(C59:J59)</f>
        <v>211349</v>
      </c>
      <c r="L59" s="481">
        <v>211352</v>
      </c>
      <c r="M59" s="609"/>
      <c r="N59" s="609"/>
    </row>
    <row r="60" spans="1:14" s="343" customFormat="1" x14ac:dyDescent="0.2">
      <c r="A60" s="1504" t="s">
        <v>463</v>
      </c>
      <c r="B60" s="614">
        <v>2520</v>
      </c>
      <c r="C60" s="466">
        <v>158025</v>
      </c>
      <c r="D60" s="466">
        <v>13548</v>
      </c>
      <c r="E60" s="466">
        <v>36961</v>
      </c>
      <c r="F60" s="466">
        <v>43665</v>
      </c>
      <c r="G60" s="466"/>
      <c r="H60" s="466"/>
      <c r="I60" s="467"/>
      <c r="J60" s="467"/>
      <c r="K60" s="1672">
        <f t="shared" si="7"/>
        <v>252199</v>
      </c>
      <c r="L60" s="466">
        <v>254274</v>
      </c>
      <c r="M60" s="609"/>
      <c r="N60" s="609"/>
    </row>
    <row r="61" spans="1:14" s="343" customFormat="1" x14ac:dyDescent="0.2">
      <c r="A61" s="1504" t="s">
        <v>197</v>
      </c>
      <c r="B61" s="614">
        <v>2540</v>
      </c>
      <c r="C61" s="466"/>
      <c r="D61" s="466"/>
      <c r="E61" s="466">
        <v>3000</v>
      </c>
      <c r="F61" s="466"/>
      <c r="G61" s="466"/>
      <c r="H61" s="466"/>
      <c r="I61" s="467"/>
      <c r="J61" s="467"/>
      <c r="K61" s="1672">
        <f t="shared" si="7"/>
        <v>3000</v>
      </c>
      <c r="L61" s="466">
        <v>3000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v>215799</v>
      </c>
      <c r="F63" s="466"/>
      <c r="G63" s="466"/>
      <c r="H63" s="466"/>
      <c r="I63" s="467">
        <v>1934</v>
      </c>
      <c r="J63" s="467"/>
      <c r="K63" s="1672">
        <f t="shared" si="7"/>
        <v>217733</v>
      </c>
      <c r="L63" s="466">
        <v>209800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332726</v>
      </c>
      <c r="D65" s="1670">
        <f t="shared" ref="D65:L65" si="8">SUM(D59:D64)</f>
        <v>50196</v>
      </c>
      <c r="E65" s="1670">
        <f t="shared" si="8"/>
        <v>255760</v>
      </c>
      <c r="F65" s="1670">
        <f t="shared" si="8"/>
        <v>43665</v>
      </c>
      <c r="G65" s="1670">
        <f t="shared" si="8"/>
        <v>0</v>
      </c>
      <c r="H65" s="1670">
        <f t="shared" si="8"/>
        <v>0</v>
      </c>
      <c r="I65" s="1670">
        <f t="shared" si="8"/>
        <v>1934</v>
      </c>
      <c r="J65" s="1670">
        <f t="shared" si="8"/>
        <v>0</v>
      </c>
      <c r="K65" s="1670">
        <f t="shared" si="8"/>
        <v>684281</v>
      </c>
      <c r="L65" s="1670">
        <f t="shared" si="8"/>
        <v>678426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v>4676</v>
      </c>
      <c r="F69" s="466"/>
      <c r="G69" s="466"/>
      <c r="H69" s="466"/>
      <c r="I69" s="467"/>
      <c r="J69" s="467"/>
      <c r="K69" s="1672">
        <f>SUM(C69:J69)</f>
        <v>4676</v>
      </c>
      <c r="L69" s="466">
        <v>7500</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v>129472</v>
      </c>
      <c r="G71" s="466"/>
      <c r="H71" s="466"/>
      <c r="I71" s="467">
        <v>258153</v>
      </c>
      <c r="J71" s="467"/>
      <c r="K71" s="1672">
        <f>SUM(C71:J71)</f>
        <v>387625</v>
      </c>
      <c r="L71" s="466">
        <v>388000</v>
      </c>
      <c r="M71" s="609"/>
      <c r="N71" s="609"/>
    </row>
    <row r="72" spans="1:14" s="343" customFormat="1" ht="12.75" customHeight="1" thickBot="1" x14ac:dyDescent="0.25">
      <c r="A72" s="1668" t="s">
        <v>37</v>
      </c>
      <c r="B72" s="1675" t="s">
        <v>36</v>
      </c>
      <c r="C72" s="1670">
        <f>SUM(C67:C71)</f>
        <v>0</v>
      </c>
      <c r="D72" s="1670">
        <f t="shared" ref="D72:K72" si="9">SUM(D67:D71)</f>
        <v>0</v>
      </c>
      <c r="E72" s="1670">
        <f t="shared" si="9"/>
        <v>4676</v>
      </c>
      <c r="F72" s="1670">
        <f t="shared" si="9"/>
        <v>129472</v>
      </c>
      <c r="G72" s="1670">
        <f t="shared" si="9"/>
        <v>0</v>
      </c>
      <c r="H72" s="1670">
        <f t="shared" si="9"/>
        <v>0</v>
      </c>
      <c r="I72" s="1670">
        <f t="shared" si="9"/>
        <v>258153</v>
      </c>
      <c r="J72" s="1670">
        <f t="shared" si="9"/>
        <v>0</v>
      </c>
      <c r="K72" s="1670">
        <f t="shared" si="9"/>
        <v>392301</v>
      </c>
      <c r="L72" s="1670">
        <f>SUM(L67:L71)</f>
        <v>395500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1598823</v>
      </c>
      <c r="D74" s="1677">
        <f t="shared" ref="D74:K74" si="10">SUM(D42,D47,D53,D57,D65,D72,D73)</f>
        <v>306384</v>
      </c>
      <c r="E74" s="1677">
        <f t="shared" si="10"/>
        <v>456260</v>
      </c>
      <c r="F74" s="1677">
        <f t="shared" si="10"/>
        <v>193176</v>
      </c>
      <c r="G74" s="1677">
        <f t="shared" si="10"/>
        <v>32287</v>
      </c>
      <c r="H74" s="1677">
        <f t="shared" si="10"/>
        <v>5994</v>
      </c>
      <c r="I74" s="1677">
        <f t="shared" si="10"/>
        <v>261161</v>
      </c>
      <c r="J74" s="1677">
        <f t="shared" si="10"/>
        <v>0</v>
      </c>
      <c r="K74" s="1677">
        <f t="shared" si="10"/>
        <v>2854085</v>
      </c>
      <c r="L74" s="1677">
        <f>SUM(L42,L47,L53,L57,L65,L72,L73)</f>
        <v>2991808</v>
      </c>
    </row>
    <row r="75" spans="1:14" s="259" customFormat="1" ht="15.75" customHeight="1" thickTop="1" thickBot="1" x14ac:dyDescent="0.25">
      <c r="A75" s="1610" t="s">
        <v>47</v>
      </c>
      <c r="B75" s="1611" t="s">
        <v>575</v>
      </c>
      <c r="C75" s="573">
        <v>6651</v>
      </c>
      <c r="D75" s="573">
        <v>714</v>
      </c>
      <c r="E75" s="573">
        <v>1805</v>
      </c>
      <c r="F75" s="573"/>
      <c r="G75" s="573"/>
      <c r="H75" s="573"/>
      <c r="I75" s="531"/>
      <c r="J75" s="531"/>
      <c r="K75" s="1670">
        <f>SUM(C75:J75)</f>
        <v>9170</v>
      </c>
      <c r="L75" s="576">
        <v>5413</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v>6289</v>
      </c>
      <c r="I78" s="477"/>
      <c r="J78" s="477"/>
      <c r="K78" s="1671">
        <f t="shared" ref="K78:K83" si="11">SUM(C78:J78)</f>
        <v>6289</v>
      </c>
      <c r="L78" s="481">
        <v>7500</v>
      </c>
    </row>
    <row r="79" spans="1:14" x14ac:dyDescent="0.2">
      <c r="A79" s="1504" t="s">
        <v>304</v>
      </c>
      <c r="B79" s="614">
        <v>4120</v>
      </c>
      <c r="C79" s="616"/>
      <c r="D79" s="616"/>
      <c r="E79" s="466">
        <v>118198</v>
      </c>
      <c r="F79" s="616"/>
      <c r="G79" s="616"/>
      <c r="H79" s="466">
        <v>630688</v>
      </c>
      <c r="I79" s="477"/>
      <c r="J79" s="477"/>
      <c r="K79" s="1671">
        <f t="shared" si="11"/>
        <v>748886</v>
      </c>
      <c r="L79" s="466">
        <v>882084</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118198</v>
      </c>
      <c r="F84" s="616"/>
      <c r="G84" s="616"/>
      <c r="H84" s="1670">
        <f>SUM(H78:H83)</f>
        <v>636977</v>
      </c>
      <c r="I84" s="477"/>
      <c r="J84" s="477"/>
      <c r="K84" s="1670">
        <f>SUM(K78:K83)</f>
        <v>755175</v>
      </c>
      <c r="L84" s="1670">
        <f>SUM(L78:L83)</f>
        <v>889584</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118198</v>
      </c>
      <c r="F102" s="616"/>
      <c r="G102" s="616"/>
      <c r="H102" s="1677">
        <f>SUM(H84,H92,H100,H101)</f>
        <v>636977</v>
      </c>
      <c r="I102" s="477"/>
      <c r="J102" s="477"/>
      <c r="K102" s="1677">
        <f>SUM(K84,K92,K100,K101)</f>
        <v>755175</v>
      </c>
      <c r="L102" s="1677">
        <f>SUM(L84,L92,L100,L101)</f>
        <v>889584</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7144743</v>
      </c>
      <c r="D114" s="1670">
        <f t="shared" ref="D114:K114" si="13">SUM(D33,D74,D75,D102,D112,D113)</f>
        <v>1342789</v>
      </c>
      <c r="E114" s="1670">
        <f t="shared" si="13"/>
        <v>692294</v>
      </c>
      <c r="F114" s="1670">
        <f t="shared" si="13"/>
        <v>438970</v>
      </c>
      <c r="G114" s="1670">
        <f t="shared" si="13"/>
        <v>32287</v>
      </c>
      <c r="H114" s="1670">
        <f>SUM(H33,H74,H75,H102,H112,H113)</f>
        <v>642971</v>
      </c>
      <c r="I114" s="1670">
        <f t="shared" si="13"/>
        <v>261161</v>
      </c>
      <c r="J114" s="1670">
        <f t="shared" si="13"/>
        <v>0</v>
      </c>
      <c r="K114" s="1670">
        <f t="shared" si="13"/>
        <v>10555215</v>
      </c>
      <c r="L114" s="1670">
        <f>SUM(L33,L74,L75,L102,L112,L113)</f>
        <v>11156620</v>
      </c>
    </row>
    <row r="115" spans="1:14" ht="13.5" thickTop="1" x14ac:dyDescent="0.2">
      <c r="A115" s="2181" t="s">
        <v>996</v>
      </c>
      <c r="B115" s="2182"/>
      <c r="C115" s="618"/>
      <c r="D115" s="618"/>
      <c r="E115" s="618"/>
      <c r="F115" s="618"/>
      <c r="G115" s="618"/>
      <c r="H115" s="618"/>
      <c r="I115" s="618"/>
      <c r="J115" s="618"/>
      <c r="K115" s="1684">
        <f>'Revenues 9-14'!C268-'Expenditures 15-22'!K114</f>
        <v>1545859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221970</v>
      </c>
      <c r="D124" s="466">
        <v>48975</v>
      </c>
      <c r="E124" s="466">
        <v>622364</v>
      </c>
      <c r="F124" s="466">
        <v>20987</v>
      </c>
      <c r="G124" s="466">
        <v>548000</v>
      </c>
      <c r="H124" s="466"/>
      <c r="I124" s="467">
        <v>13326</v>
      </c>
      <c r="J124" s="467"/>
      <c r="K124" s="1670">
        <f>SUM(C124:J124)</f>
        <v>1475622</v>
      </c>
      <c r="L124" s="466">
        <v>1238168</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221970</v>
      </c>
      <c r="D127" s="1670">
        <f t="shared" ref="D127:L127" si="14">SUM(D122:D126)</f>
        <v>48975</v>
      </c>
      <c r="E127" s="1670">
        <f t="shared" si="14"/>
        <v>622364</v>
      </c>
      <c r="F127" s="1670">
        <f t="shared" si="14"/>
        <v>20987</v>
      </c>
      <c r="G127" s="1670">
        <f t="shared" si="14"/>
        <v>548000</v>
      </c>
      <c r="H127" s="1670">
        <f t="shared" si="14"/>
        <v>0</v>
      </c>
      <c r="I127" s="1670">
        <f t="shared" si="14"/>
        <v>13326</v>
      </c>
      <c r="J127" s="1670">
        <f t="shared" si="14"/>
        <v>0</v>
      </c>
      <c r="K127" s="1670">
        <f t="shared" si="14"/>
        <v>1475622</v>
      </c>
      <c r="L127" s="1670">
        <f t="shared" si="14"/>
        <v>1238168</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221970</v>
      </c>
      <c r="D129" s="1677">
        <f t="shared" ref="D129:L129" si="15">SUM(D120,D127,D128)</f>
        <v>48975</v>
      </c>
      <c r="E129" s="1677">
        <f t="shared" si="15"/>
        <v>622364</v>
      </c>
      <c r="F129" s="1677">
        <f t="shared" si="15"/>
        <v>20987</v>
      </c>
      <c r="G129" s="1677">
        <f t="shared" si="15"/>
        <v>548000</v>
      </c>
      <c r="H129" s="1677">
        <f t="shared" si="15"/>
        <v>0</v>
      </c>
      <c r="I129" s="1677">
        <f t="shared" si="15"/>
        <v>13326</v>
      </c>
      <c r="J129" s="1677">
        <f t="shared" si="15"/>
        <v>0</v>
      </c>
      <c r="K129" s="1677">
        <f t="shared" si="15"/>
        <v>1475622</v>
      </c>
      <c r="L129" s="1677">
        <f t="shared" si="15"/>
        <v>1238168</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3"/>
      <c r="C151" s="1670">
        <f>SUM(C129,C130,C139,C149,C150)</f>
        <v>221970</v>
      </c>
      <c r="D151" s="1670">
        <f t="shared" ref="D151:K151" si="16">SUM(D129,D130,D139,D149,D150)</f>
        <v>48975</v>
      </c>
      <c r="E151" s="1670">
        <f t="shared" si="16"/>
        <v>622364</v>
      </c>
      <c r="F151" s="1670">
        <f t="shared" si="16"/>
        <v>20987</v>
      </c>
      <c r="G151" s="1670">
        <f t="shared" si="16"/>
        <v>548000</v>
      </c>
      <c r="H151" s="1670">
        <f t="shared" si="16"/>
        <v>0</v>
      </c>
      <c r="I151" s="1670">
        <f t="shared" si="16"/>
        <v>13326</v>
      </c>
      <c r="J151" s="1670">
        <f t="shared" si="16"/>
        <v>0</v>
      </c>
      <c r="K151" s="1670">
        <f t="shared" si="16"/>
        <v>1475622</v>
      </c>
      <c r="L151" s="1670">
        <f>SUM(L129,L130,L139,L149,L150)</f>
        <v>1238168</v>
      </c>
    </row>
    <row r="152" spans="1:14" ht="12.75" customHeight="1" thickTop="1" x14ac:dyDescent="0.2">
      <c r="A152" s="2174" t="s">
        <v>1178</v>
      </c>
      <c r="B152" s="2175"/>
      <c r="C152" s="618"/>
      <c r="D152" s="618"/>
      <c r="E152" s="618"/>
      <c r="F152" s="618"/>
      <c r="G152" s="618"/>
      <c r="H152" s="618"/>
      <c r="I152" s="618"/>
      <c r="J152" s="616"/>
      <c r="K152" s="1684">
        <f>'Revenues 9-14'!D268-'Expenditures 15-22'!K151</f>
        <v>-273209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821260</v>
      </c>
      <c r="I169" s="616"/>
      <c r="J169" s="616"/>
      <c r="K169" s="1671">
        <f>SUM(C169:H169)</f>
        <v>821260</v>
      </c>
      <c r="L169" s="656">
        <v>997500</v>
      </c>
    </row>
    <row r="170" spans="1:14" ht="33.75" customHeight="1" x14ac:dyDescent="0.2">
      <c r="A170" s="669" t="s">
        <v>1670</v>
      </c>
      <c r="B170" s="671" t="s">
        <v>31</v>
      </c>
      <c r="C170" s="616"/>
      <c r="D170" s="616"/>
      <c r="E170" s="616"/>
      <c r="F170" s="616"/>
      <c r="G170" s="616"/>
      <c r="H170" s="569">
        <v>1017458</v>
      </c>
      <c r="I170" s="616"/>
      <c r="J170" s="616"/>
      <c r="K170" s="1671">
        <f>SUM(C170:J170)</f>
        <v>1017458</v>
      </c>
      <c r="L170" s="569">
        <v>771805</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1838718</v>
      </c>
      <c r="I172" s="638"/>
      <c r="J172" s="616"/>
      <c r="K172" s="1677">
        <f>SUM(K168,K169,K170,K171)</f>
        <v>1838718</v>
      </c>
      <c r="L172" s="1677">
        <f>SUM(L168,L169,L170,L171)</f>
        <v>1769305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1838718</v>
      </c>
      <c r="I174" s="638"/>
      <c r="J174" s="616"/>
      <c r="K174" s="1677">
        <f>SUM(K160,K172,K173)</f>
        <v>1838718</v>
      </c>
      <c r="L174" s="1677">
        <f>SUM(L160,L172,L173)</f>
        <v>1769305</v>
      </c>
    </row>
    <row r="175" spans="1:14" ht="13.5" thickTop="1" x14ac:dyDescent="0.2">
      <c r="A175" s="2181" t="s">
        <v>996</v>
      </c>
      <c r="B175" s="2182"/>
      <c r="C175" s="616"/>
      <c r="D175" s="616"/>
      <c r="E175" s="616"/>
      <c r="F175" s="616"/>
      <c r="G175" s="616"/>
      <c r="H175" s="618"/>
      <c r="I175" s="616"/>
      <c r="J175" s="616"/>
      <c r="K175" s="1684">
        <f>'Revenues 9-14'!E268-'Expenditures 15-22'!K174</f>
        <v>-1475556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204027</v>
      </c>
      <c r="F182" s="466"/>
      <c r="G182" s="466"/>
      <c r="H182" s="466"/>
      <c r="I182" s="467"/>
      <c r="J182" s="467"/>
      <c r="K182" s="1671">
        <f>SUM(C182:J182)</f>
        <v>204027</v>
      </c>
      <c r="L182" s="466">
        <v>139650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204027</v>
      </c>
      <c r="F184" s="1677">
        <f t="shared" si="17"/>
        <v>0</v>
      </c>
      <c r="G184" s="1677">
        <f t="shared" si="17"/>
        <v>0</v>
      </c>
      <c r="H184" s="1677">
        <f t="shared" si="17"/>
        <v>0</v>
      </c>
      <c r="I184" s="1677">
        <f t="shared" si="17"/>
        <v>0</v>
      </c>
      <c r="J184" s="1677">
        <f t="shared" si="17"/>
        <v>0</v>
      </c>
      <c r="K184" s="1677">
        <f>SUM(K180,K182,K183)</f>
        <v>204027</v>
      </c>
      <c r="L184" s="1677">
        <f>SUM(L180, L182:L183)</f>
        <v>139650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204027</v>
      </c>
      <c r="F210" s="1670">
        <f>SUM(F184,F185)</f>
        <v>0</v>
      </c>
      <c r="G210" s="1670">
        <f>SUM(G184,G185)</f>
        <v>0</v>
      </c>
      <c r="H210" s="1670">
        <f>SUM(H184,H185,H196,H208,H209)</f>
        <v>0</v>
      </c>
      <c r="I210" s="1670">
        <f>SUM(I184,I185)</f>
        <v>0</v>
      </c>
      <c r="J210" s="1670">
        <f>SUM(J184,J185)</f>
        <v>0</v>
      </c>
      <c r="K210" s="1671">
        <f>SUM(K184,K185,K196,K208,K209)</f>
        <v>204027</v>
      </c>
      <c r="L210" s="1670">
        <f>SUM(L184,L185,L196,L208,L209)</f>
        <v>139650</v>
      </c>
    </row>
    <row r="211" spans="1:14" ht="13.5" thickTop="1" x14ac:dyDescent="0.2">
      <c r="A211" s="2181" t="s">
        <v>996</v>
      </c>
      <c r="B211" s="2182"/>
      <c r="C211" s="618"/>
      <c r="D211" s="618"/>
      <c r="E211" s="618"/>
      <c r="F211" s="618"/>
      <c r="G211" s="618"/>
      <c r="H211" s="618"/>
      <c r="I211" s="616"/>
      <c r="J211" s="616"/>
      <c r="K211" s="1684">
        <f>'Revenues 9-14'!F268-'Expenditures 15-22'!K210</f>
        <v>-41571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91684</v>
      </c>
      <c r="E215" s="616"/>
      <c r="F215" s="616"/>
      <c r="G215" s="616"/>
      <c r="H215" s="616"/>
      <c r="I215" s="616"/>
      <c r="J215" s="616"/>
      <c r="K215" s="1671">
        <f>D215</f>
        <v>91684</v>
      </c>
      <c r="L215" s="466">
        <v>104600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69150</v>
      </c>
      <c r="E217" s="616"/>
      <c r="F217" s="616"/>
      <c r="G217" s="616"/>
      <c r="H217" s="616"/>
      <c r="I217" s="616"/>
      <c r="J217" s="616"/>
      <c r="K217" s="1671">
        <f t="shared" si="19"/>
        <v>69150</v>
      </c>
      <c r="L217" s="466">
        <v>80830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v>5930</v>
      </c>
      <c r="E225" s="616"/>
      <c r="F225" s="616"/>
      <c r="G225" s="616"/>
      <c r="H225" s="616"/>
      <c r="I225" s="616"/>
      <c r="J225" s="616"/>
      <c r="K225" s="1671">
        <f t="shared" si="19"/>
        <v>5930</v>
      </c>
      <c r="L225" s="466">
        <v>6469</v>
      </c>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v>5702</v>
      </c>
      <c r="E227" s="616"/>
      <c r="F227" s="616"/>
      <c r="G227" s="616"/>
      <c r="H227" s="616"/>
      <c r="I227" s="616"/>
      <c r="J227" s="616"/>
      <c r="K227" s="1671">
        <f t="shared" si="19"/>
        <v>5702</v>
      </c>
      <c r="L227" s="466">
        <v>6154</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172466</v>
      </c>
      <c r="E229" s="616"/>
      <c r="F229" s="616"/>
      <c r="G229" s="616"/>
      <c r="H229" s="616"/>
      <c r="I229" s="616"/>
      <c r="J229" s="616"/>
      <c r="K229" s="1670">
        <f>SUM(K215:K228)</f>
        <v>172466</v>
      </c>
      <c r="L229" s="1670">
        <f>SUM(L215:L228)</f>
        <v>198053</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1016</v>
      </c>
      <c r="E233" s="616"/>
      <c r="F233" s="616"/>
      <c r="G233" s="616"/>
      <c r="H233" s="616"/>
      <c r="I233" s="616"/>
      <c r="J233" s="616"/>
      <c r="K233" s="1671">
        <f t="shared" si="20"/>
        <v>1016</v>
      </c>
      <c r="L233" s="466">
        <v>1023</v>
      </c>
    </row>
    <row r="234" spans="1:12" x14ac:dyDescent="0.2">
      <c r="A234" s="1504" t="s">
        <v>198</v>
      </c>
      <c r="B234" s="614">
        <v>2130</v>
      </c>
      <c r="C234" s="616"/>
      <c r="D234" s="466">
        <v>10252</v>
      </c>
      <c r="E234" s="616"/>
      <c r="F234" s="616"/>
      <c r="G234" s="616"/>
      <c r="H234" s="616"/>
      <c r="I234" s="616"/>
      <c r="J234" s="616"/>
      <c r="K234" s="1671">
        <f t="shared" si="20"/>
        <v>10252</v>
      </c>
      <c r="L234" s="466">
        <v>10144</v>
      </c>
    </row>
    <row r="235" spans="1:12" x14ac:dyDescent="0.2">
      <c r="A235" s="1504" t="s">
        <v>199</v>
      </c>
      <c r="B235" s="614">
        <v>2140</v>
      </c>
      <c r="C235" s="616"/>
      <c r="D235" s="466">
        <v>2032</v>
      </c>
      <c r="E235" s="616"/>
      <c r="F235" s="616"/>
      <c r="G235" s="616"/>
      <c r="H235" s="616"/>
      <c r="I235" s="616"/>
      <c r="J235" s="616"/>
      <c r="K235" s="1671">
        <f t="shared" si="20"/>
        <v>2032</v>
      </c>
      <c r="L235" s="466">
        <v>2258</v>
      </c>
    </row>
    <row r="236" spans="1:12" x14ac:dyDescent="0.2">
      <c r="A236" s="1504" t="s">
        <v>200</v>
      </c>
      <c r="B236" s="614">
        <v>2150</v>
      </c>
      <c r="C236" s="616"/>
      <c r="D236" s="466">
        <v>2021</v>
      </c>
      <c r="E236" s="616"/>
      <c r="F236" s="616"/>
      <c r="G236" s="616"/>
      <c r="H236" s="616"/>
      <c r="I236" s="616"/>
      <c r="J236" s="616"/>
      <c r="K236" s="1671">
        <f t="shared" si="20"/>
        <v>2021</v>
      </c>
      <c r="L236" s="466">
        <v>2272</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15321</v>
      </c>
      <c r="E238" s="616"/>
      <c r="F238" s="616"/>
      <c r="G238" s="616"/>
      <c r="H238" s="616"/>
      <c r="I238" s="616"/>
      <c r="J238" s="616"/>
      <c r="K238" s="1670">
        <f>SUM(K232:K237)</f>
        <v>15321</v>
      </c>
      <c r="L238" s="1670">
        <f>SUM(L232:L237)</f>
        <v>15697</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10939</v>
      </c>
      <c r="E246" s="616"/>
      <c r="F246" s="616"/>
      <c r="G246" s="616"/>
      <c r="H246" s="616"/>
      <c r="I246" s="616"/>
      <c r="J246" s="616"/>
      <c r="K246" s="1672">
        <f t="shared" ref="K246:K256" si="21">D246</f>
        <v>10939</v>
      </c>
      <c r="L246" s="466">
        <v>10626</v>
      </c>
    </row>
    <row r="247" spans="1:12" x14ac:dyDescent="0.2">
      <c r="A247" s="1504" t="s">
        <v>819</v>
      </c>
      <c r="B247" s="614">
        <v>2330</v>
      </c>
      <c r="C247" s="616"/>
      <c r="D247" s="466">
        <v>1815</v>
      </c>
      <c r="E247" s="616"/>
      <c r="F247" s="616"/>
      <c r="G247" s="616"/>
      <c r="H247" s="616"/>
      <c r="I247" s="616"/>
      <c r="J247" s="616"/>
      <c r="K247" s="1672">
        <f t="shared" si="21"/>
        <v>1815</v>
      </c>
      <c r="L247" s="466">
        <v>1851</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12754</v>
      </c>
      <c r="E257" s="616"/>
      <c r="F257" s="616"/>
      <c r="G257" s="616"/>
      <c r="H257" s="616"/>
      <c r="I257" s="616"/>
      <c r="J257" s="616"/>
      <c r="K257" s="1670">
        <f>SUM(K245:K256)</f>
        <v>12754</v>
      </c>
      <c r="L257" s="1670">
        <f>SUM(L245:L256)</f>
        <v>12477</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20768</v>
      </c>
      <c r="E259" s="616"/>
      <c r="F259" s="616"/>
      <c r="G259" s="616"/>
      <c r="H259" s="616"/>
      <c r="I259" s="616"/>
      <c r="J259" s="616"/>
      <c r="K259" s="1672">
        <f>D259</f>
        <v>20768</v>
      </c>
      <c r="L259" s="481">
        <v>20711</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20768</v>
      </c>
      <c r="E261" s="616"/>
      <c r="F261" s="616"/>
      <c r="G261" s="616"/>
      <c r="H261" s="616"/>
      <c r="I261" s="616"/>
      <c r="J261" s="616"/>
      <c r="K261" s="1670">
        <f>SUM(K259:K260)</f>
        <v>20768</v>
      </c>
      <c r="L261" s="1670">
        <f>SUM(L259:L260)</f>
        <v>20711</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2705</v>
      </c>
      <c r="E263" s="616"/>
      <c r="F263" s="616"/>
      <c r="G263" s="616"/>
      <c r="H263" s="616"/>
      <c r="I263" s="616"/>
      <c r="J263" s="616"/>
      <c r="K263" s="1672">
        <f>D263</f>
        <v>2705</v>
      </c>
      <c r="L263" s="481">
        <v>2570</v>
      </c>
    </row>
    <row r="264" spans="1:14" x14ac:dyDescent="0.2">
      <c r="A264" s="1504" t="s">
        <v>463</v>
      </c>
      <c r="B264" s="685">
        <v>2520</v>
      </c>
      <c r="C264" s="616"/>
      <c r="D264" s="466">
        <v>26984</v>
      </c>
      <c r="E264" s="616"/>
      <c r="F264" s="616"/>
      <c r="G264" s="616"/>
      <c r="H264" s="616"/>
      <c r="I264" s="616"/>
      <c r="J264" s="616"/>
      <c r="K264" s="1672">
        <f t="shared" ref="K264:K269" si="22">D264</f>
        <v>26984</v>
      </c>
      <c r="L264" s="466">
        <v>27379</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36979</v>
      </c>
      <c r="E266" s="616"/>
      <c r="F266" s="616"/>
      <c r="G266" s="616"/>
      <c r="H266" s="616"/>
      <c r="I266" s="616"/>
      <c r="J266" s="616"/>
      <c r="K266" s="1672">
        <f t="shared" si="22"/>
        <v>36979</v>
      </c>
      <c r="L266" s="466">
        <v>39618</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66668</v>
      </c>
      <c r="E270" s="616"/>
      <c r="F270" s="616"/>
      <c r="G270" s="616"/>
      <c r="H270" s="616"/>
      <c r="I270" s="616"/>
      <c r="J270" s="616"/>
      <c r="K270" s="1670">
        <f>SUM(K263:K269)</f>
        <v>66668</v>
      </c>
      <c r="L270" s="1670">
        <f>SUM(L263:L269)</f>
        <v>69567</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115511</v>
      </c>
      <c r="E279" s="616"/>
      <c r="F279" s="616"/>
      <c r="G279" s="616"/>
      <c r="H279" s="616"/>
      <c r="I279" s="616"/>
      <c r="J279" s="616"/>
      <c r="K279" s="1677">
        <f>SUM(K238,K243,K257,K261,K270,K277,K278)</f>
        <v>115511</v>
      </c>
      <c r="L279" s="1677">
        <f>SUM(L238,L243,L257,L261,L270,L277,L278)</f>
        <v>118452</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70">
        <f>SUM(D229,D279,D280,D285)</f>
        <v>287977</v>
      </c>
      <c r="E295" s="616"/>
      <c r="F295" s="616"/>
      <c r="G295" s="616"/>
      <c r="H295" s="1670">
        <f>H293</f>
        <v>0</v>
      </c>
      <c r="I295" s="616"/>
      <c r="J295" s="616"/>
      <c r="K295" s="1670">
        <f>SUM(K229,K279,K280,K285,K293,K294)</f>
        <v>287977</v>
      </c>
      <c r="L295" s="1670">
        <f>SUM(L229,L279,L280,L285,L293,L294)</f>
        <v>316505</v>
      </c>
    </row>
    <row r="296" spans="1:14" ht="13.5" thickTop="1" x14ac:dyDescent="0.2">
      <c r="A296" s="2181" t="s">
        <v>996</v>
      </c>
      <c r="B296" s="2182"/>
      <c r="C296" s="616"/>
      <c r="D296" s="618"/>
      <c r="E296" s="616"/>
      <c r="F296" s="616"/>
      <c r="G296" s="616"/>
      <c r="H296" s="687"/>
      <c r="I296" s="616"/>
      <c r="J296" s="616"/>
      <c r="K296" s="1684">
        <f>'Revenues 9-14'!G268-'Expenditures 15-22'!K295</f>
        <v>-2923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450000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450000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450000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27196</v>
      </c>
      <c r="F320" s="467"/>
      <c r="G320" s="467"/>
      <c r="H320" s="467"/>
      <c r="I320" s="467"/>
      <c r="J320" s="467"/>
      <c r="K320" s="1671">
        <f t="shared" ref="K320:K327" si="24">SUM(C320:J320)</f>
        <v>27196</v>
      </c>
      <c r="L320" s="467">
        <v>27197</v>
      </c>
      <c r="M320" s="665"/>
      <c r="N320" s="665"/>
    </row>
    <row r="321" spans="1:14" s="674" customFormat="1" x14ac:dyDescent="0.2">
      <c r="A321" s="1519" t="s">
        <v>300</v>
      </c>
      <c r="B321" s="697" t="s">
        <v>283</v>
      </c>
      <c r="C321" s="467"/>
      <c r="D321" s="467"/>
      <c r="E321" s="467">
        <v>1779</v>
      </c>
      <c r="F321" s="467"/>
      <c r="G321" s="467"/>
      <c r="H321" s="467"/>
      <c r="I321" s="467"/>
      <c r="J321" s="467"/>
      <c r="K321" s="1671">
        <f t="shared" si="24"/>
        <v>1779</v>
      </c>
      <c r="L321" s="467">
        <v>12000</v>
      </c>
      <c r="M321" s="665"/>
      <c r="N321" s="665"/>
    </row>
    <row r="322" spans="1:14" s="674" customFormat="1" x14ac:dyDescent="0.2">
      <c r="A322" s="1519" t="s">
        <v>238</v>
      </c>
      <c r="B322" s="697" t="s">
        <v>284</v>
      </c>
      <c r="C322" s="467"/>
      <c r="D322" s="467"/>
      <c r="E322" s="467">
        <v>32170</v>
      </c>
      <c r="F322" s="467"/>
      <c r="G322" s="467"/>
      <c r="H322" s="467"/>
      <c r="I322" s="467"/>
      <c r="J322" s="467"/>
      <c r="K322" s="1671">
        <f t="shared" si="24"/>
        <v>32170</v>
      </c>
      <c r="L322" s="467">
        <v>32170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61145</v>
      </c>
      <c r="F330" s="1670">
        <f t="shared" si="25"/>
        <v>0</v>
      </c>
      <c r="G330" s="1670">
        <f t="shared" si="25"/>
        <v>0</v>
      </c>
      <c r="H330" s="1670">
        <f t="shared" si="25"/>
        <v>0</v>
      </c>
      <c r="I330" s="1670">
        <f t="shared" si="25"/>
        <v>0</v>
      </c>
      <c r="J330" s="1670">
        <f t="shared" si="25"/>
        <v>0</v>
      </c>
      <c r="K330" s="1670">
        <f>SUM(K319:K329)</f>
        <v>61145</v>
      </c>
      <c r="L330" s="1670">
        <f>SUM(L319:L329)</f>
        <v>71367</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61145</v>
      </c>
      <c r="F342" s="1670">
        <f>SUM(F330)</f>
        <v>0</v>
      </c>
      <c r="G342" s="1670">
        <f>SUM(G330)</f>
        <v>0</v>
      </c>
      <c r="H342" s="1670">
        <f>SUM(H330,H334,H340)</f>
        <v>0</v>
      </c>
      <c r="I342" s="1670">
        <f>SUM(I330)</f>
        <v>0</v>
      </c>
      <c r="J342" s="1670">
        <f>SUM(J330)</f>
        <v>0</v>
      </c>
      <c r="K342" s="1670">
        <f>SUM(K330,K334,K340)</f>
        <v>61145</v>
      </c>
      <c r="L342" s="1677">
        <f>SUM(L330,L340,L341)</f>
        <v>71367</v>
      </c>
    </row>
    <row r="343" spans="1:14" ht="12.75" customHeight="1" thickTop="1" x14ac:dyDescent="0.2">
      <c r="A343" s="2167" t="s">
        <v>996</v>
      </c>
      <c r="B343" s="2168"/>
      <c r="C343" s="616"/>
      <c r="D343" s="616"/>
      <c r="E343" s="616"/>
      <c r="F343" s="616"/>
      <c r="G343" s="616"/>
      <c r="H343" s="616"/>
      <c r="I343" s="616"/>
      <c r="J343" s="616"/>
      <c r="K343" s="1684">
        <f>'Revenues 9-14'!J268-'Expenditures 15-22'!K342</f>
        <v>11830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v>4396</v>
      </c>
      <c r="H349" s="466"/>
      <c r="I349" s="467"/>
      <c r="J349" s="467"/>
      <c r="K349" s="1671">
        <f>SUM(C349:J349)</f>
        <v>4396</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4396</v>
      </c>
      <c r="H350" s="1670">
        <f t="shared" si="26"/>
        <v>0</v>
      </c>
      <c r="I350" s="1670">
        <f t="shared" si="26"/>
        <v>0</v>
      </c>
      <c r="J350" s="1670">
        <f t="shared" si="26"/>
        <v>0</v>
      </c>
      <c r="K350" s="1670">
        <f t="shared" si="26"/>
        <v>4396</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4396</v>
      </c>
      <c r="H352" s="1670">
        <f t="shared" si="27"/>
        <v>0</v>
      </c>
      <c r="I352" s="1670">
        <f t="shared" si="27"/>
        <v>0</v>
      </c>
      <c r="J352" s="1670">
        <f t="shared" si="27"/>
        <v>0</v>
      </c>
      <c r="K352" s="1670">
        <f t="shared" si="27"/>
        <v>4396</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4396</v>
      </c>
      <c r="H367" s="1670">
        <f t="shared" si="28"/>
        <v>0</v>
      </c>
      <c r="I367" s="1670">
        <f t="shared" si="28"/>
        <v>0</v>
      </c>
      <c r="J367" s="1670">
        <f t="shared" si="28"/>
        <v>0</v>
      </c>
      <c r="K367" s="1670">
        <f t="shared" si="28"/>
        <v>4396</v>
      </c>
      <c r="L367" s="1670">
        <f t="shared" si="28"/>
        <v>0</v>
      </c>
    </row>
    <row r="368" spans="1:14" ht="13.5" thickTop="1" x14ac:dyDescent="0.2">
      <c r="A368" s="2181" t="s">
        <v>996</v>
      </c>
      <c r="B368" s="2182"/>
      <c r="C368" s="654"/>
      <c r="D368" s="654"/>
      <c r="E368" s="626"/>
      <c r="F368" s="626"/>
      <c r="G368" s="626"/>
      <c r="H368" s="626"/>
      <c r="I368" s="626"/>
      <c r="J368" s="623"/>
      <c r="K368" s="1671">
        <f>'Revenues 9-14'!K268-'Expenditures 15-22'!K367</f>
        <v>-4330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http://schemas.microsoft.com/office/2006/metadata/properties"/>
    <ds:schemaRef ds:uri="http://purl.org/dc/elements/1.1/"/>
    <ds:schemaRef ds:uri="http://www.w3.org/XML/1998/namespace"/>
    <ds:schemaRef ds:uri="http://purl.org/dc/terms/"/>
    <ds:schemaRef ds:uri="http://schemas.microsoft.com/sharepoint/v3"/>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2019-06-25T17:28:25Z</cp:lastPrinted>
  <dcterms:created xsi:type="dcterms:W3CDTF">2003-10-29T19:06:34Z</dcterms:created>
  <dcterms:modified xsi:type="dcterms:W3CDTF">2019-11-21T18:49:06Z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